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929"/>
  <workbookPr showInkAnnotation="0" autoCompressPictures="0"/>
  <bookViews>
    <workbookView xWindow="0" yWindow="0" windowWidth="28800" windowHeight="16760" activeTab="3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7" i="7" l="1"/>
  <c r="G37" i="8"/>
  <c r="H91" i="8"/>
  <c r="B37" i="8"/>
  <c r="B80" i="8"/>
  <c r="B81" i="8"/>
  <c r="B82" i="8"/>
  <c r="B83" i="8"/>
  <c r="B91" i="8"/>
  <c r="C37" i="8"/>
  <c r="C91" i="8"/>
  <c r="D91" i="8"/>
  <c r="I91" i="8"/>
  <c r="G38" i="8"/>
  <c r="H92" i="8"/>
  <c r="B38" i="8"/>
  <c r="B92" i="8"/>
  <c r="C38" i="8"/>
  <c r="C92" i="8"/>
  <c r="D92" i="8"/>
  <c r="I92" i="8"/>
  <c r="G39" i="8"/>
  <c r="H93" i="8"/>
  <c r="B39" i="8"/>
  <c r="B93" i="8"/>
  <c r="C39" i="8"/>
  <c r="C93" i="8"/>
  <c r="D93" i="8"/>
  <c r="I93" i="8"/>
  <c r="G40" i="8"/>
  <c r="H94" i="8"/>
  <c r="B40" i="8"/>
  <c r="B94" i="8"/>
  <c r="C40" i="8"/>
  <c r="C94" i="8"/>
  <c r="D94" i="8"/>
  <c r="I94" i="8"/>
  <c r="G41" i="8"/>
  <c r="H95" i="8"/>
  <c r="B41" i="8"/>
  <c r="B95" i="8"/>
  <c r="C41" i="8"/>
  <c r="C95" i="8"/>
  <c r="D95" i="8"/>
  <c r="I95" i="8"/>
  <c r="G42" i="8"/>
  <c r="H96" i="8"/>
  <c r="B42" i="8"/>
  <c r="B96" i="8"/>
  <c r="C42" i="8"/>
  <c r="C96" i="8"/>
  <c r="D96" i="8"/>
  <c r="I96" i="8"/>
  <c r="G43" i="8"/>
  <c r="H97" i="8"/>
  <c r="B43" i="8"/>
  <c r="B97" i="8"/>
  <c r="C43" i="8"/>
  <c r="C97" i="8"/>
  <c r="D97" i="8"/>
  <c r="I97" i="8"/>
  <c r="G44" i="8"/>
  <c r="H98" i="8"/>
  <c r="B44" i="8"/>
  <c r="B98" i="8"/>
  <c r="C44" i="8"/>
  <c r="C98" i="8"/>
  <c r="D98" i="8"/>
  <c r="I98" i="8"/>
  <c r="G45" i="8"/>
  <c r="H99" i="8"/>
  <c r="B45" i="8"/>
  <c r="B99" i="8"/>
  <c r="C45" i="8"/>
  <c r="C99" i="8"/>
  <c r="D99" i="8"/>
  <c r="I99" i="8"/>
  <c r="G46" i="8"/>
  <c r="H100" i="8"/>
  <c r="B46" i="8"/>
  <c r="B100" i="8"/>
  <c r="C46" i="8"/>
  <c r="C100" i="8"/>
  <c r="D100" i="8"/>
  <c r="I100" i="8"/>
  <c r="G47" i="8"/>
  <c r="H101" i="8"/>
  <c r="B47" i="8"/>
  <c r="B101" i="8"/>
  <c r="C47" i="8"/>
  <c r="C101" i="8"/>
  <c r="D101" i="8"/>
  <c r="I101" i="8"/>
  <c r="G48" i="8"/>
  <c r="H102" i="8"/>
  <c r="B48" i="8"/>
  <c r="B102" i="8"/>
  <c r="C48" i="8"/>
  <c r="C102" i="8"/>
  <c r="D102" i="8"/>
  <c r="I102" i="8"/>
  <c r="G49" i="8"/>
  <c r="H103" i="8"/>
  <c r="B49" i="8"/>
  <c r="B103" i="8"/>
  <c r="C49" i="8"/>
  <c r="C103" i="8"/>
  <c r="D103" i="8"/>
  <c r="I103" i="8"/>
  <c r="G50" i="8"/>
  <c r="H104" i="8"/>
  <c r="B50" i="8"/>
  <c r="B104" i="8"/>
  <c r="C50" i="8"/>
  <c r="C104" i="8"/>
  <c r="D104" i="8"/>
  <c r="I104" i="8"/>
  <c r="G51" i="8"/>
  <c r="H105" i="8"/>
  <c r="B51" i="8"/>
  <c r="B105" i="8"/>
  <c r="C51" i="8"/>
  <c r="C105" i="8"/>
  <c r="D105" i="8"/>
  <c r="I105" i="8"/>
  <c r="G52" i="8"/>
  <c r="H106" i="8"/>
  <c r="B52" i="8"/>
  <c r="B106" i="8"/>
  <c r="C52" i="8"/>
  <c r="C106" i="8"/>
  <c r="D106" i="8"/>
  <c r="I106" i="8"/>
  <c r="G53" i="8"/>
  <c r="H107" i="8"/>
  <c r="B53" i="8"/>
  <c r="B107" i="8"/>
  <c r="C53" i="8"/>
  <c r="C107" i="8"/>
  <c r="D107" i="8"/>
  <c r="I107" i="8"/>
  <c r="G54" i="8"/>
  <c r="H108" i="8"/>
  <c r="B54" i="8"/>
  <c r="B108" i="8"/>
  <c r="C54" i="8"/>
  <c r="C108" i="8"/>
  <c r="D108" i="8"/>
  <c r="I108" i="8"/>
  <c r="G55" i="8"/>
  <c r="H109" i="8"/>
  <c r="B55" i="8"/>
  <c r="B109" i="8"/>
  <c r="C55" i="8"/>
  <c r="C109" i="8"/>
  <c r="D109" i="8"/>
  <c r="I109" i="8"/>
  <c r="G56" i="8"/>
  <c r="H110" i="8"/>
  <c r="B56" i="8"/>
  <c r="B110" i="8"/>
  <c r="C56" i="8"/>
  <c r="C110" i="8"/>
  <c r="D110" i="8"/>
  <c r="I110" i="8"/>
  <c r="G57" i="8"/>
  <c r="H111" i="8"/>
  <c r="B57" i="8"/>
  <c r="B111" i="8"/>
  <c r="C57" i="8"/>
  <c r="C111" i="8"/>
  <c r="D111" i="8"/>
  <c r="I111" i="8"/>
  <c r="G58" i="8"/>
  <c r="H112" i="8"/>
  <c r="B58" i="8"/>
  <c r="B112" i="8"/>
  <c r="C58" i="8"/>
  <c r="C112" i="8"/>
  <c r="D112" i="8"/>
  <c r="I112" i="8"/>
  <c r="G59" i="8"/>
  <c r="H113" i="8"/>
  <c r="B59" i="8"/>
  <c r="B113" i="8"/>
  <c r="C59" i="8"/>
  <c r="C113" i="8"/>
  <c r="D113" i="8"/>
  <c r="I113" i="8"/>
  <c r="G60" i="8"/>
  <c r="H114" i="8"/>
  <c r="B60" i="8"/>
  <c r="B114" i="8"/>
  <c r="C60" i="8"/>
  <c r="C114" i="8"/>
  <c r="D114" i="8"/>
  <c r="I114" i="8"/>
  <c r="G61" i="8"/>
  <c r="H115" i="8"/>
  <c r="B61" i="8"/>
  <c r="B115" i="8"/>
  <c r="C61" i="8"/>
  <c r="C115" i="8"/>
  <c r="D115" i="8"/>
  <c r="I115" i="8"/>
  <c r="G62" i="8"/>
  <c r="H116" i="8"/>
  <c r="B62" i="8"/>
  <c r="B116" i="8"/>
  <c r="C62" i="8"/>
  <c r="C116" i="8"/>
  <c r="D116" i="8"/>
  <c r="I116" i="8"/>
  <c r="G63" i="8"/>
  <c r="H117" i="8"/>
  <c r="B63" i="8"/>
  <c r="B117" i="8"/>
  <c r="C63" i="8"/>
  <c r="C117" i="8"/>
  <c r="D117" i="8"/>
  <c r="I117" i="8"/>
  <c r="G64" i="8"/>
  <c r="H118" i="8"/>
  <c r="B64" i="8"/>
  <c r="B118" i="8"/>
  <c r="C64" i="8"/>
  <c r="C118" i="8"/>
  <c r="D118" i="8"/>
  <c r="I118" i="8"/>
  <c r="I119" i="8"/>
  <c r="H124" i="8"/>
  <c r="B70" i="8"/>
  <c r="B124" i="8"/>
  <c r="I124" i="8"/>
  <c r="I30" i="8"/>
  <c r="B6" i="8"/>
  <c r="C6" i="8"/>
  <c r="D6" i="8"/>
  <c r="I6" i="8"/>
  <c r="B7" i="8"/>
  <c r="C7" i="8"/>
  <c r="D7" i="8"/>
  <c r="I7" i="8"/>
  <c r="B8" i="8"/>
  <c r="C8" i="8"/>
  <c r="D8" i="8"/>
  <c r="I8" i="8"/>
  <c r="B9" i="8"/>
  <c r="C9" i="8"/>
  <c r="D9" i="8"/>
  <c r="I9" i="8"/>
  <c r="B10" i="8"/>
  <c r="C10" i="8"/>
  <c r="D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B29" i="8"/>
  <c r="C29" i="8"/>
  <c r="D29" i="8"/>
  <c r="I29" i="8"/>
  <c r="I32" i="8"/>
  <c r="H125" i="8"/>
  <c r="H126" i="8"/>
  <c r="H127" i="8"/>
  <c r="H91" i="7"/>
  <c r="B37" i="7"/>
  <c r="B80" i="7"/>
  <c r="B81" i="7"/>
  <c r="B82" i="7"/>
  <c r="B83" i="7"/>
  <c r="B91" i="7"/>
  <c r="C37" i="7"/>
  <c r="C91" i="7"/>
  <c r="D91" i="7"/>
  <c r="I91" i="7"/>
  <c r="G38" i="1"/>
  <c r="G38" i="7"/>
  <c r="H92" i="7"/>
  <c r="B38" i="7"/>
  <c r="B92" i="7"/>
  <c r="C38" i="7"/>
  <c r="C92" i="7"/>
  <c r="D92" i="7"/>
  <c r="I92" i="7"/>
  <c r="G39" i="1"/>
  <c r="G39" i="7"/>
  <c r="H93" i="7"/>
  <c r="B39" i="7"/>
  <c r="B93" i="7"/>
  <c r="C39" i="7"/>
  <c r="C93" i="7"/>
  <c r="D93" i="7"/>
  <c r="I93" i="7"/>
  <c r="G40" i="1"/>
  <c r="G40" i="7"/>
  <c r="H94" i="7"/>
  <c r="B40" i="7"/>
  <c r="B94" i="7"/>
  <c r="C40" i="7"/>
  <c r="C94" i="7"/>
  <c r="D94" i="7"/>
  <c r="I94" i="7"/>
  <c r="G41" i="1"/>
  <c r="G41" i="7"/>
  <c r="H95" i="7"/>
  <c r="B41" i="7"/>
  <c r="B95" i="7"/>
  <c r="C41" i="7"/>
  <c r="C95" i="7"/>
  <c r="D95" i="7"/>
  <c r="I95" i="7"/>
  <c r="G42" i="1"/>
  <c r="G42" i="7"/>
  <c r="H96" i="7"/>
  <c r="B42" i="7"/>
  <c r="B96" i="7"/>
  <c r="C42" i="7"/>
  <c r="C96" i="7"/>
  <c r="D96" i="7"/>
  <c r="I96" i="7"/>
  <c r="G43" i="1"/>
  <c r="G43" i="7"/>
  <c r="H97" i="7"/>
  <c r="B43" i="7"/>
  <c r="B97" i="7"/>
  <c r="C43" i="7"/>
  <c r="C97" i="7"/>
  <c r="D97" i="7"/>
  <c r="I97" i="7"/>
  <c r="G44" i="1"/>
  <c r="G44" i="7"/>
  <c r="H98" i="7"/>
  <c r="B44" i="7"/>
  <c r="B98" i="7"/>
  <c r="C44" i="7"/>
  <c r="C98" i="7"/>
  <c r="D98" i="7"/>
  <c r="I98" i="7"/>
  <c r="G45" i="1"/>
  <c r="G45" i="7"/>
  <c r="H99" i="7"/>
  <c r="B45" i="7"/>
  <c r="B99" i="7"/>
  <c r="C45" i="7"/>
  <c r="C99" i="7"/>
  <c r="D99" i="7"/>
  <c r="I99" i="7"/>
  <c r="G46" i="1"/>
  <c r="G46" i="7"/>
  <c r="H100" i="7"/>
  <c r="B46" i="7"/>
  <c r="B100" i="7"/>
  <c r="C46" i="7"/>
  <c r="C100" i="7"/>
  <c r="D100" i="7"/>
  <c r="I100" i="7"/>
  <c r="G47" i="1"/>
  <c r="G47" i="7"/>
  <c r="H101" i="7"/>
  <c r="B47" i="7"/>
  <c r="B101" i="7"/>
  <c r="C47" i="7"/>
  <c r="C101" i="7"/>
  <c r="D101" i="7"/>
  <c r="I101" i="7"/>
  <c r="G48" i="1"/>
  <c r="G48" i="7"/>
  <c r="H102" i="7"/>
  <c r="B48" i="7"/>
  <c r="B102" i="7"/>
  <c r="C48" i="7"/>
  <c r="C102" i="7"/>
  <c r="D102" i="7"/>
  <c r="I102" i="7"/>
  <c r="G49" i="1"/>
  <c r="G49" i="7"/>
  <c r="H103" i="7"/>
  <c r="B49" i="7"/>
  <c r="B103" i="7"/>
  <c r="C49" i="7"/>
  <c r="C103" i="7"/>
  <c r="D103" i="7"/>
  <c r="I103" i="7"/>
  <c r="G50" i="1"/>
  <c r="G50" i="7"/>
  <c r="H104" i="7"/>
  <c r="B50" i="7"/>
  <c r="B104" i="7"/>
  <c r="C50" i="7"/>
  <c r="C104" i="7"/>
  <c r="D104" i="7"/>
  <c r="I104" i="7"/>
  <c r="G51" i="1"/>
  <c r="G51" i="7"/>
  <c r="H105" i="7"/>
  <c r="B51" i="7"/>
  <c r="B105" i="7"/>
  <c r="C51" i="7"/>
  <c r="C105" i="7"/>
  <c r="D105" i="7"/>
  <c r="I105" i="7"/>
  <c r="G52" i="1"/>
  <c r="G52" i="7"/>
  <c r="H106" i="7"/>
  <c r="B52" i="7"/>
  <c r="B106" i="7"/>
  <c r="C52" i="7"/>
  <c r="C106" i="7"/>
  <c r="D106" i="7"/>
  <c r="I106" i="7"/>
  <c r="G53" i="1"/>
  <c r="G53" i="7"/>
  <c r="H107" i="7"/>
  <c r="B53" i="7"/>
  <c r="B107" i="7"/>
  <c r="C53" i="7"/>
  <c r="C107" i="7"/>
  <c r="D107" i="7"/>
  <c r="I107" i="7"/>
  <c r="G54" i="1"/>
  <c r="G54" i="7"/>
  <c r="H108" i="7"/>
  <c r="B54" i="7"/>
  <c r="B108" i="7"/>
  <c r="C54" i="7"/>
  <c r="C108" i="7"/>
  <c r="D108" i="7"/>
  <c r="I108" i="7"/>
  <c r="G55" i="1"/>
  <c r="G55" i="7"/>
  <c r="H109" i="7"/>
  <c r="B55" i="7"/>
  <c r="B109" i="7"/>
  <c r="C55" i="7"/>
  <c r="C109" i="7"/>
  <c r="D109" i="7"/>
  <c r="I109" i="7"/>
  <c r="G56" i="1"/>
  <c r="G56" i="7"/>
  <c r="H110" i="7"/>
  <c r="B56" i="7"/>
  <c r="B110" i="7"/>
  <c r="C56" i="7"/>
  <c r="C110" i="7"/>
  <c r="D110" i="7"/>
  <c r="I110" i="7"/>
  <c r="G57" i="1"/>
  <c r="G57" i="7"/>
  <c r="H111" i="7"/>
  <c r="B57" i="7"/>
  <c r="B111" i="7"/>
  <c r="C57" i="7"/>
  <c r="C111" i="7"/>
  <c r="D111" i="7"/>
  <c r="I111" i="7"/>
  <c r="G58" i="1"/>
  <c r="G58" i="7"/>
  <c r="H112" i="7"/>
  <c r="B58" i="7"/>
  <c r="B112" i="7"/>
  <c r="C58" i="7"/>
  <c r="C112" i="7"/>
  <c r="D112" i="7"/>
  <c r="I112" i="7"/>
  <c r="G59" i="1"/>
  <c r="G59" i="7"/>
  <c r="H113" i="7"/>
  <c r="B59" i="7"/>
  <c r="B113" i="7"/>
  <c r="C59" i="7"/>
  <c r="C113" i="7"/>
  <c r="D113" i="7"/>
  <c r="I113" i="7"/>
  <c r="G60" i="1"/>
  <c r="G60" i="7"/>
  <c r="H114" i="7"/>
  <c r="B60" i="7"/>
  <c r="B114" i="7"/>
  <c r="C60" i="7"/>
  <c r="C114" i="7"/>
  <c r="D114" i="7"/>
  <c r="I114" i="7"/>
  <c r="G61" i="1"/>
  <c r="G61" i="7"/>
  <c r="H115" i="7"/>
  <c r="B61" i="7"/>
  <c r="B115" i="7"/>
  <c r="C61" i="7"/>
  <c r="C115" i="7"/>
  <c r="D115" i="7"/>
  <c r="I115" i="7"/>
  <c r="G62" i="1"/>
  <c r="G62" i="7"/>
  <c r="H116" i="7"/>
  <c r="B62" i="7"/>
  <c r="B116" i="7"/>
  <c r="C62" i="7"/>
  <c r="C116" i="7"/>
  <c r="D116" i="7"/>
  <c r="I116" i="7"/>
  <c r="G63" i="1"/>
  <c r="G63" i="7"/>
  <c r="H117" i="7"/>
  <c r="B63" i="7"/>
  <c r="B117" i="7"/>
  <c r="C63" i="7"/>
  <c r="C117" i="7"/>
  <c r="D117" i="7"/>
  <c r="I117" i="7"/>
  <c r="G64" i="1"/>
  <c r="G64" i="7"/>
  <c r="H118" i="7"/>
  <c r="B64" i="7"/>
  <c r="B118" i="7"/>
  <c r="C64" i="7"/>
  <c r="C118" i="7"/>
  <c r="D118" i="7"/>
  <c r="I118" i="7"/>
  <c r="I119" i="7"/>
  <c r="H124" i="7"/>
  <c r="B70" i="7"/>
  <c r="B124" i="7"/>
  <c r="I124" i="7"/>
  <c r="I30" i="7"/>
  <c r="B6" i="7"/>
  <c r="C6" i="7"/>
  <c r="D6" i="7"/>
  <c r="I6" i="7"/>
  <c r="B7" i="7"/>
  <c r="C7" i="7"/>
  <c r="D7" i="7"/>
  <c r="I7" i="7"/>
  <c r="B8" i="7"/>
  <c r="C8" i="7"/>
  <c r="D8" i="7"/>
  <c r="I8" i="7"/>
  <c r="B9" i="7"/>
  <c r="C9" i="7"/>
  <c r="D9" i="7"/>
  <c r="I9" i="7"/>
  <c r="B10" i="7"/>
  <c r="C10" i="7"/>
  <c r="D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I32" i="7"/>
  <c r="H125" i="7"/>
  <c r="H126" i="7"/>
  <c r="H127" i="7"/>
  <c r="G37" i="12"/>
  <c r="H91" i="12"/>
  <c r="B37" i="12"/>
  <c r="B80" i="12"/>
  <c r="B81" i="12"/>
  <c r="B82" i="12"/>
  <c r="B83" i="12"/>
  <c r="B91" i="12"/>
  <c r="C37" i="12"/>
  <c r="C91" i="12"/>
  <c r="D91" i="12"/>
  <c r="I91" i="12"/>
  <c r="G38" i="12"/>
  <c r="H92" i="12"/>
  <c r="B38" i="12"/>
  <c r="B92" i="12"/>
  <c r="C38" i="12"/>
  <c r="C92" i="12"/>
  <c r="D92" i="12"/>
  <c r="I92" i="12"/>
  <c r="G39" i="12"/>
  <c r="H93" i="12"/>
  <c r="B39" i="12"/>
  <c r="B93" i="12"/>
  <c r="C39" i="12"/>
  <c r="C93" i="12"/>
  <c r="D93" i="12"/>
  <c r="I93" i="12"/>
  <c r="G40" i="12"/>
  <c r="H94" i="12"/>
  <c r="B40" i="12"/>
  <c r="B94" i="12"/>
  <c r="C40" i="12"/>
  <c r="C94" i="12"/>
  <c r="D94" i="12"/>
  <c r="I94" i="12"/>
  <c r="G41" i="12"/>
  <c r="H95" i="12"/>
  <c r="B41" i="12"/>
  <c r="B95" i="12"/>
  <c r="C41" i="12"/>
  <c r="C95" i="12"/>
  <c r="D95" i="12"/>
  <c r="I95" i="12"/>
  <c r="G42" i="12"/>
  <c r="H96" i="12"/>
  <c r="B42" i="12"/>
  <c r="B96" i="12"/>
  <c r="C42" i="12"/>
  <c r="C96" i="12"/>
  <c r="D96" i="12"/>
  <c r="I96" i="12"/>
  <c r="G43" i="12"/>
  <c r="H97" i="12"/>
  <c r="B43" i="12"/>
  <c r="B97" i="12"/>
  <c r="C43" i="12"/>
  <c r="C97" i="12"/>
  <c r="D97" i="12"/>
  <c r="I97" i="12"/>
  <c r="G44" i="12"/>
  <c r="H98" i="12"/>
  <c r="B44" i="12"/>
  <c r="B98" i="12"/>
  <c r="C44" i="12"/>
  <c r="C98" i="12"/>
  <c r="D98" i="12"/>
  <c r="I98" i="12"/>
  <c r="G45" i="12"/>
  <c r="H99" i="12"/>
  <c r="B45" i="12"/>
  <c r="B99" i="12"/>
  <c r="C45" i="12"/>
  <c r="C99" i="12"/>
  <c r="D99" i="12"/>
  <c r="I99" i="12"/>
  <c r="G46" i="12"/>
  <c r="H100" i="12"/>
  <c r="B46" i="12"/>
  <c r="B100" i="12"/>
  <c r="C46" i="12"/>
  <c r="C100" i="12"/>
  <c r="D100" i="12"/>
  <c r="I100" i="12"/>
  <c r="G47" i="12"/>
  <c r="H101" i="12"/>
  <c r="B47" i="12"/>
  <c r="B101" i="12"/>
  <c r="C47" i="12"/>
  <c r="C101" i="12"/>
  <c r="D101" i="12"/>
  <c r="I101" i="12"/>
  <c r="G48" i="12"/>
  <c r="H102" i="12"/>
  <c r="B48" i="12"/>
  <c r="B102" i="12"/>
  <c r="C48" i="12"/>
  <c r="C102" i="12"/>
  <c r="D102" i="12"/>
  <c r="I102" i="12"/>
  <c r="G49" i="12"/>
  <c r="H103" i="12"/>
  <c r="B49" i="12"/>
  <c r="B103" i="12"/>
  <c r="C49" i="12"/>
  <c r="C103" i="12"/>
  <c r="D103" i="12"/>
  <c r="I103" i="12"/>
  <c r="G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70" i="12"/>
  <c r="B124" i="12"/>
  <c r="I124" i="12"/>
  <c r="I30" i="12"/>
  <c r="B6" i="12"/>
  <c r="C6" i="12"/>
  <c r="D6" i="12"/>
  <c r="I6" i="12"/>
  <c r="B7" i="12"/>
  <c r="C7" i="12"/>
  <c r="D7" i="12"/>
  <c r="I7" i="12"/>
  <c r="B8" i="12"/>
  <c r="C8" i="12"/>
  <c r="D8" i="12"/>
  <c r="I8" i="12"/>
  <c r="B9" i="12"/>
  <c r="C9" i="12"/>
  <c r="D9" i="12"/>
  <c r="I9" i="12"/>
  <c r="B10" i="12"/>
  <c r="C10" i="12"/>
  <c r="D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B29" i="12"/>
  <c r="C29" i="12"/>
  <c r="D29" i="12"/>
  <c r="I29" i="12"/>
  <c r="I32" i="12"/>
  <c r="H125" i="12"/>
  <c r="H126" i="12"/>
  <c r="H127" i="12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119" i="8"/>
  <c r="B30" i="8"/>
  <c r="B128" i="8"/>
  <c r="K128" i="8"/>
  <c r="L128" i="8"/>
  <c r="B71" i="8"/>
  <c r="B125" i="8"/>
  <c r="B72" i="8"/>
  <c r="B126" i="8"/>
  <c r="B73" i="8"/>
  <c r="B127" i="8"/>
  <c r="L127" i="8"/>
  <c r="L126" i="8"/>
  <c r="L125" i="8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119" i="7"/>
  <c r="B30" i="7"/>
  <c r="B128" i="7"/>
  <c r="K128" i="7"/>
  <c r="L128" i="7"/>
  <c r="B71" i="7"/>
  <c r="B125" i="7"/>
  <c r="B72" i="7"/>
  <c r="B126" i="7"/>
  <c r="B73" i="7"/>
  <c r="B127" i="7"/>
  <c r="L127" i="7"/>
  <c r="L126" i="7"/>
  <c r="L125" i="7"/>
  <c r="K91" i="12"/>
  <c r="L91" i="12"/>
  <c r="K92" i="12"/>
  <c r="L92" i="12"/>
  <c r="K93" i="12"/>
  <c r="L93" i="12"/>
  <c r="K94" i="12"/>
  <c r="L94" i="12"/>
  <c r="K95" i="12"/>
  <c r="L95" i="12"/>
  <c r="K96" i="12"/>
  <c r="L96" i="12"/>
  <c r="K97" i="12"/>
  <c r="L97" i="12"/>
  <c r="K98" i="12"/>
  <c r="L98" i="12"/>
  <c r="K99" i="12"/>
  <c r="L99" i="12"/>
  <c r="K100" i="12"/>
  <c r="L100" i="12"/>
  <c r="K101" i="12"/>
  <c r="L101" i="12"/>
  <c r="K102" i="12"/>
  <c r="L102" i="12"/>
  <c r="K103" i="12"/>
  <c r="L103" i="12"/>
  <c r="K104" i="12"/>
  <c r="L104" i="12"/>
  <c r="K105" i="12"/>
  <c r="L105" i="12"/>
  <c r="K106" i="12"/>
  <c r="L106" i="12"/>
  <c r="K107" i="12"/>
  <c r="L10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119" i="12"/>
  <c r="B30" i="12"/>
  <c r="B128" i="12"/>
  <c r="K128" i="12"/>
  <c r="L128" i="12"/>
  <c r="B71" i="12"/>
  <c r="B125" i="12"/>
  <c r="B72" i="12"/>
  <c r="B126" i="12"/>
  <c r="B73" i="12"/>
  <c r="B127" i="12"/>
  <c r="L127" i="12"/>
  <c r="L126" i="12"/>
  <c r="L125" i="12"/>
  <c r="L130" i="8"/>
  <c r="L129" i="8"/>
  <c r="B130" i="8"/>
  <c r="B129" i="8"/>
  <c r="K129" i="8"/>
  <c r="K30" i="8"/>
  <c r="L30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L32" i="8"/>
  <c r="K127" i="8"/>
  <c r="J33" i="8"/>
  <c r="J18" i="8"/>
  <c r="J19" i="8"/>
  <c r="J20" i="8"/>
  <c r="J21" i="8"/>
  <c r="J22" i="8"/>
  <c r="J23" i="8"/>
  <c r="J24" i="8"/>
  <c r="J25" i="8"/>
  <c r="L130" i="7"/>
  <c r="L129" i="7"/>
  <c r="B130" i="7"/>
  <c r="B129" i="7"/>
  <c r="K129" i="7"/>
  <c r="K30" i="7"/>
  <c r="L30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L32" i="7"/>
  <c r="K127" i="7"/>
  <c r="J33" i="7"/>
  <c r="J18" i="7"/>
  <c r="J19" i="7"/>
  <c r="J20" i="7"/>
  <c r="J21" i="7"/>
  <c r="J22" i="7"/>
  <c r="J23" i="7"/>
  <c r="J24" i="7"/>
  <c r="J25" i="7"/>
  <c r="L130" i="12"/>
  <c r="L129" i="12"/>
  <c r="B130" i="12"/>
  <c r="B129" i="12"/>
  <c r="K129" i="12"/>
  <c r="K30" i="12"/>
  <c r="L30" i="12"/>
  <c r="K6" i="12"/>
  <c r="L6" i="12"/>
  <c r="K7" i="12"/>
  <c r="L7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6" i="12"/>
  <c r="L26" i="12"/>
  <c r="K27" i="12"/>
  <c r="L27" i="12"/>
  <c r="K28" i="12"/>
  <c r="L28" i="12"/>
  <c r="K29" i="12"/>
  <c r="L29" i="12"/>
  <c r="L32" i="12"/>
  <c r="K127" i="12"/>
  <c r="J33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6" i="12"/>
  <c r="J17" i="12"/>
  <c r="J18" i="12"/>
  <c r="J19" i="12"/>
  <c r="J20" i="12"/>
  <c r="J21" i="12"/>
  <c r="J22" i="12"/>
  <c r="J23" i="12"/>
  <c r="J24" i="12"/>
  <c r="J25" i="12"/>
  <c r="F7" i="1"/>
  <c r="H124" i="1"/>
  <c r="H91" i="1"/>
  <c r="B37" i="1"/>
  <c r="B80" i="1"/>
  <c r="B81" i="1"/>
  <c r="B82" i="1"/>
  <c r="B83" i="1"/>
  <c r="B91" i="1"/>
  <c r="K91" i="1"/>
  <c r="L91" i="1"/>
  <c r="H92" i="1"/>
  <c r="B38" i="1"/>
  <c r="B92" i="1"/>
  <c r="K92" i="1"/>
  <c r="L92" i="1"/>
  <c r="H93" i="1"/>
  <c r="B39" i="1"/>
  <c r="B93" i="1"/>
  <c r="K93" i="1"/>
  <c r="L93" i="1"/>
  <c r="H94" i="1"/>
  <c r="B40" i="1"/>
  <c r="B94" i="1"/>
  <c r="K94" i="1"/>
  <c r="L94" i="1"/>
  <c r="H95" i="1"/>
  <c r="B41" i="1"/>
  <c r="B95" i="1"/>
  <c r="K95" i="1"/>
  <c r="L95" i="1"/>
  <c r="H96" i="1"/>
  <c r="B42" i="1"/>
  <c r="B96" i="1"/>
  <c r="K96" i="1"/>
  <c r="L96" i="1"/>
  <c r="H97" i="1"/>
  <c r="B43" i="1"/>
  <c r="B97" i="1"/>
  <c r="K97" i="1"/>
  <c r="L97" i="1"/>
  <c r="H98" i="1"/>
  <c r="B44" i="1"/>
  <c r="B98" i="1"/>
  <c r="K98" i="1"/>
  <c r="L98" i="1"/>
  <c r="H99" i="1"/>
  <c r="B45" i="1"/>
  <c r="B99" i="1"/>
  <c r="K99" i="1"/>
  <c r="L99" i="1"/>
  <c r="H100" i="1"/>
  <c r="B46" i="1"/>
  <c r="B100" i="1"/>
  <c r="K100" i="1"/>
  <c r="L100" i="1"/>
  <c r="H101" i="1"/>
  <c r="B47" i="1"/>
  <c r="B101" i="1"/>
  <c r="K101" i="1"/>
  <c r="L101" i="1"/>
  <c r="H102" i="1"/>
  <c r="B48" i="1"/>
  <c r="B102" i="1"/>
  <c r="K102" i="1"/>
  <c r="L102" i="1"/>
  <c r="H103" i="1"/>
  <c r="B49" i="1"/>
  <c r="B103" i="1"/>
  <c r="K103" i="1"/>
  <c r="L103" i="1"/>
  <c r="H104" i="1"/>
  <c r="B50" i="1"/>
  <c r="B104" i="1"/>
  <c r="K104" i="1"/>
  <c r="L104" i="1"/>
  <c r="H105" i="1"/>
  <c r="B51" i="1"/>
  <c r="B105" i="1"/>
  <c r="K105" i="1"/>
  <c r="L105" i="1"/>
  <c r="H106" i="1"/>
  <c r="B52" i="1"/>
  <c r="B106" i="1"/>
  <c r="K106" i="1"/>
  <c r="L106" i="1"/>
  <c r="H107" i="1"/>
  <c r="B53" i="1"/>
  <c r="B107" i="1"/>
  <c r="K107" i="1"/>
  <c r="L107" i="1"/>
  <c r="H108" i="1"/>
  <c r="B54" i="1"/>
  <c r="B108" i="1"/>
  <c r="K108" i="1"/>
  <c r="L108" i="1"/>
  <c r="H109" i="1"/>
  <c r="B55" i="1"/>
  <c r="B109" i="1"/>
  <c r="K109" i="1"/>
  <c r="L109" i="1"/>
  <c r="H110" i="1"/>
  <c r="B56" i="1"/>
  <c r="B110" i="1"/>
  <c r="K110" i="1"/>
  <c r="L110" i="1"/>
  <c r="H111" i="1"/>
  <c r="B57" i="1"/>
  <c r="B111" i="1"/>
  <c r="K111" i="1"/>
  <c r="L111" i="1"/>
  <c r="H112" i="1"/>
  <c r="B58" i="1"/>
  <c r="B112" i="1"/>
  <c r="K112" i="1"/>
  <c r="L112" i="1"/>
  <c r="H113" i="1"/>
  <c r="B59" i="1"/>
  <c r="B113" i="1"/>
  <c r="K113" i="1"/>
  <c r="L113" i="1"/>
  <c r="H114" i="1"/>
  <c r="B60" i="1"/>
  <c r="B114" i="1"/>
  <c r="K114" i="1"/>
  <c r="L114" i="1"/>
  <c r="H115" i="1"/>
  <c r="B61" i="1"/>
  <c r="B115" i="1"/>
  <c r="K115" i="1"/>
  <c r="L115" i="1"/>
  <c r="H116" i="1"/>
  <c r="B62" i="1"/>
  <c r="B116" i="1"/>
  <c r="K116" i="1"/>
  <c r="L116" i="1"/>
  <c r="H117" i="1"/>
  <c r="B63" i="1"/>
  <c r="B117" i="1"/>
  <c r="K117" i="1"/>
  <c r="L117" i="1"/>
  <c r="H118" i="1"/>
  <c r="B64" i="1"/>
  <c r="B118" i="1"/>
  <c r="K118" i="1"/>
  <c r="L118" i="1"/>
  <c r="L119" i="1"/>
  <c r="B70" i="1"/>
  <c r="B124" i="1"/>
  <c r="L124" i="1"/>
  <c r="H125" i="1"/>
  <c r="B71" i="1"/>
  <c r="B125" i="1"/>
  <c r="L125" i="1"/>
  <c r="H126" i="1"/>
  <c r="B119" i="1"/>
  <c r="B30" i="1"/>
  <c r="B128" i="1"/>
  <c r="K128" i="1"/>
  <c r="L128" i="1"/>
  <c r="B72" i="1"/>
  <c r="B126" i="1"/>
  <c r="L126" i="1"/>
  <c r="H127" i="1"/>
  <c r="B73" i="1"/>
  <c r="B127" i="1"/>
  <c r="L127" i="1"/>
  <c r="L130" i="1"/>
  <c r="L129" i="1"/>
  <c r="C37" i="1"/>
  <c r="C91" i="1"/>
  <c r="D91" i="1"/>
  <c r="I91" i="1"/>
  <c r="C38" i="1"/>
  <c r="C92" i="1"/>
  <c r="D92" i="1"/>
  <c r="I92" i="1"/>
  <c r="C39" i="1"/>
  <c r="C93" i="1"/>
  <c r="D93" i="1"/>
  <c r="I93" i="1"/>
  <c r="C40" i="1"/>
  <c r="C94" i="1"/>
  <c r="D94" i="1"/>
  <c r="I94" i="1"/>
  <c r="C41" i="1"/>
  <c r="C95" i="1"/>
  <c r="D95" i="1"/>
  <c r="I95" i="1"/>
  <c r="C42" i="1"/>
  <c r="C96" i="1"/>
  <c r="D96" i="1"/>
  <c r="I96" i="1"/>
  <c r="C43" i="1"/>
  <c r="C97" i="1"/>
  <c r="D97" i="1"/>
  <c r="I97" i="1"/>
  <c r="C44" i="1"/>
  <c r="C98" i="1"/>
  <c r="D98" i="1"/>
  <c r="I98" i="1"/>
  <c r="C45" i="1"/>
  <c r="C99" i="1"/>
  <c r="D99" i="1"/>
  <c r="I99" i="1"/>
  <c r="C46" i="1"/>
  <c r="C100" i="1"/>
  <c r="D100" i="1"/>
  <c r="I100" i="1"/>
  <c r="C47" i="1"/>
  <c r="C101" i="1"/>
  <c r="D101" i="1"/>
  <c r="I101" i="1"/>
  <c r="C48" i="1"/>
  <c r="C102" i="1"/>
  <c r="D102" i="1"/>
  <c r="I102" i="1"/>
  <c r="C49" i="1"/>
  <c r="C103" i="1"/>
  <c r="D103" i="1"/>
  <c r="I103" i="1"/>
  <c r="C50" i="1"/>
  <c r="C104" i="1"/>
  <c r="D104" i="1"/>
  <c r="I104" i="1"/>
  <c r="C51" i="1"/>
  <c r="C105" i="1"/>
  <c r="D105" i="1"/>
  <c r="I105" i="1"/>
  <c r="C52" i="1"/>
  <c r="C106" i="1"/>
  <c r="D106" i="1"/>
  <c r="I106" i="1"/>
  <c r="C53" i="1"/>
  <c r="C107" i="1"/>
  <c r="D107" i="1"/>
  <c r="I107" i="1"/>
  <c r="C54" i="1"/>
  <c r="C108" i="1"/>
  <c r="D108" i="1"/>
  <c r="I108" i="1"/>
  <c r="C55" i="1"/>
  <c r="C109" i="1"/>
  <c r="D109" i="1"/>
  <c r="I109" i="1"/>
  <c r="C56" i="1"/>
  <c r="C110" i="1"/>
  <c r="D110" i="1"/>
  <c r="I110" i="1"/>
  <c r="C57" i="1"/>
  <c r="C111" i="1"/>
  <c r="D111" i="1"/>
  <c r="I111" i="1"/>
  <c r="C58" i="1"/>
  <c r="C112" i="1"/>
  <c r="D112" i="1"/>
  <c r="I112" i="1"/>
  <c r="C59" i="1"/>
  <c r="C113" i="1"/>
  <c r="D113" i="1"/>
  <c r="I113" i="1"/>
  <c r="C60" i="1"/>
  <c r="C114" i="1"/>
  <c r="D114" i="1"/>
  <c r="I114" i="1"/>
  <c r="C61" i="1"/>
  <c r="C115" i="1"/>
  <c r="D115" i="1"/>
  <c r="I115" i="1"/>
  <c r="C62" i="1"/>
  <c r="C116" i="1"/>
  <c r="D116" i="1"/>
  <c r="I116" i="1"/>
  <c r="C63" i="1"/>
  <c r="C117" i="1"/>
  <c r="D117" i="1"/>
  <c r="I117" i="1"/>
  <c r="C64" i="1"/>
  <c r="C118" i="1"/>
  <c r="D118" i="1"/>
  <c r="I118" i="1"/>
  <c r="I119" i="1"/>
  <c r="I124" i="1"/>
  <c r="I30" i="1"/>
  <c r="B6" i="1"/>
  <c r="C6" i="1"/>
  <c r="D6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I32" i="1"/>
  <c r="B130" i="1"/>
  <c r="B129" i="1"/>
  <c r="B75" i="1"/>
  <c r="L75" i="12"/>
  <c r="H83" i="8"/>
  <c r="I83" i="8"/>
  <c r="I84" i="8"/>
  <c r="B84" i="8"/>
  <c r="H84" i="8"/>
  <c r="R8" i="8"/>
  <c r="S8" i="8"/>
  <c r="I128" i="8"/>
  <c r="R9" i="8"/>
  <c r="S9" i="8"/>
  <c r="R10" i="8"/>
  <c r="S10" i="8"/>
  <c r="T10" i="8"/>
  <c r="R11" i="8"/>
  <c r="S11" i="8"/>
  <c r="R12" i="8"/>
  <c r="S12" i="8"/>
  <c r="M20" i="8"/>
  <c r="T12" i="8"/>
  <c r="R13" i="8"/>
  <c r="S13" i="8"/>
  <c r="M21" i="8"/>
  <c r="M22" i="8"/>
  <c r="R14" i="8"/>
  <c r="S14" i="8"/>
  <c r="R15" i="8"/>
  <c r="S15" i="8"/>
  <c r="R16" i="8"/>
  <c r="S16" i="8"/>
  <c r="R17" i="8"/>
  <c r="S17" i="8"/>
  <c r="R18" i="8"/>
  <c r="S18" i="8"/>
  <c r="R19" i="8"/>
  <c r="S19" i="8"/>
  <c r="M23" i="8"/>
  <c r="M24" i="8"/>
  <c r="T19" i="8"/>
  <c r="R20" i="8"/>
  <c r="S20" i="8"/>
  <c r="R21" i="8"/>
  <c r="S21" i="8"/>
  <c r="T21" i="8"/>
  <c r="R22" i="8"/>
  <c r="S22" i="8"/>
  <c r="H83" i="7"/>
  <c r="I83" i="7"/>
  <c r="I84" i="7"/>
  <c r="B84" i="7"/>
  <c r="H84" i="7"/>
  <c r="R8" i="7"/>
  <c r="S8" i="7"/>
  <c r="I128" i="7"/>
  <c r="R9" i="7"/>
  <c r="S9" i="7"/>
  <c r="R10" i="7"/>
  <c r="S10" i="7"/>
  <c r="T10" i="7"/>
  <c r="R11" i="7"/>
  <c r="S11" i="7"/>
  <c r="R12" i="7"/>
  <c r="S12" i="7"/>
  <c r="M20" i="7"/>
  <c r="T12" i="7"/>
  <c r="R13" i="7"/>
  <c r="S13" i="7"/>
  <c r="M21" i="7"/>
  <c r="M22" i="7"/>
  <c r="R14" i="7"/>
  <c r="S14" i="7"/>
  <c r="R15" i="7"/>
  <c r="S15" i="7"/>
  <c r="R16" i="7"/>
  <c r="S16" i="7"/>
  <c r="R17" i="7"/>
  <c r="S17" i="7"/>
  <c r="R18" i="7"/>
  <c r="S18" i="7"/>
  <c r="R19" i="7"/>
  <c r="S19" i="7"/>
  <c r="M23" i="7"/>
  <c r="M24" i="7"/>
  <c r="T19" i="7"/>
  <c r="R20" i="7"/>
  <c r="S20" i="7"/>
  <c r="R21" i="7"/>
  <c r="S21" i="7"/>
  <c r="T21" i="7"/>
  <c r="R22" i="7"/>
  <c r="S22" i="7"/>
  <c r="H83" i="12"/>
  <c r="I83" i="12"/>
  <c r="I84" i="12"/>
  <c r="B84" i="12"/>
  <c r="H84" i="12"/>
  <c r="R8" i="12"/>
  <c r="S8" i="12"/>
  <c r="I128" i="12"/>
  <c r="M106" i="12"/>
  <c r="M107" i="12"/>
  <c r="M108" i="12"/>
  <c r="M109" i="12"/>
  <c r="M110" i="12"/>
  <c r="M111" i="12"/>
  <c r="M112" i="12"/>
  <c r="M113" i="12"/>
  <c r="M114" i="12"/>
  <c r="M115" i="12"/>
  <c r="M116" i="12"/>
  <c r="M117" i="12"/>
  <c r="M118" i="12"/>
  <c r="R9" i="12"/>
  <c r="S9" i="12"/>
  <c r="R10" i="12"/>
  <c r="S10" i="12"/>
  <c r="T10" i="12"/>
  <c r="R11" i="12"/>
  <c r="S11" i="12"/>
  <c r="R12" i="12"/>
  <c r="S12" i="12"/>
  <c r="M20" i="12"/>
  <c r="T12" i="12"/>
  <c r="R13" i="12"/>
  <c r="S13" i="12"/>
  <c r="M21" i="12"/>
  <c r="M22" i="12"/>
  <c r="R14" i="12"/>
  <c r="S14" i="12"/>
  <c r="R15" i="12"/>
  <c r="S15" i="12"/>
  <c r="T15" i="12"/>
  <c r="R16" i="12"/>
  <c r="S16" i="12"/>
  <c r="T16" i="12"/>
  <c r="R17" i="12"/>
  <c r="S17" i="12"/>
  <c r="T17" i="12"/>
  <c r="R18" i="12"/>
  <c r="S18" i="12"/>
  <c r="R19" i="12"/>
  <c r="S19" i="12"/>
  <c r="M23" i="12"/>
  <c r="M24" i="12"/>
  <c r="T19" i="12"/>
  <c r="R20" i="12"/>
  <c r="S20" i="12"/>
  <c r="T20" i="12"/>
  <c r="R21" i="12"/>
  <c r="S21" i="12"/>
  <c r="T21" i="12"/>
  <c r="R22" i="12"/>
  <c r="S22" i="12"/>
  <c r="T22" i="12"/>
  <c r="M16" i="12"/>
  <c r="M17" i="12"/>
  <c r="M18" i="12"/>
  <c r="M19" i="12"/>
  <c r="M25" i="12"/>
  <c r="S7" i="12"/>
  <c r="R7" i="12"/>
  <c r="M18" i="7"/>
  <c r="M19" i="7"/>
  <c r="M25" i="7"/>
  <c r="S7" i="7"/>
  <c r="R7" i="7"/>
  <c r="M18" i="8"/>
  <c r="M19" i="8"/>
  <c r="M25" i="8"/>
  <c r="S7" i="8"/>
  <c r="R7" i="8"/>
  <c r="T37" i="8"/>
  <c r="T36" i="8"/>
  <c r="T35" i="8"/>
  <c r="T34" i="8"/>
  <c r="T33" i="8"/>
  <c r="T27" i="7"/>
  <c r="S27" i="7"/>
  <c r="R27" i="7"/>
  <c r="T26" i="7"/>
  <c r="S26" i="7"/>
  <c r="R26" i="7"/>
  <c r="T25" i="7"/>
  <c r="S25" i="7"/>
  <c r="R25" i="7"/>
  <c r="T27" i="8"/>
  <c r="S27" i="8"/>
  <c r="R27" i="8"/>
  <c r="T26" i="8"/>
  <c r="S26" i="8"/>
  <c r="R26" i="8"/>
  <c r="T25" i="8"/>
  <c r="S25" i="8"/>
  <c r="R25" i="8"/>
  <c r="T27" i="12"/>
  <c r="S27" i="12"/>
  <c r="R27" i="12"/>
  <c r="T26" i="12"/>
  <c r="S26" i="12"/>
  <c r="R26" i="12"/>
  <c r="T25" i="12"/>
  <c r="S25" i="12"/>
  <c r="R25" i="12"/>
  <c r="T41" i="1"/>
  <c r="H83" i="1"/>
  <c r="I83" i="1"/>
  <c r="I84" i="1"/>
  <c r="B84" i="1"/>
  <c r="H84" i="1"/>
  <c r="S25" i="1"/>
  <c r="T25" i="1"/>
  <c r="S26" i="1"/>
  <c r="T26" i="1"/>
  <c r="S27" i="1"/>
  <c r="T27" i="1"/>
  <c r="R27" i="1"/>
  <c r="R26" i="1"/>
  <c r="R25" i="1"/>
  <c r="T38" i="1"/>
  <c r="T39" i="1"/>
  <c r="T40" i="1"/>
  <c r="T37" i="1"/>
  <c r="A1" i="1"/>
  <c r="B1" i="1"/>
  <c r="I127" i="8"/>
  <c r="I73" i="8"/>
  <c r="B32" i="8"/>
  <c r="I125" i="8"/>
  <c r="I71" i="8"/>
  <c r="I126" i="8"/>
  <c r="I72" i="8"/>
  <c r="S24" i="7"/>
  <c r="T24" i="7"/>
  <c r="R8" i="1"/>
  <c r="K6" i="1"/>
  <c r="K7" i="1"/>
  <c r="K8" i="1"/>
  <c r="R9" i="1"/>
  <c r="R10" i="1"/>
  <c r="R11" i="1"/>
  <c r="K20" i="1"/>
  <c r="R12" i="1"/>
  <c r="K21" i="1"/>
  <c r="K22" i="1"/>
  <c r="R13" i="1"/>
  <c r="R14" i="1"/>
  <c r="R15" i="1"/>
  <c r="R16" i="1"/>
  <c r="R17" i="1"/>
  <c r="K26" i="1"/>
  <c r="R18" i="1"/>
  <c r="K23" i="1"/>
  <c r="K24" i="1"/>
  <c r="R19" i="1"/>
  <c r="R20" i="1"/>
  <c r="R21" i="1"/>
  <c r="R22" i="1"/>
  <c r="S8" i="1"/>
  <c r="I128" i="1"/>
  <c r="L6" i="1"/>
  <c r="L7" i="1"/>
  <c r="L8" i="1"/>
  <c r="S9" i="1"/>
  <c r="S10" i="1"/>
  <c r="T10" i="1"/>
  <c r="S11" i="1"/>
  <c r="L20" i="1"/>
  <c r="S12" i="1"/>
  <c r="K30" i="1"/>
  <c r="L30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L21" i="1"/>
  <c r="L22" i="1"/>
  <c r="L23" i="1"/>
  <c r="L24" i="1"/>
  <c r="K25" i="1"/>
  <c r="L25" i="1"/>
  <c r="L26" i="1"/>
  <c r="K27" i="1"/>
  <c r="L27" i="1"/>
  <c r="K28" i="1"/>
  <c r="L28" i="1"/>
  <c r="K29" i="1"/>
  <c r="L29" i="1"/>
  <c r="L32" i="1"/>
  <c r="K127" i="1"/>
  <c r="J33" i="1"/>
  <c r="J20" i="1"/>
  <c r="M20" i="1"/>
  <c r="T12" i="1"/>
  <c r="S13" i="1"/>
  <c r="J21" i="1"/>
  <c r="M21" i="1"/>
  <c r="J22" i="1"/>
  <c r="M22" i="1"/>
  <c r="S14" i="1"/>
  <c r="S15" i="1"/>
  <c r="S16" i="1"/>
  <c r="S17" i="1"/>
  <c r="S18" i="1"/>
  <c r="S19" i="1"/>
  <c r="J23" i="1"/>
  <c r="M23" i="1"/>
  <c r="J24" i="1"/>
  <c r="M24" i="1"/>
  <c r="T19" i="1"/>
  <c r="S20" i="1"/>
  <c r="S21" i="1"/>
  <c r="T21" i="1"/>
  <c r="S22" i="1"/>
  <c r="J18" i="1"/>
  <c r="M18" i="1"/>
  <c r="J19" i="1"/>
  <c r="M19" i="1"/>
  <c r="J25" i="1"/>
  <c r="M25" i="1"/>
  <c r="S7" i="1"/>
  <c r="R7" i="1"/>
  <c r="R24" i="1"/>
  <c r="H70" i="1"/>
  <c r="R23" i="1"/>
  <c r="F70" i="7"/>
  <c r="F70" i="8"/>
  <c r="E70" i="7"/>
  <c r="E70" i="8"/>
  <c r="F9" i="8"/>
  <c r="E71" i="7"/>
  <c r="E71" i="8"/>
  <c r="F71" i="7"/>
  <c r="F71" i="8"/>
  <c r="E72" i="7"/>
  <c r="E72" i="8"/>
  <c r="F72" i="7"/>
  <c r="F72" i="8"/>
  <c r="E29" i="7"/>
  <c r="E29" i="8"/>
  <c r="H29" i="8"/>
  <c r="E28" i="7"/>
  <c r="E28" i="8"/>
  <c r="H28" i="8"/>
  <c r="F9" i="7"/>
  <c r="H29" i="7"/>
  <c r="H28" i="7"/>
  <c r="R24" i="7"/>
  <c r="F9" i="12"/>
  <c r="F70" i="12"/>
  <c r="E70" i="12"/>
  <c r="H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37" i="12"/>
  <c r="F37" i="12"/>
  <c r="E38" i="12"/>
  <c r="F38" i="12"/>
  <c r="E39" i="12"/>
  <c r="F39" i="12"/>
  <c r="E40" i="12"/>
  <c r="F40" i="12"/>
  <c r="E41" i="12"/>
  <c r="F41" i="12"/>
  <c r="E42" i="12"/>
  <c r="F42" i="12"/>
  <c r="E43" i="12"/>
  <c r="F43" i="12"/>
  <c r="E44" i="12"/>
  <c r="F44" i="12"/>
  <c r="E45" i="12"/>
  <c r="F45" i="12"/>
  <c r="E46" i="12"/>
  <c r="F46" i="12"/>
  <c r="E47" i="12"/>
  <c r="F47" i="12"/>
  <c r="E48" i="12"/>
  <c r="F48" i="12"/>
  <c r="E49" i="12"/>
  <c r="F49" i="12"/>
  <c r="E50" i="12"/>
  <c r="F50" i="12"/>
  <c r="E51" i="12"/>
  <c r="F51" i="12"/>
  <c r="E52" i="12"/>
  <c r="F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6" i="12"/>
  <c r="H6" i="12"/>
  <c r="E7" i="12"/>
  <c r="H7" i="12"/>
  <c r="E8" i="12"/>
  <c r="H8" i="12"/>
  <c r="E9" i="12"/>
  <c r="H9" i="12"/>
  <c r="E10" i="12"/>
  <c r="H1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F71" i="12"/>
  <c r="E72" i="12"/>
  <c r="F72" i="12"/>
  <c r="E73" i="12"/>
  <c r="F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1" i="12"/>
  <c r="H72" i="12"/>
  <c r="H73" i="12"/>
  <c r="T24" i="12"/>
  <c r="S24" i="12"/>
  <c r="R24" i="12"/>
  <c r="T24" i="1"/>
  <c r="S24" i="1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H70" i="7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37" i="7"/>
  <c r="F37" i="7"/>
  <c r="E38" i="7"/>
  <c r="F38" i="7"/>
  <c r="E39" i="7"/>
  <c r="F39" i="7"/>
  <c r="E40" i="7"/>
  <c r="F40" i="7"/>
  <c r="E41" i="7"/>
  <c r="F41" i="7"/>
  <c r="E42" i="7"/>
  <c r="F42" i="7"/>
  <c r="E43" i="7"/>
  <c r="F43" i="7"/>
  <c r="E44" i="7"/>
  <c r="F44" i="7"/>
  <c r="E45" i="7"/>
  <c r="F45" i="7"/>
  <c r="E46" i="7"/>
  <c r="F46" i="7"/>
  <c r="E47" i="7"/>
  <c r="F47" i="7"/>
  <c r="E48" i="7"/>
  <c r="F48" i="7"/>
  <c r="E49" i="7"/>
  <c r="F49" i="7"/>
  <c r="E50" i="7"/>
  <c r="F50" i="7"/>
  <c r="E51" i="7"/>
  <c r="F51" i="7"/>
  <c r="E52" i="7"/>
  <c r="F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6" i="7"/>
  <c r="H6" i="7"/>
  <c r="E7" i="7"/>
  <c r="H7" i="7"/>
  <c r="E8" i="7"/>
  <c r="H8" i="7"/>
  <c r="E9" i="7"/>
  <c r="H9" i="7"/>
  <c r="E10" i="7"/>
  <c r="H1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F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1" i="7"/>
  <c r="H7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37" i="8"/>
  <c r="F37" i="8"/>
  <c r="E38" i="8"/>
  <c r="F38" i="8"/>
  <c r="E39" i="8"/>
  <c r="F39" i="8"/>
  <c r="E40" i="8"/>
  <c r="F40" i="8"/>
  <c r="E41" i="8"/>
  <c r="F41" i="8"/>
  <c r="E42" i="8"/>
  <c r="F42" i="8"/>
  <c r="E43" i="8"/>
  <c r="F43" i="8"/>
  <c r="E44" i="8"/>
  <c r="F44" i="8"/>
  <c r="E45" i="8"/>
  <c r="F45" i="8"/>
  <c r="E46" i="8"/>
  <c r="F46" i="8"/>
  <c r="E47" i="8"/>
  <c r="F47" i="8"/>
  <c r="E48" i="8"/>
  <c r="F48" i="8"/>
  <c r="E49" i="8"/>
  <c r="F49" i="8"/>
  <c r="E50" i="8"/>
  <c r="F50" i="8"/>
  <c r="E51" i="8"/>
  <c r="F51" i="8"/>
  <c r="E52" i="8"/>
  <c r="F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6" i="8"/>
  <c r="H6" i="8"/>
  <c r="E7" i="8"/>
  <c r="H7" i="8"/>
  <c r="E8" i="8"/>
  <c r="H8" i="8"/>
  <c r="E9" i="8"/>
  <c r="H9" i="8"/>
  <c r="E10" i="8"/>
  <c r="H1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F73" i="8"/>
  <c r="A38" i="1"/>
  <c r="A38" i="8"/>
  <c r="A92" i="8"/>
  <c r="A39" i="1"/>
  <c r="A39" i="8"/>
  <c r="A93" i="8"/>
  <c r="A40" i="1"/>
  <c r="A40" i="8"/>
  <c r="A94" i="8"/>
  <c r="A41" i="1"/>
  <c r="A41" i="8"/>
  <c r="A95" i="8"/>
  <c r="A42" i="1"/>
  <c r="A42" i="8"/>
  <c r="A96" i="8"/>
  <c r="A43" i="1"/>
  <c r="A43" i="8"/>
  <c r="A97" i="8"/>
  <c r="A44" i="1"/>
  <c r="A44" i="8"/>
  <c r="A98" i="8"/>
  <c r="A45" i="1"/>
  <c r="A45" i="8"/>
  <c r="A99" i="8"/>
  <c r="A46" i="1"/>
  <c r="A46" i="8"/>
  <c r="A100" i="8"/>
  <c r="A47" i="1"/>
  <c r="A47" i="8"/>
  <c r="A101" i="8"/>
  <c r="A48" i="1"/>
  <c r="A48" i="8"/>
  <c r="A102" i="8"/>
  <c r="A49" i="1"/>
  <c r="A49" i="8"/>
  <c r="A103" i="8"/>
  <c r="A50" i="1"/>
  <c r="A50" i="8"/>
  <c r="A104" i="8"/>
  <c r="A51" i="1"/>
  <c r="A51" i="8"/>
  <c r="A105" i="8"/>
  <c r="A52" i="1"/>
  <c r="A52" i="8"/>
  <c r="A106" i="8"/>
  <c r="A53" i="1"/>
  <c r="A53" i="8"/>
  <c r="A107" i="8"/>
  <c r="A54" i="1"/>
  <c r="A54" i="8"/>
  <c r="A108" i="8"/>
  <c r="A55" i="1"/>
  <c r="A55" i="8"/>
  <c r="A109" i="8"/>
  <c r="A56" i="1"/>
  <c r="A56" i="8"/>
  <c r="A110" i="8"/>
  <c r="A57" i="1"/>
  <c r="A57" i="8"/>
  <c r="A111" i="8"/>
  <c r="A58" i="1"/>
  <c r="A58" i="8"/>
  <c r="A112" i="8"/>
  <c r="A59" i="1"/>
  <c r="A59" i="8"/>
  <c r="A113" i="8"/>
  <c r="A60" i="1"/>
  <c r="A60" i="8"/>
  <c r="A114" i="8"/>
  <c r="A61" i="1"/>
  <c r="A61" i="8"/>
  <c r="A115" i="8"/>
  <c r="A62" i="1"/>
  <c r="A62" i="8"/>
  <c r="A116" i="8"/>
  <c r="A63" i="1"/>
  <c r="A63" i="8"/>
  <c r="A117" i="8"/>
  <c r="A64" i="1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1"/>
  <c r="A18" i="8"/>
  <c r="A19" i="1"/>
  <c r="A19" i="8"/>
  <c r="A20" i="1"/>
  <c r="A20" i="8"/>
  <c r="A21" i="1"/>
  <c r="A21" i="8"/>
  <c r="A22" i="1"/>
  <c r="A22" i="8"/>
  <c r="A23" i="1"/>
  <c r="A23" i="8"/>
  <c r="A24" i="1"/>
  <c r="A24" i="8"/>
  <c r="A25" i="1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"/>
  <c r="A16" i="12"/>
  <c r="A17" i="1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E46" i="1"/>
  <c r="E45" i="1"/>
  <c r="E44" i="1"/>
  <c r="E43" i="1"/>
  <c r="E42" i="1"/>
  <c r="E41" i="1"/>
  <c r="E40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37" i="1"/>
  <c r="A30" i="1"/>
  <c r="A7" i="1"/>
  <c r="A8" i="1"/>
  <c r="A9" i="1"/>
  <c r="A10" i="1"/>
  <c r="A11" i="1"/>
  <c r="A12" i="1"/>
  <c r="A13" i="1"/>
  <c r="A14" i="1"/>
  <c r="A15" i="1"/>
  <c r="A26" i="1"/>
  <c r="A27" i="1"/>
  <c r="A28" i="1"/>
  <c r="A29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B87" i="8"/>
  <c r="B79" i="8"/>
  <c r="B87" i="7"/>
  <c r="B79" i="7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B2" i="13"/>
  <c r="E2" i="13"/>
  <c r="D2" i="13"/>
  <c r="C2" i="13"/>
  <c r="B87" i="1"/>
  <c r="B79" i="1"/>
  <c r="A6" i="1"/>
  <c r="B87" i="12"/>
  <c r="B79" i="12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0" i="8"/>
  <c r="H71" i="8"/>
  <c r="H72" i="8"/>
  <c r="H73" i="8"/>
  <c r="I92" i="9"/>
  <c r="H92" i="9"/>
  <c r="H71" i="1"/>
  <c r="H72" i="1"/>
  <c r="H73" i="1"/>
  <c r="G92" i="9"/>
  <c r="F92" i="9"/>
  <c r="E92" i="9"/>
  <c r="R23" i="8"/>
  <c r="E88" i="9"/>
  <c r="E101" i="9"/>
  <c r="D92" i="9"/>
  <c r="R23" i="7"/>
  <c r="D88" i="9"/>
  <c r="D101" i="9"/>
  <c r="C92" i="9"/>
  <c r="C88" i="9"/>
  <c r="C101" i="9"/>
  <c r="B92" i="9"/>
  <c r="R23" i="12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T24" i="8"/>
  <c r="I89" i="9"/>
  <c r="H89" i="9"/>
  <c r="G89" i="9"/>
  <c r="F89" i="9"/>
  <c r="R24" i="8"/>
  <c r="E89" i="9"/>
  <c r="E98" i="9"/>
  <c r="D89" i="9"/>
  <c r="D98" i="9"/>
  <c r="C89" i="9"/>
  <c r="C98" i="9"/>
  <c r="B89" i="9"/>
  <c r="B98" i="9"/>
  <c r="S23" i="1"/>
  <c r="S33" i="1"/>
  <c r="R33" i="1"/>
  <c r="S32" i="1"/>
  <c r="R32" i="1"/>
  <c r="S31" i="1"/>
  <c r="R31" i="1"/>
  <c r="S30" i="1"/>
  <c r="R30" i="1"/>
  <c r="S23" i="12"/>
  <c r="S33" i="12"/>
  <c r="R33" i="12"/>
  <c r="S32" i="12"/>
  <c r="R32" i="12"/>
  <c r="S31" i="12"/>
  <c r="R31" i="12"/>
  <c r="S30" i="12"/>
  <c r="R30" i="12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S24" i="8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S23" i="7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E6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E11" i="13"/>
  <c r="CI33" i="13"/>
  <c r="E4" i="13"/>
  <c r="CM27" i="13"/>
  <c r="E5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E15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18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E7" i="13"/>
  <c r="CI36" i="13"/>
  <c r="E14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E13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S23" i="8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E3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I131" i="7"/>
  <c r="J6" i="7"/>
  <c r="M6" i="7"/>
  <c r="AA6" i="7"/>
  <c r="J12" i="7"/>
  <c r="M12" i="7"/>
  <c r="AA12" i="7"/>
  <c r="J13" i="7"/>
  <c r="M13" i="7"/>
  <c r="AA13" i="7"/>
  <c r="J14" i="7"/>
  <c r="M14" i="7"/>
  <c r="AA14" i="7"/>
  <c r="J15" i="7"/>
  <c r="M15" i="7"/>
  <c r="AA15" i="7"/>
  <c r="J16" i="7"/>
  <c r="M16" i="7"/>
  <c r="AA16" i="7"/>
  <c r="J17" i="7"/>
  <c r="M17" i="7"/>
  <c r="AA17" i="7"/>
  <c r="J26" i="7"/>
  <c r="M26" i="7"/>
  <c r="AA26" i="7"/>
  <c r="J27" i="7"/>
  <c r="M27" i="7"/>
  <c r="AA27" i="7"/>
  <c r="J28" i="7"/>
  <c r="M28" i="7"/>
  <c r="AA28" i="7"/>
  <c r="J29" i="7"/>
  <c r="M29" i="7"/>
  <c r="AA29" i="7"/>
  <c r="J8" i="7"/>
  <c r="M8" i="7"/>
  <c r="J7" i="7"/>
  <c r="M7" i="7"/>
  <c r="J9" i="7"/>
  <c r="M9" i="7"/>
  <c r="J10" i="7"/>
  <c r="M10" i="7"/>
  <c r="J11" i="7"/>
  <c r="M11" i="7"/>
  <c r="Y8" i="7"/>
  <c r="AA8" i="7"/>
  <c r="Y9" i="7"/>
  <c r="AA9" i="7"/>
  <c r="Y10" i="7"/>
  <c r="AA10" i="7"/>
  <c r="Y11" i="7"/>
  <c r="AA11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30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J31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I131" i="8"/>
  <c r="J6" i="8"/>
  <c r="M6" i="8"/>
  <c r="AE6" i="8"/>
  <c r="J12" i="8"/>
  <c r="M12" i="8"/>
  <c r="AE12" i="8"/>
  <c r="J13" i="8"/>
  <c r="M13" i="8"/>
  <c r="AE13" i="8"/>
  <c r="J14" i="8"/>
  <c r="M14" i="8"/>
  <c r="AE14" i="8"/>
  <c r="J15" i="8"/>
  <c r="M15" i="8"/>
  <c r="AE15" i="8"/>
  <c r="J16" i="8"/>
  <c r="M16" i="8"/>
  <c r="AE16" i="8"/>
  <c r="J17" i="8"/>
  <c r="M17" i="8"/>
  <c r="AE17" i="8"/>
  <c r="J26" i="8"/>
  <c r="M26" i="8"/>
  <c r="AE26" i="8"/>
  <c r="J27" i="8"/>
  <c r="M27" i="8"/>
  <c r="AE27" i="8"/>
  <c r="J28" i="8"/>
  <c r="M28" i="8"/>
  <c r="AE28" i="8"/>
  <c r="J29" i="8"/>
  <c r="M29" i="8"/>
  <c r="AE29" i="8"/>
  <c r="AE8" i="8"/>
  <c r="AE9" i="8"/>
  <c r="AE10" i="8"/>
  <c r="AE11" i="8"/>
  <c r="AA6" i="8"/>
  <c r="AA12" i="8"/>
  <c r="AA13" i="8"/>
  <c r="AA14" i="8"/>
  <c r="AA15" i="8"/>
  <c r="AA16" i="8"/>
  <c r="AA17" i="8"/>
  <c r="AA26" i="8"/>
  <c r="AA27" i="8"/>
  <c r="AA28" i="8"/>
  <c r="AA29" i="8"/>
  <c r="J8" i="8"/>
  <c r="M8" i="8"/>
  <c r="J7" i="8"/>
  <c r="M7" i="8"/>
  <c r="J9" i="8"/>
  <c r="M9" i="8"/>
  <c r="J10" i="8"/>
  <c r="M10" i="8"/>
  <c r="J11" i="8"/>
  <c r="M11" i="8"/>
  <c r="Y8" i="8"/>
  <c r="AA8" i="8"/>
  <c r="Y9" i="8"/>
  <c r="AA9" i="8"/>
  <c r="Y10" i="8"/>
  <c r="AA10" i="8"/>
  <c r="Y11" i="8"/>
  <c r="AA11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Y7" i="8"/>
  <c r="Z7" i="8"/>
  <c r="AB7" i="8"/>
  <c r="AD7" i="8"/>
  <c r="AF7" i="8"/>
  <c r="AG7" i="8"/>
  <c r="AC6" i="8"/>
  <c r="AC12" i="8"/>
  <c r="AC13" i="8"/>
  <c r="AC14" i="8"/>
  <c r="AC15" i="8"/>
  <c r="AC16" i="8"/>
  <c r="AC17" i="8"/>
  <c r="AC26" i="8"/>
  <c r="AC27" i="8"/>
  <c r="AC28" i="8"/>
  <c r="AC29" i="8"/>
  <c r="AC8" i="8"/>
  <c r="AB8" i="8"/>
  <c r="AD8" i="8"/>
  <c r="AF8" i="8"/>
  <c r="AG8" i="8"/>
  <c r="AC9" i="8"/>
  <c r="AB9" i="8"/>
  <c r="AD9" i="8"/>
  <c r="AF9" i="8"/>
  <c r="AG9" i="8"/>
  <c r="Z10" i="8"/>
  <c r="AC10" i="8"/>
  <c r="AB10" i="8"/>
  <c r="AD10" i="8"/>
  <c r="AF10" i="8"/>
  <c r="AG10" i="8"/>
  <c r="AC11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30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J31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I131" i="1"/>
  <c r="J6" i="1"/>
  <c r="M6" i="1"/>
  <c r="AE6" i="1"/>
  <c r="J12" i="1"/>
  <c r="M12" i="1"/>
  <c r="AE12" i="1"/>
  <c r="J13" i="1"/>
  <c r="M13" i="1"/>
  <c r="AE13" i="1"/>
  <c r="J14" i="1"/>
  <c r="M14" i="1"/>
  <c r="AE14" i="1"/>
  <c r="J15" i="1"/>
  <c r="M15" i="1"/>
  <c r="AE15" i="1"/>
  <c r="J16" i="1"/>
  <c r="M16" i="1"/>
  <c r="AE16" i="1"/>
  <c r="J17" i="1"/>
  <c r="M17" i="1"/>
  <c r="AE17" i="1"/>
  <c r="J26" i="1"/>
  <c r="M26" i="1"/>
  <c r="AE26" i="1"/>
  <c r="J27" i="1"/>
  <c r="M27" i="1"/>
  <c r="AE27" i="1"/>
  <c r="J28" i="1"/>
  <c r="M28" i="1"/>
  <c r="AE28" i="1"/>
  <c r="J29" i="1"/>
  <c r="M29" i="1"/>
  <c r="AE29" i="1"/>
  <c r="AE8" i="1"/>
  <c r="AE9" i="1"/>
  <c r="AE10" i="1"/>
  <c r="AE11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A9" i="1"/>
  <c r="AA10" i="1"/>
  <c r="AA11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J8" i="1"/>
  <c r="M8" i="1"/>
  <c r="Y8" i="1"/>
  <c r="Z8" i="1"/>
  <c r="Z39" i="1"/>
  <c r="AA39" i="1"/>
  <c r="J40" i="1"/>
  <c r="J9" i="1"/>
  <c r="M9" i="1"/>
  <c r="Y9" i="1"/>
  <c r="Z9" i="1"/>
  <c r="Z40" i="1"/>
  <c r="AA40" i="1"/>
  <c r="J41" i="1"/>
  <c r="J11" i="1"/>
  <c r="M11" i="1"/>
  <c r="Y1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AA37" i="1"/>
  <c r="AA38" i="1"/>
  <c r="AA65" i="1"/>
  <c r="AG6" i="1"/>
  <c r="J7" i="1"/>
  <c r="M7" i="1"/>
  <c r="Y7" i="1"/>
  <c r="Z7" i="1"/>
  <c r="AB7" i="1"/>
  <c r="AD7" i="1"/>
  <c r="AF7" i="1"/>
  <c r="AG7" i="1"/>
  <c r="AC6" i="1"/>
  <c r="AC12" i="1"/>
  <c r="AC13" i="1"/>
  <c r="AC14" i="1"/>
  <c r="AC15" i="1"/>
  <c r="AC16" i="1"/>
  <c r="AC17" i="1"/>
  <c r="AC26" i="1"/>
  <c r="AC27" i="1"/>
  <c r="AC28" i="1"/>
  <c r="AC29" i="1"/>
  <c r="AC8" i="1"/>
  <c r="AB8" i="1"/>
  <c r="AD8" i="1"/>
  <c r="AF8" i="1"/>
  <c r="AG8" i="1"/>
  <c r="AC9" i="1"/>
  <c r="AB9" i="1"/>
  <c r="AD9" i="1"/>
  <c r="AF9" i="1"/>
  <c r="AG9" i="1"/>
  <c r="J10" i="1"/>
  <c r="M10" i="1"/>
  <c r="Y10" i="1"/>
  <c r="Z10" i="1"/>
  <c r="AC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J37" i="1"/>
  <c r="Z37" i="1"/>
  <c r="AB37" i="1"/>
  <c r="AD37" i="1"/>
  <c r="AF37" i="1"/>
  <c r="AG37" i="1"/>
  <c r="J38" i="1"/>
  <c r="Z38" i="1"/>
  <c r="AC11" i="1"/>
  <c r="AC70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8" i="1"/>
  <c r="AB38" i="1"/>
  <c r="AE70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E38" i="1"/>
  <c r="AD38" i="1"/>
  <c r="AF38" i="1"/>
  <c r="AG38" i="1"/>
  <c r="AB39" i="1"/>
  <c r="AD39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30" i="1"/>
  <c r="J128" i="1"/>
  <c r="J126" i="1"/>
  <c r="J127" i="1"/>
  <c r="J130" i="1"/>
  <c r="J129" i="1"/>
  <c r="J75" i="1"/>
  <c r="AA79" i="1"/>
  <c r="AA30" i="1"/>
  <c r="AA74" i="1"/>
  <c r="AC39" i="1"/>
  <c r="AC37" i="1"/>
  <c r="AC65" i="1"/>
  <c r="AC79" i="1"/>
  <c r="AC30" i="1"/>
  <c r="AC74" i="1"/>
  <c r="AE39" i="1"/>
  <c r="AE37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J31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I131" i="12"/>
  <c r="J6" i="12"/>
  <c r="M6" i="12"/>
  <c r="AE6" i="12"/>
  <c r="J12" i="12"/>
  <c r="M12" i="12"/>
  <c r="AE12" i="12"/>
  <c r="J13" i="12"/>
  <c r="M13" i="12"/>
  <c r="AE13" i="12"/>
  <c r="J14" i="12"/>
  <c r="M14" i="12"/>
  <c r="AE14" i="12"/>
  <c r="J15" i="12"/>
  <c r="M15" i="12"/>
  <c r="AE15" i="12"/>
  <c r="J26" i="12"/>
  <c r="M26" i="12"/>
  <c r="AE26" i="12"/>
  <c r="J27" i="12"/>
  <c r="M27" i="12"/>
  <c r="AE27" i="12"/>
  <c r="J28" i="12"/>
  <c r="M28" i="12"/>
  <c r="AE28" i="12"/>
  <c r="J29" i="12"/>
  <c r="M29" i="12"/>
  <c r="AE29" i="12"/>
  <c r="J7" i="12"/>
  <c r="M7" i="12"/>
  <c r="Y7" i="12"/>
  <c r="J8" i="12"/>
  <c r="M8" i="12"/>
  <c r="Y8" i="12"/>
  <c r="AA6" i="12"/>
  <c r="AA12" i="12"/>
  <c r="AA13" i="12"/>
  <c r="AA14" i="12"/>
  <c r="AA15" i="12"/>
  <c r="AA26" i="12"/>
  <c r="AA27" i="12"/>
  <c r="AA28" i="12"/>
  <c r="AA29" i="12"/>
  <c r="J9" i="12"/>
  <c r="M9" i="12"/>
  <c r="J10" i="12"/>
  <c r="M10" i="12"/>
  <c r="J11" i="12"/>
  <c r="M11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B38" i="12"/>
  <c r="AD38" i="12"/>
  <c r="AF38" i="12"/>
  <c r="AG38" i="12"/>
  <c r="AB39" i="12"/>
  <c r="AD39" i="12"/>
  <c r="AF39" i="12"/>
  <c r="AG39" i="12"/>
  <c r="AB40" i="12"/>
  <c r="AD40" i="12"/>
  <c r="AF40" i="12"/>
  <c r="AG40" i="12"/>
  <c r="AB41" i="12"/>
  <c r="AD41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30" i="12"/>
  <c r="J128" i="12"/>
  <c r="J126" i="12"/>
  <c r="J127" i="12"/>
  <c r="J130" i="12"/>
  <c r="J129" i="12"/>
  <c r="J75" i="12"/>
  <c r="AA79" i="12"/>
  <c r="AA30" i="12"/>
  <c r="AA74" i="12"/>
  <c r="AC70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37" i="12"/>
  <c r="AC38" i="12"/>
  <c r="AC65" i="12"/>
  <c r="AC79" i="12"/>
  <c r="AC30" i="12"/>
  <c r="AC74" i="12"/>
  <c r="AE70" i="12"/>
  <c r="AE39" i="12"/>
  <c r="AE40" i="12"/>
  <c r="AE41" i="12"/>
  <c r="AE42" i="12"/>
  <c r="AE43" i="12"/>
  <c r="AE44" i="12"/>
  <c r="AE45" i="12"/>
  <c r="AE46" i="12"/>
  <c r="AE47" i="12"/>
  <c r="AE48" i="12"/>
  <c r="AE49" i="12"/>
  <c r="AE50" i="12"/>
  <c r="AE51" i="12"/>
  <c r="AE37" i="12"/>
  <c r="AE38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J31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T7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T9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T20" i="8"/>
  <c r="I85" i="9"/>
  <c r="M104" i="8"/>
  <c r="T13" i="8"/>
  <c r="I78" i="9"/>
  <c r="M108" i="8"/>
  <c r="T17" i="8"/>
  <c r="I82" i="9"/>
  <c r="M105" i="8"/>
  <c r="M106" i="8"/>
  <c r="T14" i="8"/>
  <c r="I79" i="9"/>
  <c r="AH11" i="8"/>
  <c r="M94" i="8"/>
  <c r="M95" i="8"/>
  <c r="M96" i="8"/>
  <c r="M97" i="8"/>
  <c r="M91" i="8"/>
  <c r="M92" i="8"/>
  <c r="M93" i="8"/>
  <c r="M98" i="8"/>
  <c r="M99" i="8"/>
  <c r="M100" i="8"/>
  <c r="M101" i="8"/>
  <c r="M102" i="8"/>
  <c r="M103" i="8"/>
  <c r="M107" i="8"/>
  <c r="M110" i="8"/>
  <c r="M111" i="8"/>
  <c r="M112" i="8"/>
  <c r="M113" i="8"/>
  <c r="M114" i="8"/>
  <c r="M115" i="8"/>
  <c r="M116" i="8"/>
  <c r="M117" i="8"/>
  <c r="M118" i="8"/>
  <c r="T8" i="8"/>
  <c r="I73" i="9"/>
  <c r="T18" i="8"/>
  <c r="I83" i="9"/>
  <c r="T11" i="8"/>
  <c r="I76" i="9"/>
  <c r="T15" i="8"/>
  <c r="I80" i="9"/>
  <c r="T16" i="8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M105" i="12"/>
  <c r="T14" i="12"/>
  <c r="F79" i="9"/>
  <c r="M94" i="12"/>
  <c r="M95" i="12"/>
  <c r="M96" i="12"/>
  <c r="M97" i="12"/>
  <c r="M91" i="12"/>
  <c r="M92" i="12"/>
  <c r="M93" i="12"/>
  <c r="M98" i="12"/>
  <c r="M99" i="12"/>
  <c r="M100" i="12"/>
  <c r="M101" i="12"/>
  <c r="M102" i="12"/>
  <c r="M103" i="12"/>
  <c r="M104" i="12"/>
  <c r="T8" i="12"/>
  <c r="F73" i="9"/>
  <c r="AI16" i="7"/>
  <c r="AI6" i="1"/>
  <c r="AI12" i="12"/>
  <c r="T18" i="12"/>
  <c r="F83" i="9"/>
  <c r="T9" i="12"/>
  <c r="F74" i="9"/>
  <c r="T9" i="7"/>
  <c r="H74" i="9"/>
  <c r="T18" i="7"/>
  <c r="H83" i="9"/>
  <c r="M119" i="12"/>
  <c r="AI14" i="12"/>
  <c r="AI14" i="7"/>
  <c r="AI28" i="12"/>
  <c r="AI17" i="7"/>
  <c r="J65" i="7"/>
  <c r="T7" i="12"/>
  <c r="F72" i="9"/>
  <c r="AI26" i="7"/>
  <c r="AI29" i="7"/>
  <c r="AI28" i="7"/>
  <c r="AI27" i="7"/>
  <c r="M91" i="7"/>
  <c r="M92" i="7"/>
  <c r="M93" i="7"/>
  <c r="T11" i="7"/>
  <c r="H76" i="9"/>
  <c r="M105" i="7"/>
  <c r="M106" i="7"/>
  <c r="T14" i="7"/>
  <c r="H79" i="9"/>
  <c r="T11" i="12"/>
  <c r="F76" i="9"/>
  <c r="AI26" i="12"/>
  <c r="M128" i="7"/>
  <c r="J76" i="1"/>
  <c r="AI13" i="12"/>
  <c r="T7" i="7"/>
  <c r="H72" i="9"/>
  <c r="AI15" i="12"/>
  <c r="AI15" i="7"/>
  <c r="AI12" i="7"/>
  <c r="AI13" i="7"/>
  <c r="N31" i="7"/>
  <c r="M119" i="7"/>
  <c r="AI27" i="12"/>
  <c r="J65" i="12"/>
  <c r="M104" i="7"/>
  <c r="T13" i="7"/>
  <c r="H78" i="9"/>
  <c r="M94" i="7"/>
  <c r="M95" i="7"/>
  <c r="M96" i="7"/>
  <c r="M97" i="7"/>
  <c r="M98" i="7"/>
  <c r="M99" i="7"/>
  <c r="M100" i="7"/>
  <c r="M101" i="7"/>
  <c r="M102" i="7"/>
  <c r="M103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T8" i="7"/>
  <c r="H73" i="9"/>
  <c r="T13" i="12"/>
  <c r="F78" i="9"/>
  <c r="M94" i="1"/>
  <c r="M95" i="1"/>
  <c r="M96" i="1"/>
  <c r="M97" i="1"/>
  <c r="M91" i="1"/>
  <c r="M92" i="1"/>
  <c r="M93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T8" i="1"/>
  <c r="G73" i="9"/>
  <c r="AI17" i="1"/>
  <c r="J65" i="1"/>
  <c r="AI27" i="1"/>
  <c r="AI26" i="1"/>
  <c r="N31" i="1"/>
  <c r="L131" i="8"/>
  <c r="L77" i="8"/>
  <c r="AI13" i="1"/>
  <c r="AI12" i="1"/>
  <c r="AI29" i="12"/>
  <c r="T20" i="7"/>
  <c r="H85" i="9"/>
  <c r="M119" i="1"/>
  <c r="T17" i="7"/>
  <c r="H82" i="9"/>
  <c r="AI29" i="1"/>
  <c r="AI14" i="1"/>
  <c r="T14" i="1"/>
  <c r="G79" i="9"/>
  <c r="AI15" i="1"/>
  <c r="T9" i="1"/>
  <c r="G74" i="9"/>
  <c r="T16" i="7"/>
  <c r="H81" i="9"/>
  <c r="T15" i="7"/>
  <c r="H80" i="9"/>
  <c r="T13" i="1"/>
  <c r="G78" i="9"/>
  <c r="AI28" i="1"/>
  <c r="T7" i="1"/>
  <c r="G72" i="9"/>
  <c r="T11" i="1"/>
  <c r="G76" i="9"/>
  <c r="T18" i="1"/>
  <c r="G83" i="9"/>
  <c r="L131" i="12"/>
  <c r="L77" i="12"/>
  <c r="AI16" i="1"/>
  <c r="T15" i="1"/>
  <c r="G80" i="9"/>
  <c r="L131" i="7"/>
  <c r="L77" i="7"/>
  <c r="T20" i="1"/>
  <c r="G85" i="9"/>
  <c r="T16" i="1"/>
  <c r="G81" i="9"/>
  <c r="T17" i="1"/>
  <c r="G82" i="9"/>
  <c r="L131" i="1"/>
  <c r="L77" i="1"/>
  <c r="I77" i="8"/>
  <c r="T22" i="8"/>
  <c r="I87" i="9"/>
  <c r="I77" i="12"/>
  <c r="T22" i="7"/>
  <c r="H87" i="9"/>
  <c r="I77" i="1"/>
  <c r="I77" i="7"/>
  <c r="T22" i="1"/>
  <c r="G87" i="9"/>
  <c r="M125" i="8"/>
  <c r="M125" i="7"/>
  <c r="T23" i="12"/>
  <c r="T30" i="12"/>
  <c r="T32" i="12"/>
  <c r="T33" i="12"/>
  <c r="T23" i="1"/>
  <c r="T30" i="1"/>
  <c r="T31" i="1"/>
  <c r="T32" i="1"/>
  <c r="T33" i="1"/>
  <c r="F88" i="9"/>
  <c r="F98" i="9"/>
  <c r="G88" i="9"/>
  <c r="G98" i="9"/>
  <c r="T23" i="7"/>
  <c r="H88" i="9"/>
  <c r="H98" i="9"/>
  <c r="T23" i="8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T31" i="12"/>
  <c r="U31" i="12"/>
  <c r="T36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<sst xmlns="http://schemas.openxmlformats.org/spreadsheetml/2006/main" count="787" uniqueCount="146">
  <si>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</si>
  <si>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</si>
  <si>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</si>
  <si>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</si>
  <si>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</si>
  <si>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</si>
  <si>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</si>
  <si>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</si>
  <si>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</si>
  <si>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</si>
  <si>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</si>
  <si>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</si>
  <si>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</si>
  <si>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</si>
  <si>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</si>
  <si>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</si>
  <si>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</si>
  <si>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</si>
  <si>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</si>
  <si>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</si>
  <si>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</si>
  <si>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</si>
  <si>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</si>
  <si>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</si>
  <si>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</si>
  <si>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</si>
  <si>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</si>
  <si>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</si>
  <si>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</si>
  <si>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</si>
  <si>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</si>
  <si>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</si>
  <si>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</si>
  <si>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</si>
  <si>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</si>
  <si>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</si>
  <si>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</si>
  <si>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</si>
  <si>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</si>
  <si>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</si>
  <si>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</si>
  <si>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</si>
  <si>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</si>
  <si>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</si>
  <si>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</si>
  <si>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</si>
  <si>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</si>
  <si>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</si>
  <si>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</si>
  <si>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</si>
  <si>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</si>
  <si>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</si>
  <si>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</si>
  <si>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</si>
  <si>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</si>
  <si>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</si>
  <si>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</si>
  <si>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</si>
  <si>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</si>
  <si>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</si>
  <si>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</si>
  <si>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</si>
  <si>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</si>
  <si>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</si>
  <si>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</si>
  <si>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</si>
  <si>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</si>
  <si>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</si>
  <si>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</si>
  <si>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</si>
  <si>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</si>
  <si>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</si>
  <si>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</si>
  <si>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</si>
  <si>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</si>
  <si>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</si>
  <si>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</si>
  <si>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</si>
  <si>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</si>
  <si>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</si>
  <si>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</si>
  <si>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</si>
  <si>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</si>
  <si>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</si>
  <si>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</si>
  <si>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</si>
  <si>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</si>
  <si>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</si>
  <si>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</si>
  <si>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</si>
  <si>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</si>
  <si>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</si>
  <si>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</si>
  <si>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</si>
  <si>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</si>
  <si>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</si>
  <si>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</si>
  <si>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</si>
  <si>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</si>
  <si>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</si>
  <si>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</si>
  <si>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</si>
  <si>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</si>
  <si>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</si>
  <si>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</si>
  <si>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</si>
  <si>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</si>
  <si>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</si>
  <si>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</si>
  <si>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</si>
  <si>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</si>
  <si>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</si>
  <si>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</si>
  <si>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</si>
  <si>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</si>
  <si>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</si>
  <si>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</si>
  <si>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</si>
  <si>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</si>
  <si>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</si>
  <si>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</si>
  <si>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</si>
  <si>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</si>
  <si>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</si>
  <si>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</si>
  <si>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</si>
  <si>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</si>
  <si>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</si>
  <si>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</si>
  <si>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</si>
  <si>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</si>
  <si>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</si>
  <si>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</si>
  <si>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</si>
  <si>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</si>
  <si>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</si>
  <si>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</si>
  <si>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</si>
  <si>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</si>
  <si>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</si>
  <si>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</si>
  <si>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</si>
  <si>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</si>
  <si>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</si>
  <si>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</si>
  <si>
    <t>LBPL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</si>
</sst>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.0%;[Red]\(0.0%\);&quot;-&quot;"/>
    <numFmt numFmtId="174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06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73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38" fontId="8" fillId="0" borderId="0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73" fontId="8" fillId="0" borderId="0" xfId="6" applyNumberFormat="1" applyFont="1" applyAlignment="1" applyProtection="1"/>
    <xf numFmtId="4" fontId="8" fillId="0" borderId="0" xfId="1" applyFont="1" applyAlignment="1" applyProtection="1"/>
    <xf numFmtId="10" fontId="8" fillId="0" borderId="0" xfId="6" applyFont="1" applyAlignment="1" applyProtection="1"/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4" fontId="8" fillId="0" borderId="0" xfId="6" applyNumberFormat="1" applyFont="1" applyAlignment="1" applyProtection="1"/>
    <xf numFmtId="174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1" fontId="7" fillId="0" borderId="0" xfId="0" applyNumberFormat="1" applyFont="1" applyBorder="1" applyAlignment="1" applyProtection="1"/>
    <xf numFmtId="1" fontId="8" fillId="0" borderId="0" xfId="6" applyNumberFormat="1" applyFont="1" applyAlignment="1" applyProtection="1"/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10" fontId="7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06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Normal" xfId="0" builtinId="0"/>
    <cellStyle name="Percent" xfId="6" builtinId="5"/>
    <cellStyle name="Total" xfId="7" builtinId="25" customBuiltin="1"/>
  </cellStyles>
  <dxfs count="336"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0.00834371108343711</c:v>
                </c:pt>
                <c:pt idx="1">
                  <c:v>0.00834371108343711</c:v>
                </c:pt>
                <c:pt idx="2" formatCode="0.0%">
                  <c:v>0.00834371108343711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0.0261715733966376</c:v>
                </c:pt>
                <c:pt idx="1">
                  <c:v>0.0261715733966376</c:v>
                </c:pt>
                <c:pt idx="2" formatCode="0.0%">
                  <c:v>0.0261715733966376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0.0887185787671233</c:v>
                </c:pt>
                <c:pt idx="2" formatCode="0.0%">
                  <c:v>0.0887185787671233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0.0828528876089664</c:v>
                </c:pt>
                <c:pt idx="1">
                  <c:v>0.0828528876089664</c:v>
                </c:pt>
                <c:pt idx="2" formatCode="0.0%">
                  <c:v>0.0828528876089664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0.0219963418430884</c:v>
                </c:pt>
                <c:pt idx="1">
                  <c:v>0.0219963418430884</c:v>
                </c:pt>
                <c:pt idx="2" formatCode="0.0%">
                  <c:v>0.0219963418430884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0.0584907169987546</c:v>
                </c:pt>
                <c:pt idx="1">
                  <c:v>0.0584907169987546</c:v>
                </c:pt>
                <c:pt idx="2" formatCode="0.0%">
                  <c:v>0.105660650062266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0.00830946450809464</c:v>
                </c:pt>
                <c:pt idx="1">
                  <c:v>0.00830946450809464</c:v>
                </c:pt>
                <c:pt idx="2" formatCode="0.0%">
                  <c:v>0.00860383795341439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0.0208223069738481</c:v>
                </c:pt>
                <c:pt idx="1">
                  <c:v>0.0208223069738481</c:v>
                </c:pt>
                <c:pt idx="2" formatCode="0.0%">
                  <c:v>0.0208223069738481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0.0567798904109589</c:v>
                </c:pt>
                <c:pt idx="1">
                  <c:v>0.0567798904109589</c:v>
                </c:pt>
                <c:pt idx="2" formatCode="0.0%">
                  <c:v>0.0567798904109589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0.0189266301369863</c:v>
                </c:pt>
                <c:pt idx="1">
                  <c:v>0.0189266301369863</c:v>
                </c:pt>
                <c:pt idx="2" formatCode="0.0%">
                  <c:v>0.0189266301369863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0.28783272384807</c:v>
                </c:pt>
                <c:pt idx="1">
                  <c:v>0.28783272384807</c:v>
                </c:pt>
                <c:pt idx="2" formatCode="0.0%">
                  <c:v>0.4867471149321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0.418956990971357</c:v>
                </c:pt>
                <c:pt idx="1">
                  <c:v>0.418956990971357</c:v>
                </c:pt>
                <c:pt idx="2" formatCode="0.0%">
                  <c:v>0.273370419779492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84584296"/>
        <c:axId val="2134797976"/>
      </c:barChart>
      <c:catAx>
        <c:axId val="2084584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34797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34797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845842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0.0580500972339129</c:v>
                </c:pt>
                <c:pt idx="1">
                  <c:v>0.0580500972339129</c:v>
                </c:pt>
                <c:pt idx="2">
                  <c:v>0.0580500972339129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0.0435375729254346</c:v>
                </c:pt>
                <c:pt idx="1">
                  <c:v>0.0435375729254346</c:v>
                </c:pt>
                <c:pt idx="2">
                  <c:v>0.0491734405243556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0.0145125243084782</c:v>
                </c:pt>
                <c:pt idx="1">
                  <c:v>0.0145125243084782</c:v>
                </c:pt>
                <c:pt idx="2">
                  <c:v>0.0116945905090177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0.0362813107711955</c:v>
                </c:pt>
                <c:pt idx="1">
                  <c:v>0.0362813107711955</c:v>
                </c:pt>
                <c:pt idx="2">
                  <c:v>0.0464963207942398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0.00287347981307869</c:v>
                </c:pt>
                <c:pt idx="1">
                  <c:v>0.00287347981307869</c:v>
                </c:pt>
                <c:pt idx="2">
                  <c:v>0.00231552892078551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0.00725626215423911</c:v>
                </c:pt>
                <c:pt idx="2">
                  <c:v>0.00584729525450887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0.00725626215423911</c:v>
                </c:pt>
                <c:pt idx="1">
                  <c:v>0.00725626215423911</c:v>
                </c:pt>
                <c:pt idx="2">
                  <c:v>0.00584729525450887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0.0224073375322904</c:v>
                </c:pt>
                <c:pt idx="1">
                  <c:v>0.0224073375322904</c:v>
                </c:pt>
                <c:pt idx="2">
                  <c:v>0.0180564477459234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0.0116100194467826</c:v>
                </c:pt>
                <c:pt idx="1">
                  <c:v>0.0116100194467826</c:v>
                </c:pt>
                <c:pt idx="2">
                  <c:v>0.0116100194467826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0.00290250486169564</c:v>
                </c:pt>
                <c:pt idx="1">
                  <c:v>0.00290250486169564</c:v>
                </c:pt>
                <c:pt idx="2">
                  <c:v>0.00290250486169564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0.0218268365599512</c:v>
                </c:pt>
                <c:pt idx="1">
                  <c:v>0.0218268365599512</c:v>
                </c:pt>
                <c:pt idx="2">
                  <c:v>0.0218268365599512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0.0124517458566743</c:v>
                </c:pt>
                <c:pt idx="1">
                  <c:v>0.0124517458566743</c:v>
                </c:pt>
                <c:pt idx="2">
                  <c:v>0.0129353032966617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0.0626941050126259</c:v>
                </c:pt>
                <c:pt idx="1">
                  <c:v>0.0626941050126259</c:v>
                </c:pt>
                <c:pt idx="2">
                  <c:v>0.0626941050126259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0.639131570545381</c:v>
                </c:pt>
                <c:pt idx="1">
                  <c:v>0.639131570545381</c:v>
                </c:pt>
                <c:pt idx="2">
                  <c:v>0.639131570545381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0.0107682930368908</c:v>
                </c:pt>
                <c:pt idx="1">
                  <c:v>0.0107682930368908</c:v>
                </c:pt>
                <c:pt idx="2">
                  <c:v>0.0107682930368908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0.0464400777871303</c:v>
                </c:pt>
                <c:pt idx="1">
                  <c:v>0.0464400777871303</c:v>
                </c:pt>
                <c:pt idx="2">
                  <c:v>0.0464400777871303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806872"/>
        <c:axId val="1899809864"/>
      </c:barChart>
      <c:catAx>
        <c:axId val="18998068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8098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8098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80687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0.138537734215357</c:v>
                </c:pt>
                <c:pt idx="1">
                  <c:v>0.138537734215357</c:v>
                </c:pt>
                <c:pt idx="2">
                  <c:v>0.14378743203801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0.043293041942299</c:v>
                </c:pt>
                <c:pt idx="1">
                  <c:v>0.043293041942299</c:v>
                </c:pt>
                <c:pt idx="2">
                  <c:v>0.0446054663979623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0.00952446922730578</c:v>
                </c:pt>
                <c:pt idx="1">
                  <c:v>0.00952446922730578</c:v>
                </c:pt>
                <c:pt idx="2">
                  <c:v>0.00952446922730578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0.0113427769888823</c:v>
                </c:pt>
                <c:pt idx="1">
                  <c:v>0.0113427769888823</c:v>
                </c:pt>
                <c:pt idx="2">
                  <c:v>0.0096235009519635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0.0216465209711495</c:v>
                </c:pt>
                <c:pt idx="1">
                  <c:v>0.0216465209711495</c:v>
                </c:pt>
                <c:pt idx="2">
                  <c:v>0.0244682335508255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0.00171440446091504</c:v>
                </c:pt>
                <c:pt idx="1">
                  <c:v>0.00171440446091504</c:v>
                </c:pt>
                <c:pt idx="2">
                  <c:v>0.00145454441869372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0.0129879125826897</c:v>
                </c:pt>
                <c:pt idx="1">
                  <c:v>0.0129879125826897</c:v>
                </c:pt>
                <c:pt idx="2">
                  <c:v>0.0110192758991948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0.0197416271256884</c:v>
                </c:pt>
                <c:pt idx="1">
                  <c:v>0.0197416271256884</c:v>
                </c:pt>
                <c:pt idx="2">
                  <c:v>0.0167492993667762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0.00484882069753749</c:v>
                </c:pt>
                <c:pt idx="1">
                  <c:v>0.00484882069753749</c:v>
                </c:pt>
                <c:pt idx="2">
                  <c:v>0.00411386300236607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0.0086586083884598</c:v>
                </c:pt>
                <c:pt idx="2">
                  <c:v>0.0086586083884598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0.00519516503307588</c:v>
                </c:pt>
                <c:pt idx="2">
                  <c:v>0.00519516503307588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0.0086586083884598</c:v>
                </c:pt>
                <c:pt idx="1">
                  <c:v>0.0086586083884598</c:v>
                </c:pt>
                <c:pt idx="2">
                  <c:v>0.0086586083884598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0.00519516503307588</c:v>
                </c:pt>
                <c:pt idx="1">
                  <c:v>0.00519516503307588</c:v>
                </c:pt>
                <c:pt idx="2">
                  <c:v>0.00519516503307588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0.190489384546116</c:v>
                </c:pt>
                <c:pt idx="1">
                  <c:v>0.190489384546116</c:v>
                </c:pt>
                <c:pt idx="2">
                  <c:v>0.190489384546116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0.41145707061961</c:v>
                </c:pt>
                <c:pt idx="1">
                  <c:v>0.41145707061961</c:v>
                </c:pt>
                <c:pt idx="2">
                  <c:v>0.41145707061961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0.106708689779379</c:v>
                </c:pt>
                <c:pt idx="1">
                  <c:v>0.106708689779379</c:v>
                </c:pt>
                <c:pt idx="2">
                  <c:v>0.106708689779379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677768"/>
        <c:axId val="1899680760"/>
      </c:barChart>
      <c:catAx>
        <c:axId val="18996777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680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680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67776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323704"/>
        <c:axId val="1899326696"/>
      </c:barChart>
      <c:catAx>
        <c:axId val="18993237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266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3266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3237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ZACNI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2141.476099311332</c:v>
                </c:pt>
                <c:pt idx="1">
                  <c:v>2371.395568392533</c:v>
                </c:pt>
                <c:pt idx="2">
                  <c:v>3300.535722109002</c:v>
                </c:pt>
                <c:pt idx="3">
                  <c:v>3337.872154427523</c:v>
                </c:pt>
                <c:pt idx="4">
                  <c:v>2226.006486051664</c:v>
                </c:pt>
                <c:pt idx="5">
                  <c:v>2693.281405873587</c:v>
                </c:pt>
                <c:pt idx="6">
                  <c:v>3452.030030332778</c:v>
                </c:pt>
                <c:pt idx="7">
                  <c:v>3472.970194483946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836.0</c:v>
                </c:pt>
                <c:pt idx="2">
                  <c:v>3621.0</c:v>
                </c:pt>
                <c:pt idx="3">
                  <c:v>5132.444444444444</c:v>
                </c:pt>
                <c:pt idx="4">
                  <c:v>0.0</c:v>
                </c:pt>
                <c:pt idx="5">
                  <c:v>150.0</c:v>
                </c:pt>
                <c:pt idx="6">
                  <c:v>3609.640906036441</c:v>
                </c:pt>
                <c:pt idx="7">
                  <c:v>4883.323291416296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151.4550861507912</c:v>
                </c:pt>
                <c:pt idx="1">
                  <c:v>234.0702323060057</c:v>
                </c:pt>
                <c:pt idx="2">
                  <c:v>403.3296965416698</c:v>
                </c:pt>
                <c:pt idx="3">
                  <c:v>1050.513106672243</c:v>
                </c:pt>
                <c:pt idx="4">
                  <c:v>151.4550861507912</c:v>
                </c:pt>
                <c:pt idx="5">
                  <c:v>234.0702323060057</c:v>
                </c:pt>
                <c:pt idx="6">
                  <c:v>403.3296965416698</c:v>
                </c:pt>
                <c:pt idx="7">
                  <c:v>1050.513106672243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0.0</c:v>
                </c:pt>
                <c:pt idx="1">
                  <c:v>500.0000000000001</c:v>
                </c:pt>
                <c:pt idx="2">
                  <c:v>3500.0</c:v>
                </c:pt>
                <c:pt idx="3">
                  <c:v>9822.22222222222</c:v>
                </c:pt>
                <c:pt idx="4">
                  <c:v>0.0</c:v>
                </c:pt>
                <c:pt idx="5">
                  <c:v>500.0000000000001</c:v>
                </c:pt>
                <c:pt idx="6">
                  <c:v>3694.172546385623</c:v>
                </c:pt>
                <c:pt idx="7">
                  <c:v>10159.0545005188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79.3865698403876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67.353588206918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0.0</c:v>
                </c:pt>
                <c:pt idx="1">
                  <c:v>1622.414364640884</c:v>
                </c:pt>
                <c:pt idx="2">
                  <c:v>752.0</c:v>
                </c:pt>
                <c:pt idx="3">
                  <c:v>0.0</c:v>
                </c:pt>
                <c:pt idx="4">
                  <c:v>0.0</c:v>
                </c:pt>
                <c:pt idx="5">
                  <c:v>1622.414364640884</c:v>
                </c:pt>
                <c:pt idx="6">
                  <c:v>752.0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30897.77777777778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30897.77777777778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371.0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371.0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429.0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445.6600044798865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2160.0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2160.0</c:v>
                </c:pt>
                <c:pt idx="7">
                  <c:v>0.0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717.6338577263452</c:v>
                </c:pt>
                <c:pt idx="4">
                  <c:v>807.3380899421383</c:v>
                </c:pt>
                <c:pt idx="5">
                  <c:v>807.3380899421383</c:v>
                </c:pt>
                <c:pt idx="6">
                  <c:v>807.3380899421383</c:v>
                </c:pt>
                <c:pt idx="7">
                  <c:v>717.6338577263452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276.4506602439554</c:v>
                </c:pt>
                <c:pt idx="3">
                  <c:v>536.5007336043948</c:v>
                </c:pt>
                <c:pt idx="4">
                  <c:v>0.0</c:v>
                </c:pt>
                <c:pt idx="5">
                  <c:v>0.0</c:v>
                </c:pt>
                <c:pt idx="6">
                  <c:v>276.4506602439554</c:v>
                </c:pt>
                <c:pt idx="7">
                  <c:v>536.5007336043948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5477.333333333333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5477.333333333333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1600.0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1600.0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630632"/>
        <c:axId val="1901633960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17059.8252222761</c:v>
                </c:pt>
                <c:pt idx="5" formatCode="#,##0">
                  <c:v>17059.8252222761</c:v>
                </c:pt>
                <c:pt idx="6" formatCode="#,##0">
                  <c:v>17059.8252222761</c:v>
                </c:pt>
                <c:pt idx="7" formatCode="#,##0">
                  <c:v>17059.8252222761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31038.49188894277</c:v>
                </c:pt>
                <c:pt idx="1">
                  <c:v>31038.49188894277</c:v>
                </c:pt>
                <c:pt idx="2">
                  <c:v>31038.49188894277</c:v>
                </c:pt>
                <c:pt idx="3">
                  <c:v>31038.49188894276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31038.49188894277</c:v>
                </c:pt>
                <c:pt idx="5" formatCode="#,##0">
                  <c:v>31038.49188894277</c:v>
                </c:pt>
                <c:pt idx="6" formatCode="#,##0">
                  <c:v>31038.49188894277</c:v>
                </c:pt>
                <c:pt idx="7" formatCode="#,##0">
                  <c:v>31038.49188894276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58782.49188894278</c:v>
                </c:pt>
                <c:pt idx="1">
                  <c:v>58782.49188894278</c:v>
                </c:pt>
                <c:pt idx="2">
                  <c:v>58782.49188894278</c:v>
                </c:pt>
                <c:pt idx="3">
                  <c:v>58782.49188894278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58782.49188894278</c:v>
                </c:pt>
                <c:pt idx="5" formatCode="#,##0">
                  <c:v>58782.49188894278</c:v>
                </c:pt>
                <c:pt idx="6" formatCode="#,##0">
                  <c:v>58782.49188894278</c:v>
                </c:pt>
                <c:pt idx="7" formatCode="#,##0">
                  <c:v>58782.49188894278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630632"/>
        <c:axId val="1901633960"/>
      </c:lineChart>
      <c:catAx>
        <c:axId val="190163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16339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16339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1630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ZACNI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2141.476099311332</c:v>
                </c:pt>
                <c:pt idx="1">
                  <c:v>2371.395568392533</c:v>
                </c:pt>
                <c:pt idx="2">
                  <c:v>3300.535722109002</c:v>
                </c:pt>
                <c:pt idx="3">
                  <c:v>3337.872154427523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836.0</c:v>
                </c:pt>
                <c:pt idx="2">
                  <c:v>3621.0</c:v>
                </c:pt>
                <c:pt idx="3">
                  <c:v>5132.444444444444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151.4550861507912</c:v>
                </c:pt>
                <c:pt idx="1">
                  <c:v>234.0702323060057</c:v>
                </c:pt>
                <c:pt idx="2">
                  <c:v>403.3296965416698</c:v>
                </c:pt>
                <c:pt idx="3">
                  <c:v>1050.513106672243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0.0</c:v>
                </c:pt>
                <c:pt idx="1">
                  <c:v>500.0000000000001</c:v>
                </c:pt>
                <c:pt idx="2">
                  <c:v>3500.0</c:v>
                </c:pt>
                <c:pt idx="3">
                  <c:v>9822.22222222222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79.3865698403876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0.0</c:v>
                </c:pt>
                <c:pt idx="1">
                  <c:v>1622.414364640884</c:v>
                </c:pt>
                <c:pt idx="2">
                  <c:v>752.0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30897.77777777778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371.0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429.0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2160.0</c:v>
                </c:pt>
                <c:pt idx="3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717.6338577263452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276.4506602439554</c:v>
                </c:pt>
                <c:pt idx="3">
                  <c:v>536.5007336043948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5477.333333333333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1600.0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054248680"/>
        <c:axId val="-205462647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31038.49188894277</c:v>
                </c:pt>
                <c:pt idx="1">
                  <c:v>31038.49188894277</c:v>
                </c:pt>
                <c:pt idx="2">
                  <c:v>31038.49188894277</c:v>
                </c:pt>
                <c:pt idx="3">
                  <c:v>31038.49188894276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58782.49188894278</c:v>
                </c:pt>
                <c:pt idx="1">
                  <c:v>58782.49188894278</c:v>
                </c:pt>
                <c:pt idx="2">
                  <c:v>58782.49188894278</c:v>
                </c:pt>
                <c:pt idx="3">
                  <c:v>58782.49188894278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248680"/>
        <c:axId val="-2054626472"/>
      </c:lineChart>
      <c:catAx>
        <c:axId val="-2054248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46264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-20546264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-20542486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2141.476099311332</c:v>
                </c:pt>
                <c:pt idx="1">
                  <c:v>2141.476099311332</c:v>
                </c:pt>
                <c:pt idx="2">
                  <c:v>2141.476099311332</c:v>
                </c:pt>
                <c:pt idx="3">
                  <c:v>2141.476099311332</c:v>
                </c:pt>
                <c:pt idx="4">
                  <c:v>2141.476099311332</c:v>
                </c:pt>
                <c:pt idx="5">
                  <c:v>2141.476099311332</c:v>
                </c:pt>
                <c:pt idx="6">
                  <c:v>2141.476099311332</c:v>
                </c:pt>
                <c:pt idx="7">
                  <c:v>2141.476099311332</c:v>
                </c:pt>
                <c:pt idx="8">
                  <c:v>2141.476099311332</c:v>
                </c:pt>
                <c:pt idx="9">
                  <c:v>2141.476099311332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151.4550861507912</c:v>
                </c:pt>
                <c:pt idx="1">
                  <c:v>151.4550861507912</c:v>
                </c:pt>
                <c:pt idx="2">
                  <c:v>151.4550861507912</c:v>
                </c:pt>
                <c:pt idx="3">
                  <c:v>151.4550861507912</c:v>
                </c:pt>
                <c:pt idx="4">
                  <c:v>151.4550861507912</c:v>
                </c:pt>
                <c:pt idx="5">
                  <c:v>151.4550861507912</c:v>
                </c:pt>
                <c:pt idx="6">
                  <c:v>151.4550861507912</c:v>
                </c:pt>
                <c:pt idx="7">
                  <c:v>151.4550861507912</c:v>
                </c:pt>
                <c:pt idx="8">
                  <c:v>151.4550861507912</c:v>
                </c:pt>
                <c:pt idx="9">
                  <c:v>151.4550861507912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807.3380899421383</c:v>
                </c:pt>
                <c:pt idx="4">
                  <c:v>807.3380899421383</c:v>
                </c:pt>
                <c:pt idx="5">
                  <c:v>807.3380899421383</c:v>
                </c:pt>
                <c:pt idx="6">
                  <c:v>807.3380899421383</c:v>
                </c:pt>
                <c:pt idx="7">
                  <c:v>807.3380899421383</c:v>
                </c:pt>
                <c:pt idx="8">
                  <c:v>807.3380899421383</c:v>
                </c:pt>
                <c:pt idx="9">
                  <c:v>807.3380899421383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24792344"/>
        <c:axId val="210878735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31038.49188894277</c:v>
                </c:pt>
                <c:pt idx="1">
                  <c:v>31038.49188894277</c:v>
                </c:pt>
                <c:pt idx="2">
                  <c:v>31038.49188894277</c:v>
                </c:pt>
                <c:pt idx="3">
                  <c:v>31038.49188894276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4792344"/>
        <c:axId val="2108787352"/>
      </c:lineChart>
      <c:catAx>
        <c:axId val="1924792344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087873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087873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247923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0.555043079894413</c:v>
                </c:pt>
                <c:pt idx="1">
                  <c:v>0.555043079894413</c:v>
                </c:pt>
                <c:pt idx="2">
                  <c:v>0.555043079894413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0.571374071803256</c:v>
                </c:pt>
                <c:pt idx="1">
                  <c:v>0.444956920105587</c:v>
                </c:pt>
                <c:pt idx="2">
                  <c:v>0.41691686288098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1.1340282035561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0.152871449008788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0.11613388389999</c:v>
                </c:pt>
                <c:pt idx="1">
                  <c:v>0.11613388389999</c:v>
                </c:pt>
                <c:pt idx="2">
                  <c:v>0.0757776317773239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-0.571374071803256</c:v>
                </c:pt>
                <c:pt idx="2">
                  <c:v>-0.2302348406996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104184"/>
        <c:axId val="1924873416"/>
      </c:barChart>
      <c:catAx>
        <c:axId val="19031041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48734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48734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310418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0.394134877938548</c:v>
                </c:pt>
                <c:pt idx="1">
                  <c:v>0.394134877938548</c:v>
                </c:pt>
                <c:pt idx="2">
                  <c:v>0.394134877938548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0.0813022080044028</c:v>
                </c:pt>
                <c:pt idx="1">
                  <c:v>0.0813022080044028</c:v>
                </c:pt>
                <c:pt idx="2">
                  <c:v>0.0737000193951464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0.217978115113343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0.805270948828839</c:v>
                </c:pt>
                <c:pt idx="1">
                  <c:v>0.11883143445682</c:v>
                </c:pt>
                <c:pt idx="2">
                  <c:v>0.132223349850448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-1.74826756992529E-16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0.0813022080044028</c:v>
                </c:pt>
                <c:pt idx="1">
                  <c:v>0.0813022080044028</c:v>
                </c:pt>
                <c:pt idx="2">
                  <c:v>0.0737000193951464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-0.286900045143408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4617000"/>
        <c:axId val="1924620360"/>
      </c:barChart>
      <c:catAx>
        <c:axId val="1924617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46203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46203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4617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0.264546809620041</c:v>
                </c:pt>
                <c:pt idx="1">
                  <c:v>0.264546809620041</c:v>
                </c:pt>
                <c:pt idx="2">
                  <c:v>0.264546809620041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0.0498965463729233</c:v>
                </c:pt>
                <c:pt idx="1">
                  <c:v>0.0498965463729233</c:v>
                </c:pt>
                <c:pt idx="2">
                  <c:v>0.0470956834965905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0.199321165102345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0.0498965463729233</c:v>
                </c:pt>
                <c:pt idx="1">
                  <c:v>0.0498965463729233</c:v>
                </c:pt>
                <c:pt idx="2">
                  <c:v>0.0470956834965905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3140024"/>
        <c:axId val="1924787400"/>
      </c:barChart>
      <c:catAx>
        <c:axId val="190314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47874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4787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31400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0.616672522689228</c:v>
                </c:pt>
                <c:pt idx="1">
                  <c:v>0.616672522689228</c:v>
                </c:pt>
                <c:pt idx="2">
                  <c:v>0.616672522689228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0.634816833181956</c:v>
                </c:pt>
                <c:pt idx="1">
                  <c:v>0.383327477310771</c:v>
                </c:pt>
                <c:pt idx="2">
                  <c:v>0.383327477310771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1.259945504087193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0.127157129881926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0.130850407213934</c:v>
                </c:pt>
                <c:pt idx="1">
                  <c:v>0.130850407213934</c:v>
                </c:pt>
                <c:pt idx="2">
                  <c:v>0.0901363384876892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-0.634816833181956</c:v>
                </c:pt>
                <c:pt idx="2">
                  <c:v>-0.341625694358874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3787496"/>
        <c:axId val="1923790856"/>
      </c:barChart>
      <c:catAx>
        <c:axId val="1923787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3790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3790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37874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0.0130370485678705</c:v>
                </c:pt>
                <c:pt idx="1">
                  <c:v>0.0130370485678705</c:v>
                </c:pt>
                <c:pt idx="2" formatCode="0.0%">
                  <c:v>0.0130370485678705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0.0464367216687422</c:v>
                </c:pt>
                <c:pt idx="1">
                  <c:v>0.0464367216687422</c:v>
                </c:pt>
                <c:pt idx="2" formatCode="0.0%">
                  <c:v>0.0464367216687422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0.133077868150685</c:v>
                </c:pt>
                <c:pt idx="1">
                  <c:v>0.133077868150685</c:v>
                </c:pt>
                <c:pt idx="2" formatCode="0.0%">
                  <c:v>0.147433461776456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0.107708753891656</c:v>
                </c:pt>
                <c:pt idx="1">
                  <c:v>0.107708753891656</c:v>
                </c:pt>
                <c:pt idx="2" formatCode="0.0%">
                  <c:v>0.0999330050798127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0.00224851494396015</c:v>
                </c:pt>
                <c:pt idx="1">
                  <c:v>0.00224851494396015</c:v>
                </c:pt>
                <c:pt idx="2" formatCode="0.0%">
                  <c:v>0.00246681488008758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0.0612585616438356</c:v>
                </c:pt>
                <c:pt idx="1">
                  <c:v>0.0612585616438356</c:v>
                </c:pt>
                <c:pt idx="2" formatCode="0.0%">
                  <c:v>0.0630607935987302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0.0943398661270237</c:v>
                </c:pt>
                <c:pt idx="1">
                  <c:v>0.0943398661270237</c:v>
                </c:pt>
                <c:pt idx="2" formatCode="0.0%">
                  <c:v>0.103498972142805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0.024561799501868</c:v>
                </c:pt>
                <c:pt idx="1">
                  <c:v>0.024561799501868</c:v>
                </c:pt>
                <c:pt idx="2" formatCode="0.0%">
                  <c:v>0.0291412066687662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0.0209915940224159</c:v>
                </c:pt>
                <c:pt idx="1">
                  <c:v>0.0209915940224159</c:v>
                </c:pt>
                <c:pt idx="2" formatCode="0.0%">
                  <c:v>0.0209915940224159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0.0176948349937733</c:v>
                </c:pt>
                <c:pt idx="1">
                  <c:v>0.0176948349937733</c:v>
                </c:pt>
                <c:pt idx="2" formatCode="0.0%">
                  <c:v>0.0176948349937733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0.0230697384806974</c:v>
                </c:pt>
                <c:pt idx="1">
                  <c:v>0.0230697384806974</c:v>
                </c:pt>
                <c:pt idx="2" formatCode="0.0%">
                  <c:v>0.0230697384806974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0.0267060525786126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0.0545150099834806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0.302097758872976</c:v>
                </c:pt>
                <c:pt idx="1">
                  <c:v>0.302097758872976</c:v>
                </c:pt>
                <c:pt idx="2" formatCode="0.0%">
                  <c:v>0.337951594527442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0.413042419053549</c:v>
                </c:pt>
                <c:pt idx="1">
                  <c:v>0.413042419053549</c:v>
                </c:pt>
                <c:pt idx="2" formatCode="0.0%">
                  <c:v>0.374420757350357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8668264"/>
        <c:axId val="1898671496"/>
      </c:barChart>
      <c:catAx>
        <c:axId val="18986682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8671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8671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89866826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2141.476099311332</c:v>
                </c:pt>
                <c:pt idx="1">
                  <c:v>2141.476099311332</c:v>
                </c:pt>
                <c:pt idx="2">
                  <c:v>2141.476099311332</c:v>
                </c:pt>
                <c:pt idx="3">
                  <c:v>2141.476099311332</c:v>
                </c:pt>
                <c:pt idx="4">
                  <c:v>2141.476099311332</c:v>
                </c:pt>
                <c:pt idx="5">
                  <c:v>2141.476099311332</c:v>
                </c:pt>
                <c:pt idx="6">
                  <c:v>2141.476099311332</c:v>
                </c:pt>
                <c:pt idx="7">
                  <c:v>2141.476099311332</c:v>
                </c:pt>
                <c:pt idx="8">
                  <c:v>2141.476099311332</c:v>
                </c:pt>
                <c:pt idx="9">
                  <c:v>2141.476099311332</c:v>
                </c:pt>
                <c:pt idx="10">
                  <c:v>2141.476099311332</c:v>
                </c:pt>
                <c:pt idx="11">
                  <c:v>2141.476099311332</c:v>
                </c:pt>
                <c:pt idx="12">
                  <c:v>2141.476099311332</c:v>
                </c:pt>
                <c:pt idx="13">
                  <c:v>2141.476099311332</c:v>
                </c:pt>
                <c:pt idx="14">
                  <c:v>2141.476099311332</c:v>
                </c:pt>
                <c:pt idx="15">
                  <c:v>2141.476099311332</c:v>
                </c:pt>
                <c:pt idx="16">
                  <c:v>2141.476099311332</c:v>
                </c:pt>
                <c:pt idx="17">
                  <c:v>2141.476099311332</c:v>
                </c:pt>
                <c:pt idx="18">
                  <c:v>2141.476099311332</c:v>
                </c:pt>
                <c:pt idx="19">
                  <c:v>2141.476099311332</c:v>
                </c:pt>
                <c:pt idx="20">
                  <c:v>2141.476099311332</c:v>
                </c:pt>
                <c:pt idx="21">
                  <c:v>2141.476099311332</c:v>
                </c:pt>
                <c:pt idx="22">
                  <c:v>2141.476099311332</c:v>
                </c:pt>
                <c:pt idx="23">
                  <c:v>2141.476099311332</c:v>
                </c:pt>
                <c:pt idx="24">
                  <c:v>2141.476099311332</c:v>
                </c:pt>
                <c:pt idx="25">
                  <c:v>2141.476099311332</c:v>
                </c:pt>
                <c:pt idx="26">
                  <c:v>2141.476099311332</c:v>
                </c:pt>
                <c:pt idx="27">
                  <c:v>2141.476099311332</c:v>
                </c:pt>
                <c:pt idx="28">
                  <c:v>2141.476099311332</c:v>
                </c:pt>
                <c:pt idx="29">
                  <c:v>2141.476099311332</c:v>
                </c:pt>
                <c:pt idx="30">
                  <c:v>2141.476099311332</c:v>
                </c:pt>
                <c:pt idx="31">
                  <c:v>2141.476099311332</c:v>
                </c:pt>
                <c:pt idx="32">
                  <c:v>2141.476099311332</c:v>
                </c:pt>
                <c:pt idx="33">
                  <c:v>2141.476099311332</c:v>
                </c:pt>
                <c:pt idx="34">
                  <c:v>2141.476099311332</c:v>
                </c:pt>
                <c:pt idx="35">
                  <c:v>2141.476099311332</c:v>
                </c:pt>
                <c:pt idx="36">
                  <c:v>2141.476099311332</c:v>
                </c:pt>
                <c:pt idx="37">
                  <c:v>2141.476099311332</c:v>
                </c:pt>
                <c:pt idx="38">
                  <c:v>2141.476099311332</c:v>
                </c:pt>
                <c:pt idx="39">
                  <c:v>2141.476099311332</c:v>
                </c:pt>
                <c:pt idx="40">
                  <c:v>2141.476099311332</c:v>
                </c:pt>
                <c:pt idx="41">
                  <c:v>2141.476099311332</c:v>
                </c:pt>
                <c:pt idx="42">
                  <c:v>2141.476099311332</c:v>
                </c:pt>
                <c:pt idx="43">
                  <c:v>2141.476099311332</c:v>
                </c:pt>
                <c:pt idx="44">
                  <c:v>2141.476099311332</c:v>
                </c:pt>
                <c:pt idx="45">
                  <c:v>2141.476099311332</c:v>
                </c:pt>
                <c:pt idx="46">
                  <c:v>2141.476099311332</c:v>
                </c:pt>
                <c:pt idx="47">
                  <c:v>2141.476099311332</c:v>
                </c:pt>
                <c:pt idx="48">
                  <c:v>2141.476099311332</c:v>
                </c:pt>
                <c:pt idx="49">
                  <c:v>2141.476099311332</c:v>
                </c:pt>
                <c:pt idx="50">
                  <c:v>2371.395568392533</c:v>
                </c:pt>
                <c:pt idx="51">
                  <c:v>2371.395568392533</c:v>
                </c:pt>
                <c:pt idx="52">
                  <c:v>2371.395568392533</c:v>
                </c:pt>
                <c:pt idx="53">
                  <c:v>2371.395568392533</c:v>
                </c:pt>
                <c:pt idx="54">
                  <c:v>2371.395568392533</c:v>
                </c:pt>
                <c:pt idx="55">
                  <c:v>2371.395568392533</c:v>
                </c:pt>
                <c:pt idx="56">
                  <c:v>2371.395568392533</c:v>
                </c:pt>
                <c:pt idx="57">
                  <c:v>2371.395568392533</c:v>
                </c:pt>
                <c:pt idx="58">
                  <c:v>2371.395568392533</c:v>
                </c:pt>
                <c:pt idx="59">
                  <c:v>2371.395568392533</c:v>
                </c:pt>
                <c:pt idx="60">
                  <c:v>2371.395568392533</c:v>
                </c:pt>
                <c:pt idx="61">
                  <c:v>2371.395568392533</c:v>
                </c:pt>
                <c:pt idx="62">
                  <c:v>2371.395568392533</c:v>
                </c:pt>
                <c:pt idx="63">
                  <c:v>2371.395568392533</c:v>
                </c:pt>
                <c:pt idx="64">
                  <c:v>2371.395568392533</c:v>
                </c:pt>
                <c:pt idx="65">
                  <c:v>2371.395568392533</c:v>
                </c:pt>
                <c:pt idx="66">
                  <c:v>2371.395568392533</c:v>
                </c:pt>
                <c:pt idx="67">
                  <c:v>2371.395568392533</c:v>
                </c:pt>
                <c:pt idx="68">
                  <c:v>2371.395568392533</c:v>
                </c:pt>
                <c:pt idx="69">
                  <c:v>2371.395568392533</c:v>
                </c:pt>
                <c:pt idx="70">
                  <c:v>2371.395568392533</c:v>
                </c:pt>
                <c:pt idx="71">
                  <c:v>2371.395568392533</c:v>
                </c:pt>
                <c:pt idx="72">
                  <c:v>2371.395568392533</c:v>
                </c:pt>
                <c:pt idx="73">
                  <c:v>2371.395568392533</c:v>
                </c:pt>
                <c:pt idx="74">
                  <c:v>2371.395568392533</c:v>
                </c:pt>
                <c:pt idx="75">
                  <c:v>2371.395568392533</c:v>
                </c:pt>
                <c:pt idx="76">
                  <c:v>2371.395568392533</c:v>
                </c:pt>
                <c:pt idx="77">
                  <c:v>2371.395568392533</c:v>
                </c:pt>
                <c:pt idx="78">
                  <c:v>2371.395568392533</c:v>
                </c:pt>
                <c:pt idx="79">
                  <c:v>2371.395568392533</c:v>
                </c:pt>
                <c:pt idx="80">
                  <c:v>3300.535722109002</c:v>
                </c:pt>
                <c:pt idx="81">
                  <c:v>3300.535722109002</c:v>
                </c:pt>
                <c:pt idx="82">
                  <c:v>3300.535722109002</c:v>
                </c:pt>
                <c:pt idx="83">
                  <c:v>3300.535722109002</c:v>
                </c:pt>
                <c:pt idx="84">
                  <c:v>3300.535722109002</c:v>
                </c:pt>
                <c:pt idx="85">
                  <c:v>3300.535722109002</c:v>
                </c:pt>
                <c:pt idx="86">
                  <c:v>3300.535722109002</c:v>
                </c:pt>
                <c:pt idx="87">
                  <c:v>3300.535722109002</c:v>
                </c:pt>
                <c:pt idx="88">
                  <c:v>3300.535722109002</c:v>
                </c:pt>
                <c:pt idx="89">
                  <c:v>3300.535722109002</c:v>
                </c:pt>
                <c:pt idx="90">
                  <c:v>3300.535722109002</c:v>
                </c:pt>
                <c:pt idx="91">
                  <c:v>3300.535722109002</c:v>
                </c:pt>
                <c:pt idx="92">
                  <c:v>3300.535722109002</c:v>
                </c:pt>
                <c:pt idx="93">
                  <c:v>3300.535722109002</c:v>
                </c:pt>
                <c:pt idx="94">
                  <c:v>3300.535722109002</c:v>
                </c:pt>
                <c:pt idx="95">
                  <c:v>3337.872154427523</c:v>
                </c:pt>
                <c:pt idx="96">
                  <c:v>3337.872154427523</c:v>
                </c:pt>
                <c:pt idx="97">
                  <c:v>3337.872154427523</c:v>
                </c:pt>
                <c:pt idx="98">
                  <c:v>3337.872154427523</c:v>
                </c:pt>
                <c:pt idx="99">
                  <c:v>3337.872154427523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836.0</c:v>
                </c:pt>
                <c:pt idx="51">
                  <c:v>836.0</c:v>
                </c:pt>
                <c:pt idx="52">
                  <c:v>836.0</c:v>
                </c:pt>
                <c:pt idx="53">
                  <c:v>836.0</c:v>
                </c:pt>
                <c:pt idx="54">
                  <c:v>836.0</c:v>
                </c:pt>
                <c:pt idx="55">
                  <c:v>836.0</c:v>
                </c:pt>
                <c:pt idx="56">
                  <c:v>836.0</c:v>
                </c:pt>
                <c:pt idx="57">
                  <c:v>836.0</c:v>
                </c:pt>
                <c:pt idx="58">
                  <c:v>836.0</c:v>
                </c:pt>
                <c:pt idx="59">
                  <c:v>836.0</c:v>
                </c:pt>
                <c:pt idx="60">
                  <c:v>836.0</c:v>
                </c:pt>
                <c:pt idx="61">
                  <c:v>836.0</c:v>
                </c:pt>
                <c:pt idx="62">
                  <c:v>836.0</c:v>
                </c:pt>
                <c:pt idx="63">
                  <c:v>836.0</c:v>
                </c:pt>
                <c:pt idx="64">
                  <c:v>836.0</c:v>
                </c:pt>
                <c:pt idx="65">
                  <c:v>836.0</c:v>
                </c:pt>
                <c:pt idx="66">
                  <c:v>836.0</c:v>
                </c:pt>
                <c:pt idx="67">
                  <c:v>836.0</c:v>
                </c:pt>
                <c:pt idx="68">
                  <c:v>836.0</c:v>
                </c:pt>
                <c:pt idx="69">
                  <c:v>836.0</c:v>
                </c:pt>
                <c:pt idx="70">
                  <c:v>836.0</c:v>
                </c:pt>
                <c:pt idx="71">
                  <c:v>836.0</c:v>
                </c:pt>
                <c:pt idx="72">
                  <c:v>836.0</c:v>
                </c:pt>
                <c:pt idx="73">
                  <c:v>836.0</c:v>
                </c:pt>
                <c:pt idx="74">
                  <c:v>836.0</c:v>
                </c:pt>
                <c:pt idx="75">
                  <c:v>836.0</c:v>
                </c:pt>
                <c:pt idx="76">
                  <c:v>836.0</c:v>
                </c:pt>
                <c:pt idx="77">
                  <c:v>836.0</c:v>
                </c:pt>
                <c:pt idx="78">
                  <c:v>836.0</c:v>
                </c:pt>
                <c:pt idx="79">
                  <c:v>836.0</c:v>
                </c:pt>
                <c:pt idx="80">
                  <c:v>3621.0</c:v>
                </c:pt>
                <c:pt idx="81">
                  <c:v>3621.0</c:v>
                </c:pt>
                <c:pt idx="82">
                  <c:v>3621.0</c:v>
                </c:pt>
                <c:pt idx="83">
                  <c:v>3621.0</c:v>
                </c:pt>
                <c:pt idx="84">
                  <c:v>3621.0</c:v>
                </c:pt>
                <c:pt idx="85">
                  <c:v>3621.0</c:v>
                </c:pt>
                <c:pt idx="86">
                  <c:v>3621.0</c:v>
                </c:pt>
                <c:pt idx="87">
                  <c:v>3621.0</c:v>
                </c:pt>
                <c:pt idx="88">
                  <c:v>3621.0</c:v>
                </c:pt>
                <c:pt idx="89">
                  <c:v>3621.0</c:v>
                </c:pt>
                <c:pt idx="90">
                  <c:v>3621.0</c:v>
                </c:pt>
                <c:pt idx="91">
                  <c:v>3621.0</c:v>
                </c:pt>
                <c:pt idx="92">
                  <c:v>3621.0</c:v>
                </c:pt>
                <c:pt idx="93">
                  <c:v>3621.0</c:v>
                </c:pt>
                <c:pt idx="94">
                  <c:v>3621.0</c:v>
                </c:pt>
                <c:pt idx="95">
                  <c:v>5132.444444444444</c:v>
                </c:pt>
                <c:pt idx="96">
                  <c:v>5132.444444444444</c:v>
                </c:pt>
                <c:pt idx="97">
                  <c:v>5132.444444444444</c:v>
                </c:pt>
                <c:pt idx="98">
                  <c:v>5132.444444444444</c:v>
                </c:pt>
                <c:pt idx="99">
                  <c:v>5132.444444444444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151.4550861507912</c:v>
                </c:pt>
                <c:pt idx="1">
                  <c:v>151.4550861507912</c:v>
                </c:pt>
                <c:pt idx="2">
                  <c:v>151.4550861507912</c:v>
                </c:pt>
                <c:pt idx="3">
                  <c:v>151.4550861507912</c:v>
                </c:pt>
                <c:pt idx="4">
                  <c:v>151.4550861507912</c:v>
                </c:pt>
                <c:pt idx="5">
                  <c:v>151.4550861507912</c:v>
                </c:pt>
                <c:pt idx="6">
                  <c:v>151.4550861507912</c:v>
                </c:pt>
                <c:pt idx="7">
                  <c:v>151.4550861507912</c:v>
                </c:pt>
                <c:pt idx="8">
                  <c:v>151.4550861507912</c:v>
                </c:pt>
                <c:pt idx="9">
                  <c:v>151.4550861507912</c:v>
                </c:pt>
                <c:pt idx="10">
                  <c:v>151.4550861507912</c:v>
                </c:pt>
                <c:pt idx="11">
                  <c:v>151.4550861507912</c:v>
                </c:pt>
                <c:pt idx="12">
                  <c:v>151.4550861507912</c:v>
                </c:pt>
                <c:pt idx="13">
                  <c:v>151.4550861507912</c:v>
                </c:pt>
                <c:pt idx="14">
                  <c:v>151.4550861507912</c:v>
                </c:pt>
                <c:pt idx="15">
                  <c:v>151.4550861507912</c:v>
                </c:pt>
                <c:pt idx="16">
                  <c:v>151.4550861507912</c:v>
                </c:pt>
                <c:pt idx="17">
                  <c:v>151.4550861507912</c:v>
                </c:pt>
                <c:pt idx="18">
                  <c:v>151.4550861507912</c:v>
                </c:pt>
                <c:pt idx="19">
                  <c:v>151.4550861507912</c:v>
                </c:pt>
                <c:pt idx="20">
                  <c:v>151.4550861507912</c:v>
                </c:pt>
                <c:pt idx="21">
                  <c:v>151.4550861507912</c:v>
                </c:pt>
                <c:pt idx="22">
                  <c:v>151.4550861507912</c:v>
                </c:pt>
                <c:pt idx="23">
                  <c:v>151.4550861507912</c:v>
                </c:pt>
                <c:pt idx="24">
                  <c:v>151.4550861507912</c:v>
                </c:pt>
                <c:pt idx="25">
                  <c:v>151.4550861507912</c:v>
                </c:pt>
                <c:pt idx="26">
                  <c:v>151.4550861507912</c:v>
                </c:pt>
                <c:pt idx="27">
                  <c:v>151.4550861507912</c:v>
                </c:pt>
                <c:pt idx="28">
                  <c:v>151.4550861507912</c:v>
                </c:pt>
                <c:pt idx="29">
                  <c:v>151.4550861507912</c:v>
                </c:pt>
                <c:pt idx="30">
                  <c:v>151.4550861507912</c:v>
                </c:pt>
                <c:pt idx="31">
                  <c:v>151.4550861507912</c:v>
                </c:pt>
                <c:pt idx="32">
                  <c:v>151.4550861507912</c:v>
                </c:pt>
                <c:pt idx="33">
                  <c:v>151.4550861507912</c:v>
                </c:pt>
                <c:pt idx="34">
                  <c:v>151.4550861507912</c:v>
                </c:pt>
                <c:pt idx="35">
                  <c:v>151.4550861507912</c:v>
                </c:pt>
                <c:pt idx="36">
                  <c:v>151.4550861507912</c:v>
                </c:pt>
                <c:pt idx="37">
                  <c:v>151.4550861507912</c:v>
                </c:pt>
                <c:pt idx="38">
                  <c:v>151.4550861507912</c:v>
                </c:pt>
                <c:pt idx="39">
                  <c:v>151.4550861507912</c:v>
                </c:pt>
                <c:pt idx="40">
                  <c:v>151.4550861507912</c:v>
                </c:pt>
                <c:pt idx="41">
                  <c:v>151.4550861507912</c:v>
                </c:pt>
                <c:pt idx="42">
                  <c:v>151.4550861507912</c:v>
                </c:pt>
                <c:pt idx="43">
                  <c:v>151.4550861507912</c:v>
                </c:pt>
                <c:pt idx="44">
                  <c:v>151.4550861507912</c:v>
                </c:pt>
                <c:pt idx="45">
                  <c:v>151.4550861507912</c:v>
                </c:pt>
                <c:pt idx="46">
                  <c:v>151.4550861507912</c:v>
                </c:pt>
                <c:pt idx="47">
                  <c:v>151.4550861507912</c:v>
                </c:pt>
                <c:pt idx="48">
                  <c:v>151.4550861507912</c:v>
                </c:pt>
                <c:pt idx="49">
                  <c:v>151.4550861507912</c:v>
                </c:pt>
                <c:pt idx="50">
                  <c:v>234.0702323060057</c:v>
                </c:pt>
                <c:pt idx="51">
                  <c:v>234.0702323060057</c:v>
                </c:pt>
                <c:pt idx="52">
                  <c:v>234.0702323060057</c:v>
                </c:pt>
                <c:pt idx="53">
                  <c:v>234.0702323060057</c:v>
                </c:pt>
                <c:pt idx="54">
                  <c:v>234.0702323060057</c:v>
                </c:pt>
                <c:pt idx="55">
                  <c:v>234.0702323060057</c:v>
                </c:pt>
                <c:pt idx="56">
                  <c:v>234.0702323060057</c:v>
                </c:pt>
                <c:pt idx="57">
                  <c:v>234.0702323060057</c:v>
                </c:pt>
                <c:pt idx="58">
                  <c:v>234.0702323060057</c:v>
                </c:pt>
                <c:pt idx="59">
                  <c:v>234.0702323060057</c:v>
                </c:pt>
                <c:pt idx="60">
                  <c:v>234.0702323060057</c:v>
                </c:pt>
                <c:pt idx="61">
                  <c:v>234.0702323060057</c:v>
                </c:pt>
                <c:pt idx="62">
                  <c:v>234.0702323060057</c:v>
                </c:pt>
                <c:pt idx="63">
                  <c:v>234.0702323060057</c:v>
                </c:pt>
                <c:pt idx="64">
                  <c:v>234.0702323060057</c:v>
                </c:pt>
                <c:pt idx="65">
                  <c:v>234.0702323060057</c:v>
                </c:pt>
                <c:pt idx="66">
                  <c:v>234.0702323060057</c:v>
                </c:pt>
                <c:pt idx="67">
                  <c:v>234.0702323060057</c:v>
                </c:pt>
                <c:pt idx="68">
                  <c:v>234.0702323060057</c:v>
                </c:pt>
                <c:pt idx="69">
                  <c:v>234.0702323060057</c:v>
                </c:pt>
                <c:pt idx="70">
                  <c:v>234.0702323060057</c:v>
                </c:pt>
                <c:pt idx="71">
                  <c:v>234.0702323060057</c:v>
                </c:pt>
                <c:pt idx="72">
                  <c:v>234.0702323060057</c:v>
                </c:pt>
                <c:pt idx="73">
                  <c:v>234.0702323060057</c:v>
                </c:pt>
                <c:pt idx="74">
                  <c:v>234.0702323060057</c:v>
                </c:pt>
                <c:pt idx="75">
                  <c:v>234.0702323060057</c:v>
                </c:pt>
                <c:pt idx="76">
                  <c:v>234.0702323060057</c:v>
                </c:pt>
                <c:pt idx="77">
                  <c:v>234.0702323060057</c:v>
                </c:pt>
                <c:pt idx="78">
                  <c:v>234.0702323060057</c:v>
                </c:pt>
                <c:pt idx="79">
                  <c:v>234.0702323060057</c:v>
                </c:pt>
                <c:pt idx="80">
                  <c:v>403.3296965416698</c:v>
                </c:pt>
                <c:pt idx="81">
                  <c:v>403.3296965416698</c:v>
                </c:pt>
                <c:pt idx="82">
                  <c:v>403.3296965416698</c:v>
                </c:pt>
                <c:pt idx="83">
                  <c:v>403.3296965416698</c:v>
                </c:pt>
                <c:pt idx="84">
                  <c:v>403.3296965416698</c:v>
                </c:pt>
                <c:pt idx="85">
                  <c:v>403.3296965416698</c:v>
                </c:pt>
                <c:pt idx="86">
                  <c:v>403.3296965416698</c:v>
                </c:pt>
                <c:pt idx="87">
                  <c:v>403.3296965416698</c:v>
                </c:pt>
                <c:pt idx="88">
                  <c:v>403.3296965416698</c:v>
                </c:pt>
                <c:pt idx="89">
                  <c:v>403.3296965416698</c:v>
                </c:pt>
                <c:pt idx="90">
                  <c:v>403.3296965416698</c:v>
                </c:pt>
                <c:pt idx="91">
                  <c:v>403.3296965416698</c:v>
                </c:pt>
                <c:pt idx="92">
                  <c:v>403.3296965416698</c:v>
                </c:pt>
                <c:pt idx="93">
                  <c:v>403.3296965416698</c:v>
                </c:pt>
                <c:pt idx="94">
                  <c:v>403.3296965416698</c:v>
                </c:pt>
                <c:pt idx="95">
                  <c:v>1050.513106672243</c:v>
                </c:pt>
                <c:pt idx="96">
                  <c:v>1050.513106672243</c:v>
                </c:pt>
                <c:pt idx="97">
                  <c:v>1050.513106672243</c:v>
                </c:pt>
                <c:pt idx="98">
                  <c:v>1050.513106672243</c:v>
                </c:pt>
                <c:pt idx="99">
                  <c:v>1050.513106672243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500.0000000000001</c:v>
                </c:pt>
                <c:pt idx="51">
                  <c:v>500.0000000000001</c:v>
                </c:pt>
                <c:pt idx="52">
                  <c:v>500.0000000000001</c:v>
                </c:pt>
                <c:pt idx="53">
                  <c:v>500.0000000000001</c:v>
                </c:pt>
                <c:pt idx="54">
                  <c:v>500.0000000000001</c:v>
                </c:pt>
                <c:pt idx="55">
                  <c:v>500.0000000000001</c:v>
                </c:pt>
                <c:pt idx="56">
                  <c:v>500.0000000000001</c:v>
                </c:pt>
                <c:pt idx="57">
                  <c:v>500.0000000000001</c:v>
                </c:pt>
                <c:pt idx="58">
                  <c:v>500.0000000000001</c:v>
                </c:pt>
                <c:pt idx="59">
                  <c:v>500.0000000000001</c:v>
                </c:pt>
                <c:pt idx="60">
                  <c:v>500.0000000000001</c:v>
                </c:pt>
                <c:pt idx="61">
                  <c:v>500.0000000000001</c:v>
                </c:pt>
                <c:pt idx="62">
                  <c:v>500.0000000000001</c:v>
                </c:pt>
                <c:pt idx="63">
                  <c:v>500.0000000000001</c:v>
                </c:pt>
                <c:pt idx="64">
                  <c:v>500.0000000000001</c:v>
                </c:pt>
                <c:pt idx="65">
                  <c:v>500.0000000000001</c:v>
                </c:pt>
                <c:pt idx="66">
                  <c:v>500.0000000000001</c:v>
                </c:pt>
                <c:pt idx="67">
                  <c:v>500.0000000000001</c:v>
                </c:pt>
                <c:pt idx="68">
                  <c:v>500.0000000000001</c:v>
                </c:pt>
                <c:pt idx="69">
                  <c:v>500.0000000000001</c:v>
                </c:pt>
                <c:pt idx="70">
                  <c:v>500.0000000000001</c:v>
                </c:pt>
                <c:pt idx="71">
                  <c:v>500.0000000000001</c:v>
                </c:pt>
                <c:pt idx="72">
                  <c:v>500.0000000000001</c:v>
                </c:pt>
                <c:pt idx="73">
                  <c:v>500.0000000000001</c:v>
                </c:pt>
                <c:pt idx="74">
                  <c:v>500.0000000000001</c:v>
                </c:pt>
                <c:pt idx="75">
                  <c:v>500.0000000000001</c:v>
                </c:pt>
                <c:pt idx="76">
                  <c:v>500.0000000000001</c:v>
                </c:pt>
                <c:pt idx="77">
                  <c:v>500.0000000000001</c:v>
                </c:pt>
                <c:pt idx="78">
                  <c:v>500.0000000000001</c:v>
                </c:pt>
                <c:pt idx="79">
                  <c:v>500.0000000000001</c:v>
                </c:pt>
                <c:pt idx="80">
                  <c:v>3500.0</c:v>
                </c:pt>
                <c:pt idx="81">
                  <c:v>3500.0</c:v>
                </c:pt>
                <c:pt idx="82">
                  <c:v>3500.0</c:v>
                </c:pt>
                <c:pt idx="83">
                  <c:v>3500.0</c:v>
                </c:pt>
                <c:pt idx="84">
                  <c:v>3500.0</c:v>
                </c:pt>
                <c:pt idx="85">
                  <c:v>3500.0</c:v>
                </c:pt>
                <c:pt idx="86">
                  <c:v>3500.0</c:v>
                </c:pt>
                <c:pt idx="87">
                  <c:v>3500.0</c:v>
                </c:pt>
                <c:pt idx="88">
                  <c:v>3500.0</c:v>
                </c:pt>
                <c:pt idx="89">
                  <c:v>3500.0</c:v>
                </c:pt>
                <c:pt idx="90">
                  <c:v>3500.0</c:v>
                </c:pt>
                <c:pt idx="91">
                  <c:v>3500.0</c:v>
                </c:pt>
                <c:pt idx="92">
                  <c:v>3500.0</c:v>
                </c:pt>
                <c:pt idx="93">
                  <c:v>3500.0</c:v>
                </c:pt>
                <c:pt idx="94">
                  <c:v>3500.0</c:v>
                </c:pt>
                <c:pt idx="95">
                  <c:v>9822.22222222222</c:v>
                </c:pt>
                <c:pt idx="96">
                  <c:v>9822.22222222222</c:v>
                </c:pt>
                <c:pt idx="97">
                  <c:v>9822.22222222222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79.3865698403876</c:v>
                </c:pt>
                <c:pt idx="96">
                  <c:v>79.3865698403876</c:v>
                </c:pt>
                <c:pt idx="97">
                  <c:v>79.3865698403876</c:v>
                </c:pt>
                <c:pt idx="98">
                  <c:v>79.3865698403876</c:v>
                </c:pt>
                <c:pt idx="99">
                  <c:v>79.3865698403876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1622.414364640884</c:v>
                </c:pt>
                <c:pt idx="51">
                  <c:v>1622.414364640884</c:v>
                </c:pt>
                <c:pt idx="52">
                  <c:v>1622.414364640884</c:v>
                </c:pt>
                <c:pt idx="53">
                  <c:v>1622.414364640884</c:v>
                </c:pt>
                <c:pt idx="54">
                  <c:v>1622.414364640884</c:v>
                </c:pt>
                <c:pt idx="55">
                  <c:v>1622.414364640884</c:v>
                </c:pt>
                <c:pt idx="56">
                  <c:v>1622.414364640884</c:v>
                </c:pt>
                <c:pt idx="57">
                  <c:v>1622.414364640884</c:v>
                </c:pt>
                <c:pt idx="58">
                  <c:v>1622.414364640884</c:v>
                </c:pt>
                <c:pt idx="59">
                  <c:v>1622.414364640884</c:v>
                </c:pt>
                <c:pt idx="60">
                  <c:v>1622.414364640884</c:v>
                </c:pt>
                <c:pt idx="61">
                  <c:v>1622.414364640884</c:v>
                </c:pt>
                <c:pt idx="62">
                  <c:v>1622.414364640884</c:v>
                </c:pt>
                <c:pt idx="63">
                  <c:v>1622.414364640884</c:v>
                </c:pt>
                <c:pt idx="64">
                  <c:v>1622.414364640884</c:v>
                </c:pt>
                <c:pt idx="65">
                  <c:v>1622.414364640884</c:v>
                </c:pt>
                <c:pt idx="66">
                  <c:v>1622.414364640884</c:v>
                </c:pt>
                <c:pt idx="67">
                  <c:v>1622.414364640884</c:v>
                </c:pt>
                <c:pt idx="68">
                  <c:v>1622.414364640884</c:v>
                </c:pt>
                <c:pt idx="69">
                  <c:v>1622.414364640884</c:v>
                </c:pt>
                <c:pt idx="70">
                  <c:v>1622.414364640884</c:v>
                </c:pt>
                <c:pt idx="71">
                  <c:v>1622.414364640884</c:v>
                </c:pt>
                <c:pt idx="72">
                  <c:v>1622.414364640884</c:v>
                </c:pt>
                <c:pt idx="73">
                  <c:v>1622.414364640884</c:v>
                </c:pt>
                <c:pt idx="74">
                  <c:v>1622.414364640884</c:v>
                </c:pt>
                <c:pt idx="75">
                  <c:v>1622.414364640884</c:v>
                </c:pt>
                <c:pt idx="76">
                  <c:v>1622.414364640884</c:v>
                </c:pt>
                <c:pt idx="77">
                  <c:v>1622.414364640884</c:v>
                </c:pt>
                <c:pt idx="78">
                  <c:v>1622.414364640884</c:v>
                </c:pt>
                <c:pt idx="79">
                  <c:v>1622.414364640884</c:v>
                </c:pt>
                <c:pt idx="80">
                  <c:v>752.0</c:v>
                </c:pt>
                <c:pt idx="81">
                  <c:v>752.0</c:v>
                </c:pt>
                <c:pt idx="82">
                  <c:v>752.0</c:v>
                </c:pt>
                <c:pt idx="83">
                  <c:v>752.0</c:v>
                </c:pt>
                <c:pt idx="84">
                  <c:v>752.0</c:v>
                </c:pt>
                <c:pt idx="85">
                  <c:v>752.0</c:v>
                </c:pt>
                <c:pt idx="86">
                  <c:v>752.0</c:v>
                </c:pt>
                <c:pt idx="87">
                  <c:v>752.0</c:v>
                </c:pt>
                <c:pt idx="88">
                  <c:v>752.0</c:v>
                </c:pt>
                <c:pt idx="89">
                  <c:v>752.0</c:v>
                </c:pt>
                <c:pt idx="90">
                  <c:v>752.0</c:v>
                </c:pt>
                <c:pt idx="91">
                  <c:v>752.0</c:v>
                </c:pt>
                <c:pt idx="92">
                  <c:v>752.0</c:v>
                </c:pt>
                <c:pt idx="93">
                  <c:v>752.0</c:v>
                </c:pt>
                <c:pt idx="94">
                  <c:v>752.0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30897.77777777778</c:v>
                </c:pt>
                <c:pt idx="96">
                  <c:v>30897.77777777778</c:v>
                </c:pt>
                <c:pt idx="97">
                  <c:v>30897.77777777778</c:v>
                </c:pt>
                <c:pt idx="98">
                  <c:v>30897.77777777778</c:v>
                </c:pt>
                <c:pt idx="99">
                  <c:v>30897.77777777778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429.0</c:v>
                </c:pt>
                <c:pt idx="81">
                  <c:v>429.0</c:v>
                </c:pt>
                <c:pt idx="82">
                  <c:v>429.0</c:v>
                </c:pt>
                <c:pt idx="83">
                  <c:v>429.0</c:v>
                </c:pt>
                <c:pt idx="84">
                  <c:v>429.0</c:v>
                </c:pt>
                <c:pt idx="85">
                  <c:v>429.0</c:v>
                </c:pt>
                <c:pt idx="86">
                  <c:v>429.0</c:v>
                </c:pt>
                <c:pt idx="87">
                  <c:v>429.0</c:v>
                </c:pt>
                <c:pt idx="88">
                  <c:v>429.0</c:v>
                </c:pt>
                <c:pt idx="89">
                  <c:v>429.0</c:v>
                </c:pt>
                <c:pt idx="90">
                  <c:v>429.0</c:v>
                </c:pt>
                <c:pt idx="91">
                  <c:v>429.0</c:v>
                </c:pt>
                <c:pt idx="92">
                  <c:v>429.0</c:v>
                </c:pt>
                <c:pt idx="93">
                  <c:v>429.0</c:v>
                </c:pt>
                <c:pt idx="94">
                  <c:v>429.0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2160.0</c:v>
                </c:pt>
                <c:pt idx="81">
                  <c:v>2160.0</c:v>
                </c:pt>
                <c:pt idx="82">
                  <c:v>2160.0</c:v>
                </c:pt>
                <c:pt idx="83">
                  <c:v>2160.0</c:v>
                </c:pt>
                <c:pt idx="84">
                  <c:v>2160.0</c:v>
                </c:pt>
                <c:pt idx="85">
                  <c:v>2160.0</c:v>
                </c:pt>
                <c:pt idx="86">
                  <c:v>2160.0</c:v>
                </c:pt>
                <c:pt idx="87">
                  <c:v>2160.0</c:v>
                </c:pt>
                <c:pt idx="88">
                  <c:v>2160.0</c:v>
                </c:pt>
                <c:pt idx="89">
                  <c:v>2160.0</c:v>
                </c:pt>
                <c:pt idx="90">
                  <c:v>2160.0</c:v>
                </c:pt>
                <c:pt idx="91">
                  <c:v>2160.0</c:v>
                </c:pt>
                <c:pt idx="92">
                  <c:v>2160.0</c:v>
                </c:pt>
                <c:pt idx="93">
                  <c:v>2160.0</c:v>
                </c:pt>
                <c:pt idx="94">
                  <c:v>2160.0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807.3380899421383</c:v>
                </c:pt>
                <c:pt idx="4">
                  <c:v>807.3380899421383</c:v>
                </c:pt>
                <c:pt idx="5">
                  <c:v>807.3380899421383</c:v>
                </c:pt>
                <c:pt idx="6">
                  <c:v>807.3380899421383</c:v>
                </c:pt>
                <c:pt idx="7">
                  <c:v>807.3380899421383</c:v>
                </c:pt>
                <c:pt idx="8">
                  <c:v>807.3380899421383</c:v>
                </c:pt>
                <c:pt idx="9">
                  <c:v>807.3380899421383</c:v>
                </c:pt>
                <c:pt idx="10">
                  <c:v>807.3380899421383</c:v>
                </c:pt>
                <c:pt idx="11">
                  <c:v>807.3380899421383</c:v>
                </c:pt>
                <c:pt idx="12">
                  <c:v>807.3380899421383</c:v>
                </c:pt>
                <c:pt idx="13">
                  <c:v>807.3380899421383</c:v>
                </c:pt>
                <c:pt idx="14">
                  <c:v>807.3380899421383</c:v>
                </c:pt>
                <c:pt idx="15">
                  <c:v>807.3380899421383</c:v>
                </c:pt>
                <c:pt idx="16">
                  <c:v>807.3380899421383</c:v>
                </c:pt>
                <c:pt idx="17">
                  <c:v>807.3380899421383</c:v>
                </c:pt>
                <c:pt idx="18">
                  <c:v>807.3380899421383</c:v>
                </c:pt>
                <c:pt idx="19">
                  <c:v>807.3380899421383</c:v>
                </c:pt>
                <c:pt idx="20">
                  <c:v>807.3380899421383</c:v>
                </c:pt>
                <c:pt idx="21">
                  <c:v>807.3380899421383</c:v>
                </c:pt>
                <c:pt idx="22">
                  <c:v>807.3380899421383</c:v>
                </c:pt>
                <c:pt idx="23">
                  <c:v>807.3380899421383</c:v>
                </c:pt>
                <c:pt idx="24">
                  <c:v>807.3380899421383</c:v>
                </c:pt>
                <c:pt idx="25">
                  <c:v>807.3380899421383</c:v>
                </c:pt>
                <c:pt idx="26">
                  <c:v>807.3380899421383</c:v>
                </c:pt>
                <c:pt idx="27">
                  <c:v>807.3380899421383</c:v>
                </c:pt>
                <c:pt idx="28">
                  <c:v>807.3380899421383</c:v>
                </c:pt>
                <c:pt idx="29">
                  <c:v>807.3380899421383</c:v>
                </c:pt>
                <c:pt idx="30">
                  <c:v>807.3380899421383</c:v>
                </c:pt>
                <c:pt idx="31">
                  <c:v>807.3380899421383</c:v>
                </c:pt>
                <c:pt idx="32">
                  <c:v>807.3380899421383</c:v>
                </c:pt>
                <c:pt idx="33">
                  <c:v>807.3380899421383</c:v>
                </c:pt>
                <c:pt idx="34">
                  <c:v>807.3380899421383</c:v>
                </c:pt>
                <c:pt idx="35">
                  <c:v>807.3380899421383</c:v>
                </c:pt>
                <c:pt idx="36">
                  <c:v>807.3380899421383</c:v>
                </c:pt>
                <c:pt idx="37">
                  <c:v>807.3380899421383</c:v>
                </c:pt>
                <c:pt idx="38">
                  <c:v>807.3380899421383</c:v>
                </c:pt>
                <c:pt idx="39">
                  <c:v>807.3380899421383</c:v>
                </c:pt>
                <c:pt idx="40">
                  <c:v>807.3380899421383</c:v>
                </c:pt>
                <c:pt idx="41">
                  <c:v>807.3380899421383</c:v>
                </c:pt>
                <c:pt idx="42">
                  <c:v>807.3380899421383</c:v>
                </c:pt>
                <c:pt idx="43">
                  <c:v>807.3380899421383</c:v>
                </c:pt>
                <c:pt idx="44">
                  <c:v>807.3380899421383</c:v>
                </c:pt>
                <c:pt idx="45">
                  <c:v>807.3380899421383</c:v>
                </c:pt>
                <c:pt idx="46">
                  <c:v>807.3380899421383</c:v>
                </c:pt>
                <c:pt idx="47">
                  <c:v>807.3380899421383</c:v>
                </c:pt>
                <c:pt idx="48">
                  <c:v>807.3380899421383</c:v>
                </c:pt>
                <c:pt idx="49">
                  <c:v>807.3380899421383</c:v>
                </c:pt>
                <c:pt idx="50">
                  <c:v>807.3380899421383</c:v>
                </c:pt>
                <c:pt idx="51">
                  <c:v>807.3380899421383</c:v>
                </c:pt>
                <c:pt idx="52">
                  <c:v>807.3380899421383</c:v>
                </c:pt>
                <c:pt idx="53">
                  <c:v>807.3380899421383</c:v>
                </c:pt>
                <c:pt idx="54">
                  <c:v>807.3380899421383</c:v>
                </c:pt>
                <c:pt idx="55">
                  <c:v>807.3380899421383</c:v>
                </c:pt>
                <c:pt idx="56">
                  <c:v>807.3380899421383</c:v>
                </c:pt>
                <c:pt idx="57">
                  <c:v>807.3380899421383</c:v>
                </c:pt>
                <c:pt idx="58">
                  <c:v>807.3380899421383</c:v>
                </c:pt>
                <c:pt idx="59">
                  <c:v>807.3380899421383</c:v>
                </c:pt>
                <c:pt idx="60">
                  <c:v>807.3380899421383</c:v>
                </c:pt>
                <c:pt idx="61">
                  <c:v>807.3380899421383</c:v>
                </c:pt>
                <c:pt idx="62">
                  <c:v>807.3380899421383</c:v>
                </c:pt>
                <c:pt idx="63">
                  <c:v>807.3380899421383</c:v>
                </c:pt>
                <c:pt idx="64">
                  <c:v>807.3380899421383</c:v>
                </c:pt>
                <c:pt idx="65">
                  <c:v>807.3380899421383</c:v>
                </c:pt>
                <c:pt idx="66">
                  <c:v>807.3380899421383</c:v>
                </c:pt>
                <c:pt idx="67">
                  <c:v>807.3380899421383</c:v>
                </c:pt>
                <c:pt idx="68">
                  <c:v>807.3380899421383</c:v>
                </c:pt>
                <c:pt idx="69">
                  <c:v>807.3380899421383</c:v>
                </c:pt>
                <c:pt idx="70">
                  <c:v>807.3380899421383</c:v>
                </c:pt>
                <c:pt idx="71">
                  <c:v>807.3380899421383</c:v>
                </c:pt>
                <c:pt idx="72">
                  <c:v>807.3380899421383</c:v>
                </c:pt>
                <c:pt idx="73">
                  <c:v>807.3380899421383</c:v>
                </c:pt>
                <c:pt idx="74">
                  <c:v>807.3380899421383</c:v>
                </c:pt>
                <c:pt idx="75">
                  <c:v>807.3380899421383</c:v>
                </c:pt>
                <c:pt idx="76">
                  <c:v>807.3380899421383</c:v>
                </c:pt>
                <c:pt idx="77">
                  <c:v>807.3380899421383</c:v>
                </c:pt>
                <c:pt idx="78">
                  <c:v>807.3380899421383</c:v>
                </c:pt>
                <c:pt idx="79">
                  <c:v>807.3380899421383</c:v>
                </c:pt>
                <c:pt idx="80">
                  <c:v>807.3380899421383</c:v>
                </c:pt>
                <c:pt idx="81">
                  <c:v>807.3380899421383</c:v>
                </c:pt>
                <c:pt idx="82">
                  <c:v>807.3380899421383</c:v>
                </c:pt>
                <c:pt idx="83">
                  <c:v>807.3380899421383</c:v>
                </c:pt>
                <c:pt idx="84">
                  <c:v>807.3380899421383</c:v>
                </c:pt>
                <c:pt idx="85">
                  <c:v>807.3380899421383</c:v>
                </c:pt>
                <c:pt idx="86">
                  <c:v>807.3380899421383</c:v>
                </c:pt>
                <c:pt idx="87">
                  <c:v>807.3380899421383</c:v>
                </c:pt>
                <c:pt idx="88">
                  <c:v>807.3380899421383</c:v>
                </c:pt>
                <c:pt idx="89">
                  <c:v>807.3380899421383</c:v>
                </c:pt>
                <c:pt idx="90">
                  <c:v>807.3380899421383</c:v>
                </c:pt>
                <c:pt idx="91">
                  <c:v>807.3380899421383</c:v>
                </c:pt>
                <c:pt idx="92">
                  <c:v>807.3380899421383</c:v>
                </c:pt>
                <c:pt idx="93">
                  <c:v>807.3380899421383</c:v>
                </c:pt>
                <c:pt idx="94">
                  <c:v>807.3380899421383</c:v>
                </c:pt>
                <c:pt idx="95">
                  <c:v>717.6338577263452</c:v>
                </c:pt>
                <c:pt idx="96">
                  <c:v>717.6338577263452</c:v>
                </c:pt>
                <c:pt idx="97">
                  <c:v>717.6338577263452</c:v>
                </c:pt>
                <c:pt idx="98">
                  <c:v>717.6338577263452</c:v>
                </c:pt>
                <c:pt idx="99">
                  <c:v>717.6338577263452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22020.0</c:v>
                </c:pt>
                <c:pt idx="89">
                  <c:v>22020.0</c:v>
                </c:pt>
                <c:pt idx="90">
                  <c:v>22020.0</c:v>
                </c:pt>
                <c:pt idx="91">
                  <c:v>22020.0</c:v>
                </c:pt>
                <c:pt idx="92">
                  <c:v>22020.0</c:v>
                </c:pt>
                <c:pt idx="93">
                  <c:v>22020.0</c:v>
                </c:pt>
                <c:pt idx="94">
                  <c:v>22020.0</c:v>
                </c:pt>
                <c:pt idx="95">
                  <c:v>5477.333333333333</c:v>
                </c:pt>
                <c:pt idx="96">
                  <c:v>5477.333333333333</c:v>
                </c:pt>
                <c:pt idx="97">
                  <c:v>5477.333333333333</c:v>
                </c:pt>
                <c:pt idx="98">
                  <c:v>5477.333333333333</c:v>
                </c:pt>
                <c:pt idx="99">
                  <c:v>5477.333333333333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539112"/>
        <c:axId val="1901542456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  <c:pt idx="4">
                  <c:v>17059.8252222761</c:v>
                </c:pt>
                <c:pt idx="5">
                  <c:v>17059.8252222761</c:v>
                </c:pt>
                <c:pt idx="6">
                  <c:v>17059.8252222761</c:v>
                </c:pt>
                <c:pt idx="7">
                  <c:v>17059.8252222761</c:v>
                </c:pt>
                <c:pt idx="8">
                  <c:v>17059.8252222761</c:v>
                </c:pt>
                <c:pt idx="9">
                  <c:v>17059.8252222761</c:v>
                </c:pt>
                <c:pt idx="10">
                  <c:v>17059.8252222761</c:v>
                </c:pt>
                <c:pt idx="11">
                  <c:v>17059.8252222761</c:v>
                </c:pt>
                <c:pt idx="12">
                  <c:v>17059.8252222761</c:v>
                </c:pt>
                <c:pt idx="13">
                  <c:v>17059.8252222761</c:v>
                </c:pt>
                <c:pt idx="14">
                  <c:v>17059.8252222761</c:v>
                </c:pt>
                <c:pt idx="15">
                  <c:v>17059.8252222761</c:v>
                </c:pt>
                <c:pt idx="16">
                  <c:v>17059.8252222761</c:v>
                </c:pt>
                <c:pt idx="17">
                  <c:v>17059.8252222761</c:v>
                </c:pt>
                <c:pt idx="18">
                  <c:v>17059.8252222761</c:v>
                </c:pt>
                <c:pt idx="19">
                  <c:v>17059.8252222761</c:v>
                </c:pt>
                <c:pt idx="20">
                  <c:v>17059.8252222761</c:v>
                </c:pt>
                <c:pt idx="21">
                  <c:v>17059.8252222761</c:v>
                </c:pt>
                <c:pt idx="22">
                  <c:v>17059.8252222761</c:v>
                </c:pt>
                <c:pt idx="23">
                  <c:v>17059.8252222761</c:v>
                </c:pt>
                <c:pt idx="24">
                  <c:v>17059.8252222761</c:v>
                </c:pt>
                <c:pt idx="25">
                  <c:v>17059.8252222761</c:v>
                </c:pt>
                <c:pt idx="26">
                  <c:v>17059.8252222761</c:v>
                </c:pt>
                <c:pt idx="27">
                  <c:v>17059.8252222761</c:v>
                </c:pt>
                <c:pt idx="28">
                  <c:v>17059.8252222761</c:v>
                </c:pt>
                <c:pt idx="29">
                  <c:v>17059.8252222761</c:v>
                </c:pt>
                <c:pt idx="30">
                  <c:v>17059.8252222761</c:v>
                </c:pt>
                <c:pt idx="31">
                  <c:v>17059.8252222761</c:v>
                </c:pt>
                <c:pt idx="32">
                  <c:v>17059.8252222761</c:v>
                </c:pt>
                <c:pt idx="33">
                  <c:v>17059.8252222761</c:v>
                </c:pt>
                <c:pt idx="34">
                  <c:v>17059.8252222761</c:v>
                </c:pt>
                <c:pt idx="35">
                  <c:v>17059.8252222761</c:v>
                </c:pt>
                <c:pt idx="36">
                  <c:v>17059.8252222761</c:v>
                </c:pt>
                <c:pt idx="37">
                  <c:v>17059.8252222761</c:v>
                </c:pt>
                <c:pt idx="38">
                  <c:v>17059.8252222761</c:v>
                </c:pt>
                <c:pt idx="39">
                  <c:v>17059.8252222761</c:v>
                </c:pt>
                <c:pt idx="40">
                  <c:v>17059.8252222761</c:v>
                </c:pt>
                <c:pt idx="41">
                  <c:v>17059.8252222761</c:v>
                </c:pt>
                <c:pt idx="42">
                  <c:v>17059.8252222761</c:v>
                </c:pt>
                <c:pt idx="43">
                  <c:v>17059.8252222761</c:v>
                </c:pt>
                <c:pt idx="44">
                  <c:v>17059.8252222761</c:v>
                </c:pt>
                <c:pt idx="45">
                  <c:v>17059.8252222761</c:v>
                </c:pt>
                <c:pt idx="46">
                  <c:v>17059.8252222761</c:v>
                </c:pt>
                <c:pt idx="47">
                  <c:v>17059.8252222761</c:v>
                </c:pt>
                <c:pt idx="48">
                  <c:v>17059.8252222761</c:v>
                </c:pt>
                <c:pt idx="49">
                  <c:v>17059.8252222761</c:v>
                </c:pt>
                <c:pt idx="50">
                  <c:v>17059.8252222761</c:v>
                </c:pt>
                <c:pt idx="51">
                  <c:v>17059.8252222761</c:v>
                </c:pt>
                <c:pt idx="52">
                  <c:v>17059.8252222761</c:v>
                </c:pt>
                <c:pt idx="53">
                  <c:v>17059.8252222761</c:v>
                </c:pt>
                <c:pt idx="54">
                  <c:v>17059.8252222761</c:v>
                </c:pt>
                <c:pt idx="55">
                  <c:v>17059.8252222761</c:v>
                </c:pt>
                <c:pt idx="56">
                  <c:v>17059.8252222761</c:v>
                </c:pt>
                <c:pt idx="57">
                  <c:v>17059.8252222761</c:v>
                </c:pt>
                <c:pt idx="58">
                  <c:v>17059.8252222761</c:v>
                </c:pt>
                <c:pt idx="59">
                  <c:v>17059.8252222761</c:v>
                </c:pt>
                <c:pt idx="60">
                  <c:v>17059.8252222761</c:v>
                </c:pt>
                <c:pt idx="61">
                  <c:v>17059.8252222761</c:v>
                </c:pt>
                <c:pt idx="62">
                  <c:v>17059.8252222761</c:v>
                </c:pt>
                <c:pt idx="63">
                  <c:v>17059.8252222761</c:v>
                </c:pt>
                <c:pt idx="64">
                  <c:v>17059.8252222761</c:v>
                </c:pt>
                <c:pt idx="65">
                  <c:v>17059.8252222761</c:v>
                </c:pt>
                <c:pt idx="66">
                  <c:v>17059.8252222761</c:v>
                </c:pt>
                <c:pt idx="67">
                  <c:v>17059.8252222761</c:v>
                </c:pt>
                <c:pt idx="68">
                  <c:v>17059.8252222761</c:v>
                </c:pt>
                <c:pt idx="69">
                  <c:v>17059.8252222761</c:v>
                </c:pt>
                <c:pt idx="70">
                  <c:v>17059.8252222761</c:v>
                </c:pt>
                <c:pt idx="71">
                  <c:v>17059.8252222761</c:v>
                </c:pt>
                <c:pt idx="72">
                  <c:v>17059.8252222761</c:v>
                </c:pt>
                <c:pt idx="73">
                  <c:v>17059.8252222761</c:v>
                </c:pt>
                <c:pt idx="74">
                  <c:v>17059.8252222761</c:v>
                </c:pt>
                <c:pt idx="75">
                  <c:v>17059.8252222761</c:v>
                </c:pt>
                <c:pt idx="76">
                  <c:v>17059.8252222761</c:v>
                </c:pt>
                <c:pt idx="77">
                  <c:v>17059.8252222761</c:v>
                </c:pt>
                <c:pt idx="78">
                  <c:v>17059.8252222761</c:v>
                </c:pt>
                <c:pt idx="79">
                  <c:v>17059.8252222761</c:v>
                </c:pt>
                <c:pt idx="80">
                  <c:v>17059.8252222761</c:v>
                </c:pt>
                <c:pt idx="81">
                  <c:v>17059.8252222761</c:v>
                </c:pt>
                <c:pt idx="82">
                  <c:v>17059.8252222761</c:v>
                </c:pt>
                <c:pt idx="83">
                  <c:v>17059.8252222761</c:v>
                </c:pt>
                <c:pt idx="84">
                  <c:v>17059.8252222761</c:v>
                </c:pt>
                <c:pt idx="85">
                  <c:v>17059.8252222761</c:v>
                </c:pt>
                <c:pt idx="86">
                  <c:v>17059.8252222761</c:v>
                </c:pt>
                <c:pt idx="87">
                  <c:v>17059.8252222761</c:v>
                </c:pt>
                <c:pt idx="88">
                  <c:v>17059.8252222761</c:v>
                </c:pt>
                <c:pt idx="89">
                  <c:v>17059.8252222761</c:v>
                </c:pt>
                <c:pt idx="90">
                  <c:v>17059.8252222761</c:v>
                </c:pt>
                <c:pt idx="91">
                  <c:v>17059.8252222761</c:v>
                </c:pt>
                <c:pt idx="92">
                  <c:v>17059.8252222761</c:v>
                </c:pt>
                <c:pt idx="93">
                  <c:v>17059.8252222761</c:v>
                </c:pt>
                <c:pt idx="94">
                  <c:v>17059.8252222761</c:v>
                </c:pt>
                <c:pt idx="95">
                  <c:v>17059.8252222761</c:v>
                </c:pt>
                <c:pt idx="96">
                  <c:v>17059.8252222761</c:v>
                </c:pt>
                <c:pt idx="97">
                  <c:v>17059.8252222761</c:v>
                </c:pt>
                <c:pt idx="98">
                  <c:v>17059.8252222761</c:v>
                </c:pt>
                <c:pt idx="99">
                  <c:v>17059.8252222761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539112"/>
        <c:axId val="1901542456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25120.26927540426</c:v>
                </c:pt>
                <c:pt idx="13">
                  <c:v>25202.04299990119</c:v>
                </c:pt>
                <c:pt idx="14">
                  <c:v>25283.81672439813</c:v>
                </c:pt>
                <c:pt idx="15">
                  <c:v>25365.59044889506</c:v>
                </c:pt>
                <c:pt idx="16">
                  <c:v>25447.364173392</c:v>
                </c:pt>
                <c:pt idx="17">
                  <c:v>25529.13789788893</c:v>
                </c:pt>
                <c:pt idx="18">
                  <c:v>25610.91162238586</c:v>
                </c:pt>
                <c:pt idx="19">
                  <c:v>25692.68534688279</c:v>
                </c:pt>
                <c:pt idx="20">
                  <c:v>25774.45907137972</c:v>
                </c:pt>
                <c:pt idx="21">
                  <c:v>25856.23279587665</c:v>
                </c:pt>
                <c:pt idx="22">
                  <c:v>25938.00652037359</c:v>
                </c:pt>
                <c:pt idx="23">
                  <c:v>26019.78024487052</c:v>
                </c:pt>
                <c:pt idx="24">
                  <c:v>26101.55396936745</c:v>
                </c:pt>
                <c:pt idx="25">
                  <c:v>26183.32769386438</c:v>
                </c:pt>
                <c:pt idx="26">
                  <c:v>26265.10141836132</c:v>
                </c:pt>
                <c:pt idx="27">
                  <c:v>26346.87514285825</c:v>
                </c:pt>
                <c:pt idx="28">
                  <c:v>26428.64886735518</c:v>
                </c:pt>
                <c:pt idx="29">
                  <c:v>26510.42259185212</c:v>
                </c:pt>
                <c:pt idx="30">
                  <c:v>26592.19631634905</c:v>
                </c:pt>
                <c:pt idx="31">
                  <c:v>26673.97004084598</c:v>
                </c:pt>
                <c:pt idx="32">
                  <c:v>26755.74376534291</c:v>
                </c:pt>
                <c:pt idx="33">
                  <c:v>26837.51748983984</c:v>
                </c:pt>
                <c:pt idx="34">
                  <c:v>26919.29121433678</c:v>
                </c:pt>
                <c:pt idx="35">
                  <c:v>27001.06493883371</c:v>
                </c:pt>
                <c:pt idx="36">
                  <c:v>27082.83866333064</c:v>
                </c:pt>
                <c:pt idx="37">
                  <c:v>27164.61238782758</c:v>
                </c:pt>
                <c:pt idx="38">
                  <c:v>27246.38611232451</c:v>
                </c:pt>
                <c:pt idx="39">
                  <c:v>27328.15983682144</c:v>
                </c:pt>
                <c:pt idx="40">
                  <c:v>27409.93356131837</c:v>
                </c:pt>
                <c:pt idx="41">
                  <c:v>27491.7072858153</c:v>
                </c:pt>
                <c:pt idx="42">
                  <c:v>27573.48101031224</c:v>
                </c:pt>
                <c:pt idx="43">
                  <c:v>27655.25473480917</c:v>
                </c:pt>
                <c:pt idx="44">
                  <c:v>27737.0284593061</c:v>
                </c:pt>
                <c:pt idx="45">
                  <c:v>27818.80218380303</c:v>
                </c:pt>
                <c:pt idx="46">
                  <c:v>27900.57590829996</c:v>
                </c:pt>
                <c:pt idx="47">
                  <c:v>27982.3496327969</c:v>
                </c:pt>
                <c:pt idx="48">
                  <c:v>28064.12335729383</c:v>
                </c:pt>
                <c:pt idx="49">
                  <c:v>28145.89708179076</c:v>
                </c:pt>
                <c:pt idx="50">
                  <c:v>28227.6708062877</c:v>
                </c:pt>
                <c:pt idx="51">
                  <c:v>28309.44453078463</c:v>
                </c:pt>
                <c:pt idx="52">
                  <c:v>28391.21825528156</c:v>
                </c:pt>
                <c:pt idx="53">
                  <c:v>28873.41540699513</c:v>
                </c:pt>
                <c:pt idx="54">
                  <c:v>29355.61255870869</c:v>
                </c:pt>
                <c:pt idx="55">
                  <c:v>29837.80971042225</c:v>
                </c:pt>
                <c:pt idx="56">
                  <c:v>30320.00686213582</c:v>
                </c:pt>
                <c:pt idx="57">
                  <c:v>30802.20401384938</c:v>
                </c:pt>
                <c:pt idx="58">
                  <c:v>31284.40116556295</c:v>
                </c:pt>
                <c:pt idx="59">
                  <c:v>31766.59831727651</c:v>
                </c:pt>
                <c:pt idx="60">
                  <c:v>32248.79546899008</c:v>
                </c:pt>
                <c:pt idx="61">
                  <c:v>32730.99262070364</c:v>
                </c:pt>
                <c:pt idx="62">
                  <c:v>33213.18977241721</c:v>
                </c:pt>
                <c:pt idx="63">
                  <c:v>33695.38692413077</c:v>
                </c:pt>
                <c:pt idx="64">
                  <c:v>34177.58407584433</c:v>
                </c:pt>
                <c:pt idx="65">
                  <c:v>34659.7812275579</c:v>
                </c:pt>
                <c:pt idx="66">
                  <c:v>35141.97837927146</c:v>
                </c:pt>
                <c:pt idx="67">
                  <c:v>35624.17553098503</c:v>
                </c:pt>
                <c:pt idx="68">
                  <c:v>36106.3726826986</c:v>
                </c:pt>
                <c:pt idx="69">
                  <c:v>36588.56983441216</c:v>
                </c:pt>
                <c:pt idx="70">
                  <c:v>37070.76698612572</c:v>
                </c:pt>
                <c:pt idx="71">
                  <c:v>37552.96413783928</c:v>
                </c:pt>
                <c:pt idx="72">
                  <c:v>38035.16128955285</c:v>
                </c:pt>
                <c:pt idx="73">
                  <c:v>38517.35844126642</c:v>
                </c:pt>
                <c:pt idx="74">
                  <c:v>38999.55559297998</c:v>
                </c:pt>
                <c:pt idx="75">
                  <c:v>40131.20567039736</c:v>
                </c:pt>
                <c:pt idx="76">
                  <c:v>41912.30867351855</c:v>
                </c:pt>
                <c:pt idx="77">
                  <c:v>43693.41167663974</c:v>
                </c:pt>
                <c:pt idx="78">
                  <c:v>45474.51467976092</c:v>
                </c:pt>
                <c:pt idx="79">
                  <c:v>47255.61768288212</c:v>
                </c:pt>
                <c:pt idx="80">
                  <c:v>49036.72068600331</c:v>
                </c:pt>
                <c:pt idx="81">
                  <c:v>50817.8236891245</c:v>
                </c:pt>
                <c:pt idx="82">
                  <c:v>52598.92669224569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1539112"/>
        <c:axId val="1901542456"/>
      </c:scatterChart>
      <c:catAx>
        <c:axId val="19015391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154245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0154245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1539112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2141.476099311332</c:v>
                </c:pt>
                <c:pt idx="1">
                  <c:v>2141.476099311332</c:v>
                </c:pt>
                <c:pt idx="2">
                  <c:v>2141.476099311332</c:v>
                </c:pt>
                <c:pt idx="3">
                  <c:v>2141.476099311332</c:v>
                </c:pt>
                <c:pt idx="4">
                  <c:v>2141.476099311332</c:v>
                </c:pt>
                <c:pt idx="5">
                  <c:v>2141.476099311332</c:v>
                </c:pt>
                <c:pt idx="6">
                  <c:v>2141.476099311332</c:v>
                </c:pt>
                <c:pt idx="7">
                  <c:v>2141.476099311332</c:v>
                </c:pt>
                <c:pt idx="8">
                  <c:v>2141.476099311332</c:v>
                </c:pt>
                <c:pt idx="9">
                  <c:v>2141.476099311332</c:v>
                </c:pt>
                <c:pt idx="10">
                  <c:v>2141.476099311332</c:v>
                </c:pt>
                <c:pt idx="11">
                  <c:v>2141.476099311332</c:v>
                </c:pt>
                <c:pt idx="12">
                  <c:v>2141.476099311332</c:v>
                </c:pt>
                <c:pt idx="13">
                  <c:v>2141.476099311332</c:v>
                </c:pt>
                <c:pt idx="14">
                  <c:v>2141.476099311332</c:v>
                </c:pt>
                <c:pt idx="15">
                  <c:v>2141.476099311332</c:v>
                </c:pt>
                <c:pt idx="16">
                  <c:v>2141.476099311332</c:v>
                </c:pt>
                <c:pt idx="17">
                  <c:v>2141.476099311332</c:v>
                </c:pt>
                <c:pt idx="18">
                  <c:v>2141.476099311332</c:v>
                </c:pt>
                <c:pt idx="19">
                  <c:v>2141.476099311332</c:v>
                </c:pt>
                <c:pt idx="20">
                  <c:v>2141.476099311332</c:v>
                </c:pt>
                <c:pt idx="21">
                  <c:v>2141.476099311332</c:v>
                </c:pt>
                <c:pt idx="22">
                  <c:v>2141.476099311332</c:v>
                </c:pt>
                <c:pt idx="23">
                  <c:v>2141.476099311332</c:v>
                </c:pt>
                <c:pt idx="24">
                  <c:v>2141.476099311332</c:v>
                </c:pt>
                <c:pt idx="25">
                  <c:v>2141.476099311332</c:v>
                </c:pt>
                <c:pt idx="26">
                  <c:v>2147.224086038362</c:v>
                </c:pt>
                <c:pt idx="27">
                  <c:v>2152.972072765392</c:v>
                </c:pt>
                <c:pt idx="28">
                  <c:v>2158.720059492422</c:v>
                </c:pt>
                <c:pt idx="29">
                  <c:v>2164.468046219452</c:v>
                </c:pt>
                <c:pt idx="30">
                  <c:v>2170.216032946482</c:v>
                </c:pt>
                <c:pt idx="31">
                  <c:v>2175.964019673513</c:v>
                </c:pt>
                <c:pt idx="32">
                  <c:v>2181.712006400543</c:v>
                </c:pt>
                <c:pt idx="33">
                  <c:v>2187.459993127572</c:v>
                </c:pt>
                <c:pt idx="34">
                  <c:v>2193.207979854602</c:v>
                </c:pt>
                <c:pt idx="35">
                  <c:v>2198.955966581632</c:v>
                </c:pt>
                <c:pt idx="36">
                  <c:v>2204.703953308663</c:v>
                </c:pt>
                <c:pt idx="37">
                  <c:v>2210.451940035693</c:v>
                </c:pt>
                <c:pt idx="38">
                  <c:v>2216.199926762722</c:v>
                </c:pt>
                <c:pt idx="39">
                  <c:v>2221.947913489753</c:v>
                </c:pt>
                <c:pt idx="40">
                  <c:v>2227.695900216783</c:v>
                </c:pt>
                <c:pt idx="41">
                  <c:v>2233.443886943813</c:v>
                </c:pt>
                <c:pt idx="42">
                  <c:v>2239.191873670843</c:v>
                </c:pt>
                <c:pt idx="43">
                  <c:v>2244.939860397873</c:v>
                </c:pt>
                <c:pt idx="44">
                  <c:v>2250.687847124903</c:v>
                </c:pt>
                <c:pt idx="45">
                  <c:v>2256.435833851933</c:v>
                </c:pt>
                <c:pt idx="46">
                  <c:v>2262.183820578963</c:v>
                </c:pt>
                <c:pt idx="47">
                  <c:v>2267.931807305993</c:v>
                </c:pt>
                <c:pt idx="48">
                  <c:v>2273.679794033023</c:v>
                </c:pt>
                <c:pt idx="49">
                  <c:v>2279.427780760053</c:v>
                </c:pt>
                <c:pt idx="50">
                  <c:v>2285.175767487083</c:v>
                </c:pt>
                <c:pt idx="51">
                  <c:v>2290.923754214113</c:v>
                </c:pt>
                <c:pt idx="52">
                  <c:v>2296.671740941143</c:v>
                </c:pt>
                <c:pt idx="53">
                  <c:v>2302.419727668173</c:v>
                </c:pt>
                <c:pt idx="54">
                  <c:v>2308.167714395203</c:v>
                </c:pt>
                <c:pt idx="55">
                  <c:v>2313.915701122233</c:v>
                </c:pt>
                <c:pt idx="56">
                  <c:v>2319.663687849263</c:v>
                </c:pt>
                <c:pt idx="57">
                  <c:v>2325.411674576293</c:v>
                </c:pt>
                <c:pt idx="58">
                  <c:v>2331.159661303323</c:v>
                </c:pt>
                <c:pt idx="59">
                  <c:v>2336.907648030353</c:v>
                </c:pt>
                <c:pt idx="60">
                  <c:v>2342.655634757383</c:v>
                </c:pt>
                <c:pt idx="61">
                  <c:v>2348.403621484413</c:v>
                </c:pt>
                <c:pt idx="62">
                  <c:v>2354.151608211443</c:v>
                </c:pt>
                <c:pt idx="63">
                  <c:v>2359.899594938473</c:v>
                </c:pt>
                <c:pt idx="64">
                  <c:v>2365.647581665503</c:v>
                </c:pt>
                <c:pt idx="65">
                  <c:v>2371.395568392533</c:v>
                </c:pt>
                <c:pt idx="66">
                  <c:v>2412.690686335487</c:v>
                </c:pt>
                <c:pt idx="67">
                  <c:v>2453.985804278442</c:v>
                </c:pt>
                <c:pt idx="68">
                  <c:v>2495.280922221396</c:v>
                </c:pt>
                <c:pt idx="69">
                  <c:v>2536.57604016435</c:v>
                </c:pt>
                <c:pt idx="70">
                  <c:v>2577.871158107303</c:v>
                </c:pt>
                <c:pt idx="71">
                  <c:v>2619.166276050258</c:v>
                </c:pt>
                <c:pt idx="72">
                  <c:v>2660.461393993212</c:v>
                </c:pt>
                <c:pt idx="73">
                  <c:v>2701.756511936167</c:v>
                </c:pt>
                <c:pt idx="74">
                  <c:v>2743.051629879121</c:v>
                </c:pt>
                <c:pt idx="75">
                  <c:v>2784.346747822075</c:v>
                </c:pt>
                <c:pt idx="76">
                  <c:v>2825.641865765029</c:v>
                </c:pt>
                <c:pt idx="77">
                  <c:v>2866.936983707983</c:v>
                </c:pt>
                <c:pt idx="78">
                  <c:v>2908.232101650938</c:v>
                </c:pt>
                <c:pt idx="79">
                  <c:v>2949.527219593891</c:v>
                </c:pt>
                <c:pt idx="80">
                  <c:v>2990.822337536845</c:v>
                </c:pt>
                <c:pt idx="81">
                  <c:v>3032.1174554798</c:v>
                </c:pt>
                <c:pt idx="82">
                  <c:v>3073.412573422754</c:v>
                </c:pt>
                <c:pt idx="83">
                  <c:v>3114.707691365708</c:v>
                </c:pt>
                <c:pt idx="84">
                  <c:v>3156.002809308663</c:v>
                </c:pt>
                <c:pt idx="85">
                  <c:v>3197.297927251617</c:v>
                </c:pt>
                <c:pt idx="86">
                  <c:v>3238.593045194571</c:v>
                </c:pt>
                <c:pt idx="87">
                  <c:v>3279.888163137525</c:v>
                </c:pt>
                <c:pt idx="88">
                  <c:v>3302.402543724928</c:v>
                </c:pt>
                <c:pt idx="89">
                  <c:v>3306.13618695678</c:v>
                </c:pt>
                <c:pt idx="90">
                  <c:v>3309.869830188632</c:v>
                </c:pt>
                <c:pt idx="91">
                  <c:v>3313.603473420484</c:v>
                </c:pt>
                <c:pt idx="92">
                  <c:v>3317.337116652336</c:v>
                </c:pt>
                <c:pt idx="93">
                  <c:v>3321.070759884188</c:v>
                </c:pt>
                <c:pt idx="94">
                  <c:v>3324.804403116041</c:v>
                </c:pt>
                <c:pt idx="95">
                  <c:v>3328.538046347892</c:v>
                </c:pt>
                <c:pt idx="96">
                  <c:v>3332.271689579745</c:v>
                </c:pt>
                <c:pt idx="97">
                  <c:v>3336.005332811596</c:v>
                </c:pt>
                <c:pt idx="98">
                  <c:v>3337.872154427523</c:v>
                </c:pt>
                <c:pt idx="99">
                  <c:v>3337.872154427523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20.9</c:v>
                </c:pt>
                <c:pt idx="27">
                  <c:v>41.8</c:v>
                </c:pt>
                <c:pt idx="28">
                  <c:v>62.7</c:v>
                </c:pt>
                <c:pt idx="29">
                  <c:v>83.6</c:v>
                </c:pt>
                <c:pt idx="30">
                  <c:v>104.5</c:v>
                </c:pt>
                <c:pt idx="31">
                  <c:v>125.4</c:v>
                </c:pt>
                <c:pt idx="32">
                  <c:v>146.3</c:v>
                </c:pt>
                <c:pt idx="33">
                  <c:v>167.2</c:v>
                </c:pt>
                <c:pt idx="34">
                  <c:v>188.1</c:v>
                </c:pt>
                <c:pt idx="35">
                  <c:v>209.0</c:v>
                </c:pt>
                <c:pt idx="36">
                  <c:v>229.9</c:v>
                </c:pt>
                <c:pt idx="37">
                  <c:v>250.8</c:v>
                </c:pt>
                <c:pt idx="38">
                  <c:v>271.7</c:v>
                </c:pt>
                <c:pt idx="39">
                  <c:v>292.6</c:v>
                </c:pt>
                <c:pt idx="40">
                  <c:v>313.5</c:v>
                </c:pt>
                <c:pt idx="41">
                  <c:v>334.4</c:v>
                </c:pt>
                <c:pt idx="42">
                  <c:v>355.3</c:v>
                </c:pt>
                <c:pt idx="43">
                  <c:v>376.2</c:v>
                </c:pt>
                <c:pt idx="44">
                  <c:v>397.1</c:v>
                </c:pt>
                <c:pt idx="45">
                  <c:v>418.0</c:v>
                </c:pt>
                <c:pt idx="46">
                  <c:v>438.9</c:v>
                </c:pt>
                <c:pt idx="47">
                  <c:v>459.8</c:v>
                </c:pt>
                <c:pt idx="48">
                  <c:v>480.7</c:v>
                </c:pt>
                <c:pt idx="49">
                  <c:v>501.6</c:v>
                </c:pt>
                <c:pt idx="50">
                  <c:v>522.5</c:v>
                </c:pt>
                <c:pt idx="51">
                  <c:v>543.4</c:v>
                </c:pt>
                <c:pt idx="52">
                  <c:v>564.3</c:v>
                </c:pt>
                <c:pt idx="53">
                  <c:v>585.2</c:v>
                </c:pt>
                <c:pt idx="54">
                  <c:v>606.1</c:v>
                </c:pt>
                <c:pt idx="55">
                  <c:v>627.0</c:v>
                </c:pt>
                <c:pt idx="56">
                  <c:v>647.9</c:v>
                </c:pt>
                <c:pt idx="57">
                  <c:v>668.8</c:v>
                </c:pt>
                <c:pt idx="58">
                  <c:v>689.7</c:v>
                </c:pt>
                <c:pt idx="59">
                  <c:v>710.6</c:v>
                </c:pt>
                <c:pt idx="60">
                  <c:v>731.5</c:v>
                </c:pt>
                <c:pt idx="61">
                  <c:v>752.4</c:v>
                </c:pt>
                <c:pt idx="62">
                  <c:v>773.3</c:v>
                </c:pt>
                <c:pt idx="63">
                  <c:v>794.2</c:v>
                </c:pt>
                <c:pt idx="64">
                  <c:v>815.1</c:v>
                </c:pt>
                <c:pt idx="65">
                  <c:v>836.0</c:v>
                </c:pt>
                <c:pt idx="66">
                  <c:v>959.7777777777778</c:v>
                </c:pt>
                <c:pt idx="67">
                  <c:v>1083.555555555556</c:v>
                </c:pt>
                <c:pt idx="68">
                  <c:v>1207.333333333333</c:v>
                </c:pt>
                <c:pt idx="69">
                  <c:v>1331.111111111111</c:v>
                </c:pt>
                <c:pt idx="70">
                  <c:v>1454.888888888889</c:v>
                </c:pt>
                <c:pt idx="71">
                  <c:v>1578.666666666667</c:v>
                </c:pt>
                <c:pt idx="72">
                  <c:v>1702.444444444444</c:v>
                </c:pt>
                <c:pt idx="73">
                  <c:v>1826.222222222222</c:v>
                </c:pt>
                <c:pt idx="74">
                  <c:v>1950.0</c:v>
                </c:pt>
                <c:pt idx="75">
                  <c:v>2073.777777777778</c:v>
                </c:pt>
                <c:pt idx="76">
                  <c:v>2197.555555555555</c:v>
                </c:pt>
                <c:pt idx="77">
                  <c:v>2321.333333333333</c:v>
                </c:pt>
                <c:pt idx="78">
                  <c:v>2445.111111111111</c:v>
                </c:pt>
                <c:pt idx="79">
                  <c:v>2568.888888888889</c:v>
                </c:pt>
                <c:pt idx="80">
                  <c:v>2692.666666666667</c:v>
                </c:pt>
                <c:pt idx="81">
                  <c:v>2816.444444444444</c:v>
                </c:pt>
                <c:pt idx="82">
                  <c:v>2940.222222222222</c:v>
                </c:pt>
                <c:pt idx="83">
                  <c:v>3064.0</c:v>
                </c:pt>
                <c:pt idx="84">
                  <c:v>3187.777777777778</c:v>
                </c:pt>
                <c:pt idx="85">
                  <c:v>3311.555555555555</c:v>
                </c:pt>
                <c:pt idx="86">
                  <c:v>3435.333333333333</c:v>
                </c:pt>
                <c:pt idx="87">
                  <c:v>3559.111111111111</c:v>
                </c:pt>
                <c:pt idx="88">
                  <c:v>3696.572222222222</c:v>
                </c:pt>
                <c:pt idx="89">
                  <c:v>3847.716666666667</c:v>
                </c:pt>
                <c:pt idx="90">
                  <c:v>3998.861111111111</c:v>
                </c:pt>
                <c:pt idx="91">
                  <c:v>4150.005555555555</c:v>
                </c:pt>
                <c:pt idx="92">
                  <c:v>4301.15</c:v>
                </c:pt>
                <c:pt idx="93">
                  <c:v>4452.294444444445</c:v>
                </c:pt>
                <c:pt idx="94">
                  <c:v>4603.438888888889</c:v>
                </c:pt>
                <c:pt idx="95">
                  <c:v>4754.583333333333</c:v>
                </c:pt>
                <c:pt idx="96">
                  <c:v>4905.727777777778</c:v>
                </c:pt>
                <c:pt idx="97">
                  <c:v>5056.872222222222</c:v>
                </c:pt>
                <c:pt idx="98">
                  <c:v>5132.444444444444</c:v>
                </c:pt>
                <c:pt idx="99">
                  <c:v>5132.444444444444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151.4550861507912</c:v>
                </c:pt>
                <c:pt idx="1">
                  <c:v>151.4550861507912</c:v>
                </c:pt>
                <c:pt idx="2">
                  <c:v>151.4550861507912</c:v>
                </c:pt>
                <c:pt idx="3">
                  <c:v>151.4550861507912</c:v>
                </c:pt>
                <c:pt idx="4">
                  <c:v>151.4550861507912</c:v>
                </c:pt>
                <c:pt idx="5">
                  <c:v>151.4550861507912</c:v>
                </c:pt>
                <c:pt idx="6">
                  <c:v>151.4550861507912</c:v>
                </c:pt>
                <c:pt idx="7">
                  <c:v>151.4550861507912</c:v>
                </c:pt>
                <c:pt idx="8">
                  <c:v>151.4550861507912</c:v>
                </c:pt>
                <c:pt idx="9">
                  <c:v>151.4550861507912</c:v>
                </c:pt>
                <c:pt idx="10">
                  <c:v>151.4550861507912</c:v>
                </c:pt>
                <c:pt idx="11">
                  <c:v>151.4550861507912</c:v>
                </c:pt>
                <c:pt idx="12">
                  <c:v>151.4550861507912</c:v>
                </c:pt>
                <c:pt idx="13">
                  <c:v>151.4550861507912</c:v>
                </c:pt>
                <c:pt idx="14">
                  <c:v>151.4550861507912</c:v>
                </c:pt>
                <c:pt idx="15">
                  <c:v>151.4550861507912</c:v>
                </c:pt>
                <c:pt idx="16">
                  <c:v>151.4550861507912</c:v>
                </c:pt>
                <c:pt idx="17">
                  <c:v>151.4550861507912</c:v>
                </c:pt>
                <c:pt idx="18">
                  <c:v>151.4550861507912</c:v>
                </c:pt>
                <c:pt idx="19">
                  <c:v>151.4550861507912</c:v>
                </c:pt>
                <c:pt idx="20">
                  <c:v>151.4550861507912</c:v>
                </c:pt>
                <c:pt idx="21">
                  <c:v>151.4550861507912</c:v>
                </c:pt>
                <c:pt idx="22">
                  <c:v>151.4550861507912</c:v>
                </c:pt>
                <c:pt idx="23">
                  <c:v>151.4550861507912</c:v>
                </c:pt>
                <c:pt idx="24">
                  <c:v>151.4550861507912</c:v>
                </c:pt>
                <c:pt idx="25">
                  <c:v>151.4550861507912</c:v>
                </c:pt>
                <c:pt idx="26">
                  <c:v>153.5204648046716</c:v>
                </c:pt>
                <c:pt idx="27">
                  <c:v>155.5858434585519</c:v>
                </c:pt>
                <c:pt idx="28">
                  <c:v>157.6512221124323</c:v>
                </c:pt>
                <c:pt idx="29">
                  <c:v>159.7166007663127</c:v>
                </c:pt>
                <c:pt idx="30">
                  <c:v>161.781979420193</c:v>
                </c:pt>
                <c:pt idx="31">
                  <c:v>163.8473580740734</c:v>
                </c:pt>
                <c:pt idx="32">
                  <c:v>165.9127367279538</c:v>
                </c:pt>
                <c:pt idx="33">
                  <c:v>167.9781153818341</c:v>
                </c:pt>
                <c:pt idx="34">
                  <c:v>170.0434940357145</c:v>
                </c:pt>
                <c:pt idx="35">
                  <c:v>172.1088726895948</c:v>
                </c:pt>
                <c:pt idx="36">
                  <c:v>174.1742513434752</c:v>
                </c:pt>
                <c:pt idx="37">
                  <c:v>176.2396299973556</c:v>
                </c:pt>
                <c:pt idx="38">
                  <c:v>178.305008651236</c:v>
                </c:pt>
                <c:pt idx="39">
                  <c:v>180.3703873051163</c:v>
                </c:pt>
                <c:pt idx="40">
                  <c:v>182.4357659589967</c:v>
                </c:pt>
                <c:pt idx="41">
                  <c:v>184.501144612877</c:v>
                </c:pt>
                <c:pt idx="42">
                  <c:v>186.5665232667574</c:v>
                </c:pt>
                <c:pt idx="43">
                  <c:v>188.6319019206377</c:v>
                </c:pt>
                <c:pt idx="44">
                  <c:v>190.6972805745181</c:v>
                </c:pt>
                <c:pt idx="45">
                  <c:v>192.7626592283985</c:v>
                </c:pt>
                <c:pt idx="46">
                  <c:v>194.8280378822788</c:v>
                </c:pt>
                <c:pt idx="47">
                  <c:v>196.8934165361592</c:v>
                </c:pt>
                <c:pt idx="48">
                  <c:v>198.9587951900396</c:v>
                </c:pt>
                <c:pt idx="49">
                  <c:v>201.02417384392</c:v>
                </c:pt>
                <c:pt idx="50">
                  <c:v>203.0895524978003</c:v>
                </c:pt>
                <c:pt idx="51">
                  <c:v>205.1549311516806</c:v>
                </c:pt>
                <c:pt idx="52">
                  <c:v>207.220309805561</c:v>
                </c:pt>
                <c:pt idx="53">
                  <c:v>209.2856884594414</c:v>
                </c:pt>
                <c:pt idx="54">
                  <c:v>211.3510671133217</c:v>
                </c:pt>
                <c:pt idx="55">
                  <c:v>213.4164457672021</c:v>
                </c:pt>
                <c:pt idx="56">
                  <c:v>215.4818244210824</c:v>
                </c:pt>
                <c:pt idx="57">
                  <c:v>217.5472030749628</c:v>
                </c:pt>
                <c:pt idx="58">
                  <c:v>219.6125817288432</c:v>
                </c:pt>
                <c:pt idx="59">
                  <c:v>221.6779603827235</c:v>
                </c:pt>
                <c:pt idx="60">
                  <c:v>223.7433390366039</c:v>
                </c:pt>
                <c:pt idx="61">
                  <c:v>225.8087176904842</c:v>
                </c:pt>
                <c:pt idx="62">
                  <c:v>227.8740963443646</c:v>
                </c:pt>
                <c:pt idx="63">
                  <c:v>229.939474998245</c:v>
                </c:pt>
                <c:pt idx="64">
                  <c:v>232.0048536521253</c:v>
                </c:pt>
                <c:pt idx="65">
                  <c:v>234.0702323060057</c:v>
                </c:pt>
                <c:pt idx="66">
                  <c:v>241.5928751609241</c:v>
                </c:pt>
                <c:pt idx="67">
                  <c:v>249.1155180158425</c:v>
                </c:pt>
                <c:pt idx="68">
                  <c:v>256.6381608707609</c:v>
                </c:pt>
                <c:pt idx="69">
                  <c:v>264.1608037256793</c:v>
                </c:pt>
                <c:pt idx="70">
                  <c:v>271.6834465805977</c:v>
                </c:pt>
                <c:pt idx="71">
                  <c:v>279.2060894355161</c:v>
                </c:pt>
                <c:pt idx="72">
                  <c:v>286.7287322904346</c:v>
                </c:pt>
                <c:pt idx="73">
                  <c:v>294.2513751453529</c:v>
                </c:pt>
                <c:pt idx="74">
                  <c:v>301.7740180002713</c:v>
                </c:pt>
                <c:pt idx="75">
                  <c:v>309.2966608551898</c:v>
                </c:pt>
                <c:pt idx="76">
                  <c:v>316.8193037101082</c:v>
                </c:pt>
                <c:pt idx="77">
                  <c:v>324.3419465650265</c:v>
                </c:pt>
                <c:pt idx="78">
                  <c:v>331.864589419945</c:v>
                </c:pt>
                <c:pt idx="79">
                  <c:v>339.3872322748634</c:v>
                </c:pt>
                <c:pt idx="80">
                  <c:v>346.9098751297817</c:v>
                </c:pt>
                <c:pt idx="81">
                  <c:v>354.4325179847002</c:v>
                </c:pt>
                <c:pt idx="82">
                  <c:v>361.9551608396186</c:v>
                </c:pt>
                <c:pt idx="83">
                  <c:v>369.477803694537</c:v>
                </c:pt>
                <c:pt idx="84">
                  <c:v>377.0004465494554</c:v>
                </c:pt>
                <c:pt idx="85">
                  <c:v>384.5230894043738</c:v>
                </c:pt>
                <c:pt idx="86">
                  <c:v>392.0457322592922</c:v>
                </c:pt>
                <c:pt idx="87">
                  <c:v>399.5683751142107</c:v>
                </c:pt>
                <c:pt idx="88">
                  <c:v>435.6888670481985</c:v>
                </c:pt>
                <c:pt idx="89">
                  <c:v>500.4072080612559</c:v>
                </c:pt>
                <c:pt idx="90">
                  <c:v>565.1255490743132</c:v>
                </c:pt>
                <c:pt idx="91">
                  <c:v>629.8438900873704</c:v>
                </c:pt>
                <c:pt idx="92">
                  <c:v>694.5622311004279</c:v>
                </c:pt>
                <c:pt idx="93">
                  <c:v>759.2805721134852</c:v>
                </c:pt>
                <c:pt idx="94">
                  <c:v>823.9989131265426</c:v>
                </c:pt>
                <c:pt idx="95">
                  <c:v>888.7172541396</c:v>
                </c:pt>
                <c:pt idx="96">
                  <c:v>953.4355951526573</c:v>
                </c:pt>
                <c:pt idx="97">
                  <c:v>1018.153936165715</c:v>
                </c:pt>
                <c:pt idx="98">
                  <c:v>1050.513106672243</c:v>
                </c:pt>
                <c:pt idx="99">
                  <c:v>1050.513106672243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12.5</c:v>
                </c:pt>
                <c:pt idx="27">
                  <c:v>25.0</c:v>
                </c:pt>
                <c:pt idx="28">
                  <c:v>37.50000000000001</c:v>
                </c:pt>
                <c:pt idx="29">
                  <c:v>50.00000000000001</c:v>
                </c:pt>
                <c:pt idx="30">
                  <c:v>62.50000000000001</c:v>
                </c:pt>
                <c:pt idx="31">
                  <c:v>75.00000000000001</c:v>
                </c:pt>
                <c:pt idx="32">
                  <c:v>87.50000000000001</c:v>
                </c:pt>
                <c:pt idx="33">
                  <c:v>100.0</c:v>
                </c:pt>
                <c:pt idx="34">
                  <c:v>112.5</c:v>
                </c:pt>
                <c:pt idx="35">
                  <c:v>125.0</c:v>
                </c:pt>
                <c:pt idx="36">
                  <c:v>137.5</c:v>
                </c:pt>
                <c:pt idx="37">
                  <c:v>150.0</c:v>
                </c:pt>
                <c:pt idx="38">
                  <c:v>162.5</c:v>
                </c:pt>
                <c:pt idx="39">
                  <c:v>175.0</c:v>
                </c:pt>
                <c:pt idx="40">
                  <c:v>187.5</c:v>
                </c:pt>
                <c:pt idx="41">
                  <c:v>200.0</c:v>
                </c:pt>
                <c:pt idx="42">
                  <c:v>212.5000000000001</c:v>
                </c:pt>
                <c:pt idx="43">
                  <c:v>225.0000000000001</c:v>
                </c:pt>
                <c:pt idx="44">
                  <c:v>237.5000000000001</c:v>
                </c:pt>
                <c:pt idx="45">
                  <c:v>250.0000000000001</c:v>
                </c:pt>
                <c:pt idx="46">
                  <c:v>262.5000000000001</c:v>
                </c:pt>
                <c:pt idx="47">
                  <c:v>275.0000000000001</c:v>
                </c:pt>
                <c:pt idx="48">
                  <c:v>287.5000000000001</c:v>
                </c:pt>
                <c:pt idx="49">
                  <c:v>300.0000000000001</c:v>
                </c:pt>
                <c:pt idx="50">
                  <c:v>312.5000000000001</c:v>
                </c:pt>
                <c:pt idx="51">
                  <c:v>325.0000000000001</c:v>
                </c:pt>
                <c:pt idx="52">
                  <c:v>337.5000000000001</c:v>
                </c:pt>
                <c:pt idx="53">
                  <c:v>350.0000000000001</c:v>
                </c:pt>
                <c:pt idx="54">
                  <c:v>362.5000000000001</c:v>
                </c:pt>
                <c:pt idx="55">
                  <c:v>375.0000000000001</c:v>
                </c:pt>
                <c:pt idx="56">
                  <c:v>387.5000000000001</c:v>
                </c:pt>
                <c:pt idx="57">
                  <c:v>400.0000000000001</c:v>
                </c:pt>
                <c:pt idx="58">
                  <c:v>412.5000000000001</c:v>
                </c:pt>
                <c:pt idx="59">
                  <c:v>425.0000000000001</c:v>
                </c:pt>
                <c:pt idx="60">
                  <c:v>437.5000000000001</c:v>
                </c:pt>
                <c:pt idx="61">
                  <c:v>450.0000000000001</c:v>
                </c:pt>
                <c:pt idx="62">
                  <c:v>462.5000000000001</c:v>
                </c:pt>
                <c:pt idx="63">
                  <c:v>475.0000000000001</c:v>
                </c:pt>
                <c:pt idx="64">
                  <c:v>487.5000000000001</c:v>
                </c:pt>
                <c:pt idx="65">
                  <c:v>500.0000000000001</c:v>
                </c:pt>
                <c:pt idx="66">
                  <c:v>633.3333333333333</c:v>
                </c:pt>
                <c:pt idx="67">
                  <c:v>766.6666666666667</c:v>
                </c:pt>
                <c:pt idx="68">
                  <c:v>900.0</c:v>
                </c:pt>
                <c:pt idx="69">
                  <c:v>1033.333333333333</c:v>
                </c:pt>
                <c:pt idx="70">
                  <c:v>1166.666666666667</c:v>
                </c:pt>
                <c:pt idx="71">
                  <c:v>1300.0</c:v>
                </c:pt>
                <c:pt idx="72">
                  <c:v>1433.333333333333</c:v>
                </c:pt>
                <c:pt idx="73">
                  <c:v>1566.666666666667</c:v>
                </c:pt>
                <c:pt idx="74">
                  <c:v>1700.0</c:v>
                </c:pt>
                <c:pt idx="75">
                  <c:v>1833.333333333333</c:v>
                </c:pt>
                <c:pt idx="76">
                  <c:v>1966.666666666667</c:v>
                </c:pt>
                <c:pt idx="77">
                  <c:v>2100.0</c:v>
                </c:pt>
                <c:pt idx="78">
                  <c:v>2233.333333333333</c:v>
                </c:pt>
                <c:pt idx="79">
                  <c:v>2366.666666666667</c:v>
                </c:pt>
                <c:pt idx="80">
                  <c:v>2500.0</c:v>
                </c:pt>
                <c:pt idx="81">
                  <c:v>2633.333333333333</c:v>
                </c:pt>
                <c:pt idx="82">
                  <c:v>2766.666666666667</c:v>
                </c:pt>
                <c:pt idx="83">
                  <c:v>2900.0</c:v>
                </c:pt>
                <c:pt idx="84">
                  <c:v>3033.333333333333</c:v>
                </c:pt>
                <c:pt idx="85">
                  <c:v>3166.666666666667</c:v>
                </c:pt>
                <c:pt idx="86">
                  <c:v>3300.0</c:v>
                </c:pt>
                <c:pt idx="87">
                  <c:v>3433.333333333333</c:v>
                </c:pt>
                <c:pt idx="88">
                  <c:v>3816.111111111111</c:v>
                </c:pt>
                <c:pt idx="89">
                  <c:v>4448.333333333333</c:v>
                </c:pt>
                <c:pt idx="90">
                  <c:v>5080.555555555555</c:v>
                </c:pt>
                <c:pt idx="91">
                  <c:v>5712.777777777778</c:v>
                </c:pt>
                <c:pt idx="92">
                  <c:v>6345.0</c:v>
                </c:pt>
                <c:pt idx="93">
                  <c:v>6977.222222222222</c:v>
                </c:pt>
                <c:pt idx="94">
                  <c:v>7609.444444444444</c:v>
                </c:pt>
                <c:pt idx="95">
                  <c:v>8241.666666666668</c:v>
                </c:pt>
                <c:pt idx="96">
                  <c:v>8873.888888888889</c:v>
                </c:pt>
                <c:pt idx="97">
                  <c:v>9506.11111111111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3.96932849201938</c:v>
                </c:pt>
                <c:pt idx="89">
                  <c:v>11.90798547605814</c:v>
                </c:pt>
                <c:pt idx="90">
                  <c:v>19.8466424600969</c:v>
                </c:pt>
                <c:pt idx="91">
                  <c:v>27.78529944413566</c:v>
                </c:pt>
                <c:pt idx="92">
                  <c:v>35.72395642817442</c:v>
                </c:pt>
                <c:pt idx="93">
                  <c:v>43.66261341221318</c:v>
                </c:pt>
                <c:pt idx="94">
                  <c:v>51.60127039625194</c:v>
                </c:pt>
                <c:pt idx="95">
                  <c:v>59.53992738029071</c:v>
                </c:pt>
                <c:pt idx="96">
                  <c:v>67.47858436432946</c:v>
                </c:pt>
                <c:pt idx="97">
                  <c:v>75.4172413483682</c:v>
                </c:pt>
                <c:pt idx="98">
                  <c:v>79.3865698403876</c:v>
                </c:pt>
                <c:pt idx="99">
                  <c:v>79.3865698403876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40.5603591160221</c:v>
                </c:pt>
                <c:pt idx="27">
                  <c:v>81.1207182320442</c:v>
                </c:pt>
                <c:pt idx="28">
                  <c:v>121.6810773480663</c:v>
                </c:pt>
                <c:pt idx="29">
                  <c:v>162.2414364640884</c:v>
                </c:pt>
                <c:pt idx="30">
                  <c:v>202.8017955801105</c:v>
                </c:pt>
                <c:pt idx="31">
                  <c:v>243.3621546961326</c:v>
                </c:pt>
                <c:pt idx="32">
                  <c:v>283.9225138121547</c:v>
                </c:pt>
                <c:pt idx="33">
                  <c:v>324.4828729281768</c:v>
                </c:pt>
                <c:pt idx="34">
                  <c:v>365.0432320441989</c:v>
                </c:pt>
                <c:pt idx="35">
                  <c:v>405.603591160221</c:v>
                </c:pt>
                <c:pt idx="36">
                  <c:v>446.1639502762431</c:v>
                </c:pt>
                <c:pt idx="37">
                  <c:v>486.7243093922652</c:v>
                </c:pt>
                <c:pt idx="38">
                  <c:v>527.2846685082873</c:v>
                </c:pt>
                <c:pt idx="39">
                  <c:v>567.8450276243094</c:v>
                </c:pt>
                <c:pt idx="40">
                  <c:v>608.4053867403315</c:v>
                </c:pt>
                <c:pt idx="41">
                  <c:v>648.9657458563536</c:v>
                </c:pt>
                <c:pt idx="42">
                  <c:v>689.5261049723757</c:v>
                </c:pt>
                <c:pt idx="43">
                  <c:v>730.0864640883978</c:v>
                </c:pt>
                <c:pt idx="44">
                  <c:v>770.6468232044199</c:v>
                </c:pt>
                <c:pt idx="45">
                  <c:v>811.207182320442</c:v>
                </c:pt>
                <c:pt idx="46">
                  <c:v>851.7675414364642</c:v>
                </c:pt>
                <c:pt idx="47">
                  <c:v>892.3279005524862</c:v>
                </c:pt>
                <c:pt idx="48">
                  <c:v>932.8882596685083</c:v>
                </c:pt>
                <c:pt idx="49">
                  <c:v>973.4486187845305</c:v>
                </c:pt>
                <c:pt idx="50">
                  <c:v>1014.008977900553</c:v>
                </c:pt>
                <c:pt idx="51">
                  <c:v>1054.569337016575</c:v>
                </c:pt>
                <c:pt idx="52">
                  <c:v>1095.129696132597</c:v>
                </c:pt>
                <c:pt idx="53">
                  <c:v>1135.690055248619</c:v>
                </c:pt>
                <c:pt idx="54">
                  <c:v>1176.250414364641</c:v>
                </c:pt>
                <c:pt idx="55">
                  <c:v>1216.810773480663</c:v>
                </c:pt>
                <c:pt idx="56">
                  <c:v>1257.371132596685</c:v>
                </c:pt>
                <c:pt idx="57">
                  <c:v>1297.931491712707</c:v>
                </c:pt>
                <c:pt idx="58">
                  <c:v>1338.491850828729</c:v>
                </c:pt>
                <c:pt idx="59">
                  <c:v>1379.052209944751</c:v>
                </c:pt>
                <c:pt idx="60">
                  <c:v>1419.612569060774</c:v>
                </c:pt>
                <c:pt idx="61">
                  <c:v>1460.172928176796</c:v>
                </c:pt>
                <c:pt idx="62">
                  <c:v>1500.733287292818</c:v>
                </c:pt>
                <c:pt idx="63">
                  <c:v>1541.29364640884</c:v>
                </c:pt>
                <c:pt idx="64">
                  <c:v>1581.854005524862</c:v>
                </c:pt>
                <c:pt idx="65">
                  <c:v>1622.414364640884</c:v>
                </c:pt>
                <c:pt idx="66">
                  <c:v>1583.729281767956</c:v>
                </c:pt>
                <c:pt idx="67">
                  <c:v>1545.044198895028</c:v>
                </c:pt>
                <c:pt idx="68">
                  <c:v>1506.359116022099</c:v>
                </c:pt>
                <c:pt idx="69">
                  <c:v>1467.674033149171</c:v>
                </c:pt>
                <c:pt idx="70">
                  <c:v>1428.988950276243</c:v>
                </c:pt>
                <c:pt idx="71">
                  <c:v>1390.303867403315</c:v>
                </c:pt>
                <c:pt idx="72">
                  <c:v>1351.618784530387</c:v>
                </c:pt>
                <c:pt idx="73">
                  <c:v>1312.933701657459</c:v>
                </c:pt>
                <c:pt idx="74">
                  <c:v>1274.24861878453</c:v>
                </c:pt>
                <c:pt idx="75">
                  <c:v>1235.563535911602</c:v>
                </c:pt>
                <c:pt idx="76">
                  <c:v>1196.878453038674</c:v>
                </c:pt>
                <c:pt idx="77">
                  <c:v>1158.193370165746</c:v>
                </c:pt>
                <c:pt idx="78">
                  <c:v>1119.508287292818</c:v>
                </c:pt>
                <c:pt idx="79">
                  <c:v>1080.823204419889</c:v>
                </c:pt>
                <c:pt idx="80">
                  <c:v>1042.138121546961</c:v>
                </c:pt>
                <c:pt idx="81">
                  <c:v>1003.453038674033</c:v>
                </c:pt>
                <c:pt idx="82">
                  <c:v>964.767955801105</c:v>
                </c:pt>
                <c:pt idx="83">
                  <c:v>926.0828729281768</c:v>
                </c:pt>
                <c:pt idx="84">
                  <c:v>887.3977900552487</c:v>
                </c:pt>
                <c:pt idx="85">
                  <c:v>848.7127071823205</c:v>
                </c:pt>
                <c:pt idx="86">
                  <c:v>810.0276243093923</c:v>
                </c:pt>
                <c:pt idx="87">
                  <c:v>771.3425414364641</c:v>
                </c:pt>
                <c:pt idx="88">
                  <c:v>714.4</c:v>
                </c:pt>
                <c:pt idx="89">
                  <c:v>639.2</c:v>
                </c:pt>
                <c:pt idx="90">
                  <c:v>564.0</c:v>
                </c:pt>
                <c:pt idx="91">
                  <c:v>488.8</c:v>
                </c:pt>
                <c:pt idx="92">
                  <c:v>413.6</c:v>
                </c:pt>
                <c:pt idx="93">
                  <c:v>338.4</c:v>
                </c:pt>
                <c:pt idx="94">
                  <c:v>263.2</c:v>
                </c:pt>
                <c:pt idx="95">
                  <c:v>188.0</c:v>
                </c:pt>
                <c:pt idx="96">
                  <c:v>112.8</c:v>
                </c:pt>
                <c:pt idx="97">
                  <c:v>37.60000000000002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1544.888888888889</c:v>
                </c:pt>
                <c:pt idx="89">
                  <c:v>4634.666666666666</c:v>
                </c:pt>
                <c:pt idx="90">
                  <c:v>7724.444444444443</c:v>
                </c:pt>
                <c:pt idx="91">
                  <c:v>10814.22222222222</c:v>
                </c:pt>
                <c:pt idx="92">
                  <c:v>13904.0</c:v>
                </c:pt>
                <c:pt idx="93">
                  <c:v>16993.77777777778</c:v>
                </c:pt>
                <c:pt idx="94">
                  <c:v>20083.55555555555</c:v>
                </c:pt>
                <c:pt idx="95">
                  <c:v>23173.33333333334</c:v>
                </c:pt>
                <c:pt idx="96">
                  <c:v>26263.11111111111</c:v>
                </c:pt>
                <c:pt idx="97">
                  <c:v>29352.88888888889</c:v>
                </c:pt>
                <c:pt idx="98">
                  <c:v>30897.77777777778</c:v>
                </c:pt>
                <c:pt idx="99">
                  <c:v>30897.77777777778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19.06666666666667</c:v>
                </c:pt>
                <c:pt idx="67">
                  <c:v>38.13333333333333</c:v>
                </c:pt>
                <c:pt idx="68">
                  <c:v>57.2</c:v>
                </c:pt>
                <c:pt idx="69">
                  <c:v>76.26666666666666</c:v>
                </c:pt>
                <c:pt idx="70">
                  <c:v>95.33333333333333</c:v>
                </c:pt>
                <c:pt idx="71">
                  <c:v>114.4</c:v>
                </c:pt>
                <c:pt idx="72">
                  <c:v>133.4666666666667</c:v>
                </c:pt>
                <c:pt idx="73">
                  <c:v>152.5333333333333</c:v>
                </c:pt>
                <c:pt idx="74">
                  <c:v>171.6</c:v>
                </c:pt>
                <c:pt idx="75">
                  <c:v>190.6666666666667</c:v>
                </c:pt>
                <c:pt idx="76">
                  <c:v>209.7333333333333</c:v>
                </c:pt>
                <c:pt idx="77">
                  <c:v>228.8</c:v>
                </c:pt>
                <c:pt idx="78">
                  <c:v>247.8666666666667</c:v>
                </c:pt>
                <c:pt idx="79">
                  <c:v>266.9333333333333</c:v>
                </c:pt>
                <c:pt idx="80">
                  <c:v>286.0</c:v>
                </c:pt>
                <c:pt idx="81">
                  <c:v>305.0666666666666</c:v>
                </c:pt>
                <c:pt idx="82">
                  <c:v>324.1333333333333</c:v>
                </c:pt>
                <c:pt idx="83">
                  <c:v>343.2</c:v>
                </c:pt>
                <c:pt idx="84">
                  <c:v>362.2666666666666</c:v>
                </c:pt>
                <c:pt idx="85">
                  <c:v>381.3333333333333</c:v>
                </c:pt>
                <c:pt idx="86">
                  <c:v>400.4</c:v>
                </c:pt>
                <c:pt idx="87">
                  <c:v>419.4666666666666</c:v>
                </c:pt>
                <c:pt idx="88">
                  <c:v>407.55</c:v>
                </c:pt>
                <c:pt idx="89">
                  <c:v>364.65</c:v>
                </c:pt>
                <c:pt idx="90">
                  <c:v>321.75</c:v>
                </c:pt>
                <c:pt idx="91">
                  <c:v>278.85</c:v>
                </c:pt>
                <c:pt idx="92">
                  <c:v>235.95</c:v>
                </c:pt>
                <c:pt idx="93">
                  <c:v>193.05</c:v>
                </c:pt>
                <c:pt idx="94">
                  <c:v>150.15</c:v>
                </c:pt>
                <c:pt idx="95">
                  <c:v>107.25</c:v>
                </c:pt>
                <c:pt idx="96">
                  <c:v>64.35000000000002</c:v>
                </c:pt>
                <c:pt idx="97">
                  <c:v>21.44999999999999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96.0</c:v>
                </c:pt>
                <c:pt idx="67">
                  <c:v>192.0</c:v>
                </c:pt>
                <c:pt idx="68">
                  <c:v>288.0</c:v>
                </c:pt>
                <c:pt idx="69">
                  <c:v>384.0</c:v>
                </c:pt>
                <c:pt idx="70">
                  <c:v>480.0</c:v>
                </c:pt>
                <c:pt idx="71">
                  <c:v>576.0</c:v>
                </c:pt>
                <c:pt idx="72">
                  <c:v>672.0</c:v>
                </c:pt>
                <c:pt idx="73">
                  <c:v>768.0</c:v>
                </c:pt>
                <c:pt idx="74">
                  <c:v>864.0</c:v>
                </c:pt>
                <c:pt idx="75">
                  <c:v>960.0</c:v>
                </c:pt>
                <c:pt idx="76">
                  <c:v>1056.0</c:v>
                </c:pt>
                <c:pt idx="77">
                  <c:v>1152.0</c:v>
                </c:pt>
                <c:pt idx="78">
                  <c:v>1248.0</c:v>
                </c:pt>
                <c:pt idx="79">
                  <c:v>1344.0</c:v>
                </c:pt>
                <c:pt idx="80">
                  <c:v>1440.0</c:v>
                </c:pt>
                <c:pt idx="81">
                  <c:v>1536.0</c:v>
                </c:pt>
                <c:pt idx="82">
                  <c:v>1632.0</c:v>
                </c:pt>
                <c:pt idx="83">
                  <c:v>1728.0</c:v>
                </c:pt>
                <c:pt idx="84">
                  <c:v>1824.0</c:v>
                </c:pt>
                <c:pt idx="85">
                  <c:v>1920.0</c:v>
                </c:pt>
                <c:pt idx="86">
                  <c:v>2016.0</c:v>
                </c:pt>
                <c:pt idx="87">
                  <c:v>2112.0</c:v>
                </c:pt>
                <c:pt idx="88">
                  <c:v>2052.0</c:v>
                </c:pt>
                <c:pt idx="89">
                  <c:v>1836.0</c:v>
                </c:pt>
                <c:pt idx="90">
                  <c:v>1620.0</c:v>
                </c:pt>
                <c:pt idx="91">
                  <c:v>1404.0</c:v>
                </c:pt>
                <c:pt idx="92">
                  <c:v>1188.0</c:v>
                </c:pt>
                <c:pt idx="93">
                  <c:v>972.0</c:v>
                </c:pt>
                <c:pt idx="94">
                  <c:v>756.0</c:v>
                </c:pt>
                <c:pt idx="95">
                  <c:v>540.0</c:v>
                </c:pt>
                <c:pt idx="96">
                  <c:v>324.0</c:v>
                </c:pt>
                <c:pt idx="97">
                  <c:v>108.0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807.3380899421383</c:v>
                </c:pt>
                <c:pt idx="4">
                  <c:v>807.3380899421383</c:v>
                </c:pt>
                <c:pt idx="5">
                  <c:v>807.3380899421383</c:v>
                </c:pt>
                <c:pt idx="6">
                  <c:v>807.3380899421383</c:v>
                </c:pt>
                <c:pt idx="7">
                  <c:v>807.3380899421383</c:v>
                </c:pt>
                <c:pt idx="8">
                  <c:v>807.3380899421383</c:v>
                </c:pt>
                <c:pt idx="9">
                  <c:v>807.3380899421383</c:v>
                </c:pt>
                <c:pt idx="10">
                  <c:v>807.3380899421383</c:v>
                </c:pt>
                <c:pt idx="11">
                  <c:v>807.3380899421383</c:v>
                </c:pt>
                <c:pt idx="12">
                  <c:v>807.3380899421383</c:v>
                </c:pt>
                <c:pt idx="13">
                  <c:v>807.3380899421383</c:v>
                </c:pt>
                <c:pt idx="14">
                  <c:v>807.3380899421383</c:v>
                </c:pt>
                <c:pt idx="15">
                  <c:v>807.3380899421383</c:v>
                </c:pt>
                <c:pt idx="16">
                  <c:v>807.3380899421383</c:v>
                </c:pt>
                <c:pt idx="17">
                  <c:v>807.3380899421383</c:v>
                </c:pt>
                <c:pt idx="18">
                  <c:v>807.3380899421383</c:v>
                </c:pt>
                <c:pt idx="19">
                  <c:v>807.3380899421383</c:v>
                </c:pt>
                <c:pt idx="20">
                  <c:v>807.3380899421383</c:v>
                </c:pt>
                <c:pt idx="21">
                  <c:v>807.3380899421383</c:v>
                </c:pt>
                <c:pt idx="22">
                  <c:v>807.3380899421383</c:v>
                </c:pt>
                <c:pt idx="23">
                  <c:v>807.3380899421383</c:v>
                </c:pt>
                <c:pt idx="24">
                  <c:v>807.3380899421383</c:v>
                </c:pt>
                <c:pt idx="25">
                  <c:v>807.3380899421383</c:v>
                </c:pt>
                <c:pt idx="26">
                  <c:v>807.3380899421383</c:v>
                </c:pt>
                <c:pt idx="27">
                  <c:v>807.3380899421383</c:v>
                </c:pt>
                <c:pt idx="28">
                  <c:v>807.3380899421383</c:v>
                </c:pt>
                <c:pt idx="29">
                  <c:v>807.3380899421383</c:v>
                </c:pt>
                <c:pt idx="30">
                  <c:v>807.3380899421383</c:v>
                </c:pt>
                <c:pt idx="31">
                  <c:v>807.3380899421383</c:v>
                </c:pt>
                <c:pt idx="32">
                  <c:v>807.3380899421383</c:v>
                </c:pt>
                <c:pt idx="33">
                  <c:v>807.3380899421383</c:v>
                </c:pt>
                <c:pt idx="34">
                  <c:v>807.3380899421383</c:v>
                </c:pt>
                <c:pt idx="35">
                  <c:v>807.3380899421383</c:v>
                </c:pt>
                <c:pt idx="36">
                  <c:v>807.3380899421383</c:v>
                </c:pt>
                <c:pt idx="37">
                  <c:v>807.3380899421383</c:v>
                </c:pt>
                <c:pt idx="38">
                  <c:v>807.3380899421383</c:v>
                </c:pt>
                <c:pt idx="39">
                  <c:v>807.3380899421383</c:v>
                </c:pt>
                <c:pt idx="40">
                  <c:v>807.3380899421383</c:v>
                </c:pt>
                <c:pt idx="41">
                  <c:v>807.3380899421383</c:v>
                </c:pt>
                <c:pt idx="42">
                  <c:v>807.3380899421383</c:v>
                </c:pt>
                <c:pt idx="43">
                  <c:v>807.3380899421383</c:v>
                </c:pt>
                <c:pt idx="44">
                  <c:v>807.3380899421383</c:v>
                </c:pt>
                <c:pt idx="45">
                  <c:v>807.3380899421383</c:v>
                </c:pt>
                <c:pt idx="46">
                  <c:v>807.3380899421383</c:v>
                </c:pt>
                <c:pt idx="47">
                  <c:v>807.3380899421383</c:v>
                </c:pt>
                <c:pt idx="48">
                  <c:v>807.3380899421383</c:v>
                </c:pt>
                <c:pt idx="49">
                  <c:v>807.3380899421383</c:v>
                </c:pt>
                <c:pt idx="50">
                  <c:v>807.3380899421383</c:v>
                </c:pt>
                <c:pt idx="51">
                  <c:v>807.3380899421383</c:v>
                </c:pt>
                <c:pt idx="52">
                  <c:v>807.3380899421383</c:v>
                </c:pt>
                <c:pt idx="53">
                  <c:v>807.3380899421383</c:v>
                </c:pt>
                <c:pt idx="54">
                  <c:v>807.3380899421383</c:v>
                </c:pt>
                <c:pt idx="55">
                  <c:v>807.3380899421383</c:v>
                </c:pt>
                <c:pt idx="56">
                  <c:v>807.3380899421383</c:v>
                </c:pt>
                <c:pt idx="57">
                  <c:v>807.3380899421383</c:v>
                </c:pt>
                <c:pt idx="58">
                  <c:v>807.3380899421383</c:v>
                </c:pt>
                <c:pt idx="59">
                  <c:v>807.3380899421383</c:v>
                </c:pt>
                <c:pt idx="60">
                  <c:v>807.3380899421383</c:v>
                </c:pt>
                <c:pt idx="61">
                  <c:v>807.3380899421383</c:v>
                </c:pt>
                <c:pt idx="62">
                  <c:v>807.3380899421383</c:v>
                </c:pt>
                <c:pt idx="63">
                  <c:v>807.3380899421383</c:v>
                </c:pt>
                <c:pt idx="64">
                  <c:v>807.3380899421383</c:v>
                </c:pt>
                <c:pt idx="65">
                  <c:v>807.3380899421383</c:v>
                </c:pt>
                <c:pt idx="66">
                  <c:v>807.3380899421383</c:v>
                </c:pt>
                <c:pt idx="67">
                  <c:v>807.3380899421383</c:v>
                </c:pt>
                <c:pt idx="68">
                  <c:v>807.3380899421383</c:v>
                </c:pt>
                <c:pt idx="69">
                  <c:v>807.3380899421383</c:v>
                </c:pt>
                <c:pt idx="70">
                  <c:v>807.3380899421383</c:v>
                </c:pt>
                <c:pt idx="71">
                  <c:v>807.3380899421383</c:v>
                </c:pt>
                <c:pt idx="72">
                  <c:v>807.3380899421383</c:v>
                </c:pt>
                <c:pt idx="73">
                  <c:v>807.3380899421383</c:v>
                </c:pt>
                <c:pt idx="74">
                  <c:v>807.3380899421383</c:v>
                </c:pt>
                <c:pt idx="75">
                  <c:v>807.3380899421383</c:v>
                </c:pt>
                <c:pt idx="76">
                  <c:v>807.3380899421383</c:v>
                </c:pt>
                <c:pt idx="77">
                  <c:v>807.3380899421383</c:v>
                </c:pt>
                <c:pt idx="78">
                  <c:v>807.3380899421383</c:v>
                </c:pt>
                <c:pt idx="79">
                  <c:v>807.3380899421383</c:v>
                </c:pt>
                <c:pt idx="80">
                  <c:v>807.3380899421383</c:v>
                </c:pt>
                <c:pt idx="81">
                  <c:v>807.3380899421383</c:v>
                </c:pt>
                <c:pt idx="82">
                  <c:v>807.3380899421383</c:v>
                </c:pt>
                <c:pt idx="83">
                  <c:v>807.3380899421383</c:v>
                </c:pt>
                <c:pt idx="84">
                  <c:v>807.3380899421383</c:v>
                </c:pt>
                <c:pt idx="85">
                  <c:v>807.3380899421383</c:v>
                </c:pt>
                <c:pt idx="86">
                  <c:v>807.3380899421383</c:v>
                </c:pt>
                <c:pt idx="87">
                  <c:v>807.3380899421383</c:v>
                </c:pt>
                <c:pt idx="88">
                  <c:v>802.8528783313487</c:v>
                </c:pt>
                <c:pt idx="89">
                  <c:v>793.8824551097694</c:v>
                </c:pt>
                <c:pt idx="90">
                  <c:v>784.9120318881901</c:v>
                </c:pt>
                <c:pt idx="91">
                  <c:v>775.9416086666108</c:v>
                </c:pt>
                <c:pt idx="92">
                  <c:v>766.9711854450314</c:v>
                </c:pt>
                <c:pt idx="93">
                  <c:v>758.0007622234521</c:v>
                </c:pt>
                <c:pt idx="94">
                  <c:v>749.0303390018727</c:v>
                </c:pt>
                <c:pt idx="95">
                  <c:v>740.0599157802935</c:v>
                </c:pt>
                <c:pt idx="96">
                  <c:v>731.0894925587142</c:v>
                </c:pt>
                <c:pt idx="97">
                  <c:v>722.1190693371348</c:v>
                </c:pt>
                <c:pt idx="98">
                  <c:v>717.6338577263452</c:v>
                </c:pt>
                <c:pt idx="99">
                  <c:v>717.6338577263452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21192.86666666666</c:v>
                </c:pt>
                <c:pt idx="89">
                  <c:v>19538.6</c:v>
                </c:pt>
                <c:pt idx="90">
                  <c:v>17884.33333333333</c:v>
                </c:pt>
                <c:pt idx="91">
                  <c:v>16230.06666666667</c:v>
                </c:pt>
                <c:pt idx="92">
                  <c:v>14575.8</c:v>
                </c:pt>
                <c:pt idx="93">
                  <c:v>12921.53333333333</c:v>
                </c:pt>
                <c:pt idx="94">
                  <c:v>11267.26666666667</c:v>
                </c:pt>
                <c:pt idx="95">
                  <c:v>9612.999999999998</c:v>
                </c:pt>
                <c:pt idx="96">
                  <c:v>7958.733333333332</c:v>
                </c:pt>
                <c:pt idx="97">
                  <c:v>6304.466666666665</c:v>
                </c:pt>
                <c:pt idx="98">
                  <c:v>5477.333333333333</c:v>
                </c:pt>
                <c:pt idx="99">
                  <c:v>5477.333333333333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901448520"/>
        <c:axId val="1901451864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  <c:pt idx="4">
                  <c:v>17059.8252222761</c:v>
                </c:pt>
                <c:pt idx="5">
                  <c:v>17059.8252222761</c:v>
                </c:pt>
                <c:pt idx="6">
                  <c:v>17059.8252222761</c:v>
                </c:pt>
                <c:pt idx="7">
                  <c:v>17059.8252222761</c:v>
                </c:pt>
                <c:pt idx="8">
                  <c:v>17059.8252222761</c:v>
                </c:pt>
                <c:pt idx="9">
                  <c:v>17059.8252222761</c:v>
                </c:pt>
                <c:pt idx="10">
                  <c:v>17059.8252222761</c:v>
                </c:pt>
                <c:pt idx="11">
                  <c:v>17059.8252222761</c:v>
                </c:pt>
                <c:pt idx="12">
                  <c:v>17059.8252222761</c:v>
                </c:pt>
                <c:pt idx="13">
                  <c:v>17059.8252222761</c:v>
                </c:pt>
                <c:pt idx="14">
                  <c:v>17059.8252222761</c:v>
                </c:pt>
                <c:pt idx="15">
                  <c:v>17059.8252222761</c:v>
                </c:pt>
                <c:pt idx="16">
                  <c:v>17059.8252222761</c:v>
                </c:pt>
                <c:pt idx="17">
                  <c:v>17059.8252222761</c:v>
                </c:pt>
                <c:pt idx="18">
                  <c:v>17059.8252222761</c:v>
                </c:pt>
                <c:pt idx="19">
                  <c:v>17059.8252222761</c:v>
                </c:pt>
                <c:pt idx="20">
                  <c:v>17059.8252222761</c:v>
                </c:pt>
                <c:pt idx="21">
                  <c:v>17059.8252222761</c:v>
                </c:pt>
                <c:pt idx="22">
                  <c:v>17059.8252222761</c:v>
                </c:pt>
                <c:pt idx="23">
                  <c:v>17059.8252222761</c:v>
                </c:pt>
                <c:pt idx="24">
                  <c:v>17059.8252222761</c:v>
                </c:pt>
                <c:pt idx="25">
                  <c:v>17059.8252222761</c:v>
                </c:pt>
                <c:pt idx="26">
                  <c:v>17059.8252222761</c:v>
                </c:pt>
                <c:pt idx="27">
                  <c:v>17059.8252222761</c:v>
                </c:pt>
                <c:pt idx="28">
                  <c:v>17059.8252222761</c:v>
                </c:pt>
                <c:pt idx="29">
                  <c:v>17059.8252222761</c:v>
                </c:pt>
                <c:pt idx="30">
                  <c:v>17059.8252222761</c:v>
                </c:pt>
                <c:pt idx="31">
                  <c:v>17059.8252222761</c:v>
                </c:pt>
                <c:pt idx="32">
                  <c:v>17059.8252222761</c:v>
                </c:pt>
                <c:pt idx="33">
                  <c:v>17059.8252222761</c:v>
                </c:pt>
                <c:pt idx="34">
                  <c:v>17059.8252222761</c:v>
                </c:pt>
                <c:pt idx="35">
                  <c:v>17059.8252222761</c:v>
                </c:pt>
                <c:pt idx="36">
                  <c:v>17059.8252222761</c:v>
                </c:pt>
                <c:pt idx="37">
                  <c:v>17059.8252222761</c:v>
                </c:pt>
                <c:pt idx="38">
                  <c:v>17059.8252222761</c:v>
                </c:pt>
                <c:pt idx="39">
                  <c:v>17059.8252222761</c:v>
                </c:pt>
                <c:pt idx="40">
                  <c:v>17059.8252222761</c:v>
                </c:pt>
                <c:pt idx="41">
                  <c:v>17059.8252222761</c:v>
                </c:pt>
                <c:pt idx="42">
                  <c:v>17059.8252222761</c:v>
                </c:pt>
                <c:pt idx="43">
                  <c:v>17059.8252222761</c:v>
                </c:pt>
                <c:pt idx="44">
                  <c:v>17059.8252222761</c:v>
                </c:pt>
                <c:pt idx="45">
                  <c:v>17059.8252222761</c:v>
                </c:pt>
                <c:pt idx="46">
                  <c:v>17059.8252222761</c:v>
                </c:pt>
                <c:pt idx="47">
                  <c:v>17059.8252222761</c:v>
                </c:pt>
                <c:pt idx="48">
                  <c:v>17059.8252222761</c:v>
                </c:pt>
                <c:pt idx="49">
                  <c:v>17059.8252222761</c:v>
                </c:pt>
                <c:pt idx="50">
                  <c:v>17059.8252222761</c:v>
                </c:pt>
                <c:pt idx="51">
                  <c:v>17059.8252222761</c:v>
                </c:pt>
                <c:pt idx="52">
                  <c:v>17059.8252222761</c:v>
                </c:pt>
                <c:pt idx="53">
                  <c:v>17059.8252222761</c:v>
                </c:pt>
                <c:pt idx="54">
                  <c:v>17059.8252222761</c:v>
                </c:pt>
                <c:pt idx="55">
                  <c:v>17059.8252222761</c:v>
                </c:pt>
                <c:pt idx="56">
                  <c:v>17059.8252222761</c:v>
                </c:pt>
                <c:pt idx="57">
                  <c:v>17059.8252222761</c:v>
                </c:pt>
                <c:pt idx="58">
                  <c:v>17059.8252222761</c:v>
                </c:pt>
                <c:pt idx="59">
                  <c:v>17059.8252222761</c:v>
                </c:pt>
                <c:pt idx="60">
                  <c:v>17059.8252222761</c:v>
                </c:pt>
                <c:pt idx="61">
                  <c:v>17059.8252222761</c:v>
                </c:pt>
                <c:pt idx="62">
                  <c:v>17059.8252222761</c:v>
                </c:pt>
                <c:pt idx="63">
                  <c:v>17059.8252222761</c:v>
                </c:pt>
                <c:pt idx="64">
                  <c:v>17059.8252222761</c:v>
                </c:pt>
                <c:pt idx="65">
                  <c:v>17059.8252222761</c:v>
                </c:pt>
                <c:pt idx="66">
                  <c:v>17059.8252222761</c:v>
                </c:pt>
                <c:pt idx="67">
                  <c:v>17059.8252222761</c:v>
                </c:pt>
                <c:pt idx="68">
                  <c:v>17059.8252222761</c:v>
                </c:pt>
                <c:pt idx="69">
                  <c:v>17059.8252222761</c:v>
                </c:pt>
                <c:pt idx="70">
                  <c:v>17059.8252222761</c:v>
                </c:pt>
                <c:pt idx="71">
                  <c:v>17059.8252222761</c:v>
                </c:pt>
                <c:pt idx="72">
                  <c:v>17059.8252222761</c:v>
                </c:pt>
                <c:pt idx="73">
                  <c:v>17059.8252222761</c:v>
                </c:pt>
                <c:pt idx="74">
                  <c:v>17059.8252222761</c:v>
                </c:pt>
                <c:pt idx="75">
                  <c:v>17059.8252222761</c:v>
                </c:pt>
                <c:pt idx="76">
                  <c:v>17059.8252222761</c:v>
                </c:pt>
                <c:pt idx="77">
                  <c:v>17059.8252222761</c:v>
                </c:pt>
                <c:pt idx="78">
                  <c:v>17059.8252222761</c:v>
                </c:pt>
                <c:pt idx="79">
                  <c:v>17059.8252222761</c:v>
                </c:pt>
                <c:pt idx="80">
                  <c:v>17059.8252222761</c:v>
                </c:pt>
                <c:pt idx="81">
                  <c:v>17059.8252222761</c:v>
                </c:pt>
                <c:pt idx="82">
                  <c:v>17059.8252222761</c:v>
                </c:pt>
                <c:pt idx="83">
                  <c:v>17059.8252222761</c:v>
                </c:pt>
                <c:pt idx="84">
                  <c:v>17059.8252222761</c:v>
                </c:pt>
                <c:pt idx="85">
                  <c:v>17059.8252222761</c:v>
                </c:pt>
                <c:pt idx="86">
                  <c:v>17059.8252222761</c:v>
                </c:pt>
                <c:pt idx="87">
                  <c:v>17059.8252222761</c:v>
                </c:pt>
                <c:pt idx="88">
                  <c:v>17059.8252222761</c:v>
                </c:pt>
                <c:pt idx="89">
                  <c:v>17059.8252222761</c:v>
                </c:pt>
                <c:pt idx="90">
                  <c:v>17059.8252222761</c:v>
                </c:pt>
                <c:pt idx="91">
                  <c:v>17059.8252222761</c:v>
                </c:pt>
                <c:pt idx="92">
                  <c:v>17059.8252222761</c:v>
                </c:pt>
                <c:pt idx="93">
                  <c:v>17059.8252222761</c:v>
                </c:pt>
                <c:pt idx="94">
                  <c:v>17059.8252222761</c:v>
                </c:pt>
                <c:pt idx="95">
                  <c:v>17059.8252222761</c:v>
                </c:pt>
                <c:pt idx="96">
                  <c:v>17059.8252222761</c:v>
                </c:pt>
                <c:pt idx="97">
                  <c:v>17059.8252222761</c:v>
                </c:pt>
                <c:pt idx="98">
                  <c:v>17059.8252222761</c:v>
                </c:pt>
                <c:pt idx="99">
                  <c:v>17059.8252222761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01448520"/>
        <c:axId val="1901451864"/>
      </c:lineChart>
      <c:catAx>
        <c:axId val="190144852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145186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90145186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90144852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41.29511794295417</c:v>
                </c:pt>
                <c:pt idx="2">
                  <c:v>3.733643231852056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123.7777777777778</c:v>
                </c:pt>
                <c:pt idx="2">
                  <c:v>151.1444444444444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7.93865698403876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19.06666666666667</c:v>
                </c:pt>
                <c:pt idx="2">
                  <c:v>-42.9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-8.970423221579313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-1654.266666666667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224360"/>
        <c:axId val="1899227640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7.522642854918406</c:v>
                </c:pt>
                <c:pt idx="2">
                  <c:v>64.71834101305735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133.3333333333333</c:v>
                </c:pt>
                <c:pt idx="2">
                  <c:v>632.2222222222223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-38.68508287292817</c:v>
                </c:pt>
                <c:pt idx="2">
                  <c:v>-75.2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3089.777777777778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96.0</c:v>
                </c:pt>
                <c:pt idx="2">
                  <c:v>-216.0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80.0</c:v>
                </c:pt>
                <c:pt idx="2">
                  <c:v>95.0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231240"/>
        <c:axId val="1899234232"/>
      </c:scatterChart>
      <c:valAx>
        <c:axId val="1899224360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9227640"/>
        <c:crosses val="autoZero"/>
        <c:crossBetween val="midCat"/>
      </c:valAx>
      <c:valAx>
        <c:axId val="1899227640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9224360"/>
        <c:crosses val="autoZero"/>
        <c:crossBetween val="midCat"/>
      </c:valAx>
      <c:valAx>
        <c:axId val="1899231240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1899234232"/>
        <c:crosses val="autoZero"/>
        <c:crossBetween val="midCat"/>
      </c:valAx>
      <c:valAx>
        <c:axId val="1899234232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9231240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2141.476099311332</c:v>
                </c:pt>
                <c:pt idx="1">
                  <c:v>2141.476099311332</c:v>
                </c:pt>
                <c:pt idx="2">
                  <c:v>2141.476099311332</c:v>
                </c:pt>
                <c:pt idx="3">
                  <c:v>2141.476099311332</c:v>
                </c:pt>
                <c:pt idx="4">
                  <c:v>2141.476099311332</c:v>
                </c:pt>
                <c:pt idx="5">
                  <c:v>2141.476099311332</c:v>
                </c:pt>
                <c:pt idx="6">
                  <c:v>2141.476099311332</c:v>
                </c:pt>
                <c:pt idx="7">
                  <c:v>2141.476099311332</c:v>
                </c:pt>
                <c:pt idx="8">
                  <c:v>2141.476099311332</c:v>
                </c:pt>
                <c:pt idx="9">
                  <c:v>2141.476099311332</c:v>
                </c:pt>
                <c:pt idx="10">
                  <c:v>2141.476099311332</c:v>
                </c:pt>
                <c:pt idx="11">
                  <c:v>2141.476099311332</c:v>
                </c:pt>
                <c:pt idx="12">
                  <c:v>2141.476099311332</c:v>
                </c:pt>
                <c:pt idx="13">
                  <c:v>2141.476099311332</c:v>
                </c:pt>
                <c:pt idx="14">
                  <c:v>2141.476099311332</c:v>
                </c:pt>
                <c:pt idx="15">
                  <c:v>2141.476099311332</c:v>
                </c:pt>
                <c:pt idx="16">
                  <c:v>2141.476099311332</c:v>
                </c:pt>
                <c:pt idx="17">
                  <c:v>2141.476099311332</c:v>
                </c:pt>
                <c:pt idx="18">
                  <c:v>2141.476099311332</c:v>
                </c:pt>
                <c:pt idx="19">
                  <c:v>2141.476099311332</c:v>
                </c:pt>
                <c:pt idx="20">
                  <c:v>2141.476099311332</c:v>
                </c:pt>
                <c:pt idx="21">
                  <c:v>2141.476099311332</c:v>
                </c:pt>
                <c:pt idx="22">
                  <c:v>2141.476099311332</c:v>
                </c:pt>
                <c:pt idx="23">
                  <c:v>2141.476099311332</c:v>
                </c:pt>
                <c:pt idx="24">
                  <c:v>2141.476099311332</c:v>
                </c:pt>
                <c:pt idx="25">
                  <c:v>2141.476099311332</c:v>
                </c:pt>
                <c:pt idx="26">
                  <c:v>2147.224086038362</c:v>
                </c:pt>
                <c:pt idx="27">
                  <c:v>2152.972072765392</c:v>
                </c:pt>
                <c:pt idx="28">
                  <c:v>2158.720059492422</c:v>
                </c:pt>
                <c:pt idx="29">
                  <c:v>2164.468046219452</c:v>
                </c:pt>
                <c:pt idx="30">
                  <c:v>2170.216032946482</c:v>
                </c:pt>
                <c:pt idx="31">
                  <c:v>2175.964019673513</c:v>
                </c:pt>
                <c:pt idx="32">
                  <c:v>2181.712006400543</c:v>
                </c:pt>
                <c:pt idx="33">
                  <c:v>2187.459993127572</c:v>
                </c:pt>
                <c:pt idx="34">
                  <c:v>2193.207979854602</c:v>
                </c:pt>
                <c:pt idx="35">
                  <c:v>2198.955966581632</c:v>
                </c:pt>
                <c:pt idx="36">
                  <c:v>2204.703953308663</c:v>
                </c:pt>
                <c:pt idx="37">
                  <c:v>2210.451940035693</c:v>
                </c:pt>
                <c:pt idx="38">
                  <c:v>2216.199926762722</c:v>
                </c:pt>
                <c:pt idx="39">
                  <c:v>2221.947913489753</c:v>
                </c:pt>
                <c:pt idx="40">
                  <c:v>2227.695900216783</c:v>
                </c:pt>
                <c:pt idx="41">
                  <c:v>2233.443886943813</c:v>
                </c:pt>
                <c:pt idx="42">
                  <c:v>2239.191873670843</c:v>
                </c:pt>
                <c:pt idx="43">
                  <c:v>2244.939860397873</c:v>
                </c:pt>
                <c:pt idx="44">
                  <c:v>2250.687847124903</c:v>
                </c:pt>
                <c:pt idx="45">
                  <c:v>2256.435833851933</c:v>
                </c:pt>
                <c:pt idx="46">
                  <c:v>2262.183820578963</c:v>
                </c:pt>
                <c:pt idx="47">
                  <c:v>2267.931807305993</c:v>
                </c:pt>
                <c:pt idx="48">
                  <c:v>2273.679794033023</c:v>
                </c:pt>
                <c:pt idx="49">
                  <c:v>2279.427780760053</c:v>
                </c:pt>
                <c:pt idx="50">
                  <c:v>2285.175767487083</c:v>
                </c:pt>
                <c:pt idx="51">
                  <c:v>2290.923754214113</c:v>
                </c:pt>
                <c:pt idx="52">
                  <c:v>2296.671740941143</c:v>
                </c:pt>
                <c:pt idx="53">
                  <c:v>2302.419727668173</c:v>
                </c:pt>
                <c:pt idx="54">
                  <c:v>2308.167714395203</c:v>
                </c:pt>
                <c:pt idx="55">
                  <c:v>2313.915701122233</c:v>
                </c:pt>
                <c:pt idx="56">
                  <c:v>2319.663687849263</c:v>
                </c:pt>
                <c:pt idx="57">
                  <c:v>2325.411674576293</c:v>
                </c:pt>
                <c:pt idx="58">
                  <c:v>2331.159661303323</c:v>
                </c:pt>
                <c:pt idx="59">
                  <c:v>2336.907648030353</c:v>
                </c:pt>
                <c:pt idx="60">
                  <c:v>2342.655634757383</c:v>
                </c:pt>
                <c:pt idx="61">
                  <c:v>2348.403621484413</c:v>
                </c:pt>
                <c:pt idx="62">
                  <c:v>2354.151608211443</c:v>
                </c:pt>
                <c:pt idx="63">
                  <c:v>2359.899594938473</c:v>
                </c:pt>
                <c:pt idx="64">
                  <c:v>2365.647581665503</c:v>
                </c:pt>
                <c:pt idx="65">
                  <c:v>2371.395568392533</c:v>
                </c:pt>
                <c:pt idx="66">
                  <c:v>2412.690686335487</c:v>
                </c:pt>
                <c:pt idx="67">
                  <c:v>2453.985804278442</c:v>
                </c:pt>
                <c:pt idx="68">
                  <c:v>2495.280922221396</c:v>
                </c:pt>
                <c:pt idx="69">
                  <c:v>2536.57604016435</c:v>
                </c:pt>
                <c:pt idx="70">
                  <c:v>2577.871158107303</c:v>
                </c:pt>
                <c:pt idx="71">
                  <c:v>2619.166276050258</c:v>
                </c:pt>
                <c:pt idx="72">
                  <c:v>2660.461393993212</c:v>
                </c:pt>
                <c:pt idx="73">
                  <c:v>2701.756511936167</c:v>
                </c:pt>
                <c:pt idx="74">
                  <c:v>2743.051629879121</c:v>
                </c:pt>
                <c:pt idx="75">
                  <c:v>2784.346747822075</c:v>
                </c:pt>
                <c:pt idx="76">
                  <c:v>2825.641865765029</c:v>
                </c:pt>
                <c:pt idx="77">
                  <c:v>2866.936983707983</c:v>
                </c:pt>
                <c:pt idx="78">
                  <c:v>2908.232101650938</c:v>
                </c:pt>
                <c:pt idx="79">
                  <c:v>2949.527219593891</c:v>
                </c:pt>
                <c:pt idx="80">
                  <c:v>2990.822337536845</c:v>
                </c:pt>
                <c:pt idx="81">
                  <c:v>3032.1174554798</c:v>
                </c:pt>
                <c:pt idx="82">
                  <c:v>3073.412573422754</c:v>
                </c:pt>
                <c:pt idx="83">
                  <c:v>3114.707691365708</c:v>
                </c:pt>
                <c:pt idx="84">
                  <c:v>3156.002809308663</c:v>
                </c:pt>
                <c:pt idx="85">
                  <c:v>3197.297927251617</c:v>
                </c:pt>
                <c:pt idx="86">
                  <c:v>3238.593045194571</c:v>
                </c:pt>
                <c:pt idx="87">
                  <c:v>3279.888163137525</c:v>
                </c:pt>
                <c:pt idx="88">
                  <c:v>3302.402543724928</c:v>
                </c:pt>
                <c:pt idx="89">
                  <c:v>3306.13618695678</c:v>
                </c:pt>
                <c:pt idx="90">
                  <c:v>3309.869830188632</c:v>
                </c:pt>
                <c:pt idx="91">
                  <c:v>3313.603473420484</c:v>
                </c:pt>
                <c:pt idx="92">
                  <c:v>3317.337116652336</c:v>
                </c:pt>
                <c:pt idx="93">
                  <c:v>3321.070759884188</c:v>
                </c:pt>
                <c:pt idx="94">
                  <c:v>3324.804403116041</c:v>
                </c:pt>
                <c:pt idx="95">
                  <c:v>3328.538046347892</c:v>
                </c:pt>
                <c:pt idx="96">
                  <c:v>3332.271689579745</c:v>
                </c:pt>
                <c:pt idx="97">
                  <c:v>3336.005332811596</c:v>
                </c:pt>
                <c:pt idx="98">
                  <c:v>3391.052154427523</c:v>
                </c:pt>
                <c:pt idx="99">
                  <c:v>3497.412154427523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20.9</c:v>
                </c:pt>
                <c:pt idx="27">
                  <c:v>41.8</c:v>
                </c:pt>
                <c:pt idx="28">
                  <c:v>62.7</c:v>
                </c:pt>
                <c:pt idx="29">
                  <c:v>83.6</c:v>
                </c:pt>
                <c:pt idx="30">
                  <c:v>104.5</c:v>
                </c:pt>
                <c:pt idx="31">
                  <c:v>125.4</c:v>
                </c:pt>
                <c:pt idx="32">
                  <c:v>146.3</c:v>
                </c:pt>
                <c:pt idx="33">
                  <c:v>167.2</c:v>
                </c:pt>
                <c:pt idx="34">
                  <c:v>188.1</c:v>
                </c:pt>
                <c:pt idx="35">
                  <c:v>209.0</c:v>
                </c:pt>
                <c:pt idx="36">
                  <c:v>229.9</c:v>
                </c:pt>
                <c:pt idx="37">
                  <c:v>250.8</c:v>
                </c:pt>
                <c:pt idx="38">
                  <c:v>271.7</c:v>
                </c:pt>
                <c:pt idx="39">
                  <c:v>292.6</c:v>
                </c:pt>
                <c:pt idx="40">
                  <c:v>313.5</c:v>
                </c:pt>
                <c:pt idx="41">
                  <c:v>334.4</c:v>
                </c:pt>
                <c:pt idx="42">
                  <c:v>355.3</c:v>
                </c:pt>
                <c:pt idx="43">
                  <c:v>376.2</c:v>
                </c:pt>
                <c:pt idx="44">
                  <c:v>397.1</c:v>
                </c:pt>
                <c:pt idx="45">
                  <c:v>418.0</c:v>
                </c:pt>
                <c:pt idx="46">
                  <c:v>438.9</c:v>
                </c:pt>
                <c:pt idx="47">
                  <c:v>459.8</c:v>
                </c:pt>
                <c:pt idx="48">
                  <c:v>480.7</c:v>
                </c:pt>
                <c:pt idx="49">
                  <c:v>501.6</c:v>
                </c:pt>
                <c:pt idx="50">
                  <c:v>522.5</c:v>
                </c:pt>
                <c:pt idx="51">
                  <c:v>543.4</c:v>
                </c:pt>
                <c:pt idx="52">
                  <c:v>564.3</c:v>
                </c:pt>
                <c:pt idx="53">
                  <c:v>585.2</c:v>
                </c:pt>
                <c:pt idx="54">
                  <c:v>606.1</c:v>
                </c:pt>
                <c:pt idx="55">
                  <c:v>627.0</c:v>
                </c:pt>
                <c:pt idx="56">
                  <c:v>647.9</c:v>
                </c:pt>
                <c:pt idx="57">
                  <c:v>668.8</c:v>
                </c:pt>
                <c:pt idx="58">
                  <c:v>689.7</c:v>
                </c:pt>
                <c:pt idx="59">
                  <c:v>710.6</c:v>
                </c:pt>
                <c:pt idx="60">
                  <c:v>731.5</c:v>
                </c:pt>
                <c:pt idx="61">
                  <c:v>752.4</c:v>
                </c:pt>
                <c:pt idx="62">
                  <c:v>773.3</c:v>
                </c:pt>
                <c:pt idx="63">
                  <c:v>794.2</c:v>
                </c:pt>
                <c:pt idx="64">
                  <c:v>815.1</c:v>
                </c:pt>
                <c:pt idx="65">
                  <c:v>836.0</c:v>
                </c:pt>
                <c:pt idx="66">
                  <c:v>959.7777777777778</c:v>
                </c:pt>
                <c:pt idx="67">
                  <c:v>1083.555555555556</c:v>
                </c:pt>
                <c:pt idx="68">
                  <c:v>1207.333333333333</c:v>
                </c:pt>
                <c:pt idx="69">
                  <c:v>1331.111111111111</c:v>
                </c:pt>
                <c:pt idx="70">
                  <c:v>1454.888888888889</c:v>
                </c:pt>
                <c:pt idx="71">
                  <c:v>1578.666666666667</c:v>
                </c:pt>
                <c:pt idx="72">
                  <c:v>1702.444444444444</c:v>
                </c:pt>
                <c:pt idx="73">
                  <c:v>1826.222222222222</c:v>
                </c:pt>
                <c:pt idx="74">
                  <c:v>1950.0</c:v>
                </c:pt>
                <c:pt idx="75">
                  <c:v>2073.777777777778</c:v>
                </c:pt>
                <c:pt idx="76">
                  <c:v>2197.555555555555</c:v>
                </c:pt>
                <c:pt idx="77">
                  <c:v>2321.333333333333</c:v>
                </c:pt>
                <c:pt idx="78">
                  <c:v>2445.111111111111</c:v>
                </c:pt>
                <c:pt idx="79">
                  <c:v>2568.888888888889</c:v>
                </c:pt>
                <c:pt idx="80">
                  <c:v>2692.666666666667</c:v>
                </c:pt>
                <c:pt idx="81">
                  <c:v>2816.444444444444</c:v>
                </c:pt>
                <c:pt idx="82">
                  <c:v>2940.222222222222</c:v>
                </c:pt>
                <c:pt idx="83">
                  <c:v>3064.0</c:v>
                </c:pt>
                <c:pt idx="84">
                  <c:v>3187.777777777778</c:v>
                </c:pt>
                <c:pt idx="85">
                  <c:v>3311.555555555555</c:v>
                </c:pt>
                <c:pt idx="86">
                  <c:v>3435.333333333333</c:v>
                </c:pt>
                <c:pt idx="87">
                  <c:v>3559.111111111111</c:v>
                </c:pt>
                <c:pt idx="88">
                  <c:v>3696.572222222222</c:v>
                </c:pt>
                <c:pt idx="89">
                  <c:v>3847.716666666667</c:v>
                </c:pt>
                <c:pt idx="90">
                  <c:v>3998.861111111111</c:v>
                </c:pt>
                <c:pt idx="91">
                  <c:v>4150.005555555555</c:v>
                </c:pt>
                <c:pt idx="92">
                  <c:v>4301.15</c:v>
                </c:pt>
                <c:pt idx="93">
                  <c:v>4452.294444444445</c:v>
                </c:pt>
                <c:pt idx="94">
                  <c:v>4603.438888888889</c:v>
                </c:pt>
                <c:pt idx="95">
                  <c:v>4754.583333333333</c:v>
                </c:pt>
                <c:pt idx="96">
                  <c:v>4905.727777777778</c:v>
                </c:pt>
                <c:pt idx="97">
                  <c:v>5056.872222222222</c:v>
                </c:pt>
                <c:pt idx="98">
                  <c:v>5494.874444444445</c:v>
                </c:pt>
                <c:pt idx="99">
                  <c:v>6219.734444444444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151.4550861507912</c:v>
                </c:pt>
                <c:pt idx="1">
                  <c:v>151.4550861507912</c:v>
                </c:pt>
                <c:pt idx="2">
                  <c:v>151.4550861507912</c:v>
                </c:pt>
                <c:pt idx="3">
                  <c:v>151.4550861507912</c:v>
                </c:pt>
                <c:pt idx="4">
                  <c:v>151.4550861507912</c:v>
                </c:pt>
                <c:pt idx="5">
                  <c:v>151.4550861507912</c:v>
                </c:pt>
                <c:pt idx="6">
                  <c:v>151.4550861507912</c:v>
                </c:pt>
                <c:pt idx="7">
                  <c:v>151.4550861507912</c:v>
                </c:pt>
                <c:pt idx="8">
                  <c:v>151.4550861507912</c:v>
                </c:pt>
                <c:pt idx="9">
                  <c:v>151.4550861507912</c:v>
                </c:pt>
                <c:pt idx="10">
                  <c:v>151.4550861507912</c:v>
                </c:pt>
                <c:pt idx="11">
                  <c:v>151.4550861507912</c:v>
                </c:pt>
                <c:pt idx="12">
                  <c:v>151.4550861507912</c:v>
                </c:pt>
                <c:pt idx="13">
                  <c:v>151.4550861507912</c:v>
                </c:pt>
                <c:pt idx="14">
                  <c:v>151.4550861507912</c:v>
                </c:pt>
                <c:pt idx="15">
                  <c:v>151.4550861507912</c:v>
                </c:pt>
                <c:pt idx="16">
                  <c:v>151.4550861507912</c:v>
                </c:pt>
                <c:pt idx="17">
                  <c:v>151.4550861507912</c:v>
                </c:pt>
                <c:pt idx="18">
                  <c:v>151.4550861507912</c:v>
                </c:pt>
                <c:pt idx="19">
                  <c:v>151.4550861507912</c:v>
                </c:pt>
                <c:pt idx="20">
                  <c:v>151.4550861507912</c:v>
                </c:pt>
                <c:pt idx="21">
                  <c:v>151.4550861507912</c:v>
                </c:pt>
                <c:pt idx="22">
                  <c:v>151.4550861507912</c:v>
                </c:pt>
                <c:pt idx="23">
                  <c:v>151.4550861507912</c:v>
                </c:pt>
                <c:pt idx="24">
                  <c:v>151.4550861507912</c:v>
                </c:pt>
                <c:pt idx="25">
                  <c:v>151.4550861507912</c:v>
                </c:pt>
                <c:pt idx="26">
                  <c:v>153.5204648046716</c:v>
                </c:pt>
                <c:pt idx="27">
                  <c:v>155.5858434585519</c:v>
                </c:pt>
                <c:pt idx="28">
                  <c:v>157.6512221124323</c:v>
                </c:pt>
                <c:pt idx="29">
                  <c:v>159.7166007663127</c:v>
                </c:pt>
                <c:pt idx="30">
                  <c:v>161.781979420193</c:v>
                </c:pt>
                <c:pt idx="31">
                  <c:v>163.8473580740734</c:v>
                </c:pt>
                <c:pt idx="32">
                  <c:v>165.9127367279538</c:v>
                </c:pt>
                <c:pt idx="33">
                  <c:v>167.9781153818341</c:v>
                </c:pt>
                <c:pt idx="34">
                  <c:v>170.0434940357145</c:v>
                </c:pt>
                <c:pt idx="35">
                  <c:v>172.1088726895948</c:v>
                </c:pt>
                <c:pt idx="36">
                  <c:v>174.1742513434752</c:v>
                </c:pt>
                <c:pt idx="37">
                  <c:v>176.2396299973556</c:v>
                </c:pt>
                <c:pt idx="38">
                  <c:v>178.305008651236</c:v>
                </c:pt>
                <c:pt idx="39">
                  <c:v>180.3703873051163</c:v>
                </c:pt>
                <c:pt idx="40">
                  <c:v>182.4357659589967</c:v>
                </c:pt>
                <c:pt idx="41">
                  <c:v>184.501144612877</c:v>
                </c:pt>
                <c:pt idx="42">
                  <c:v>186.5665232667574</c:v>
                </c:pt>
                <c:pt idx="43">
                  <c:v>188.6319019206377</c:v>
                </c:pt>
                <c:pt idx="44">
                  <c:v>190.6972805745181</c:v>
                </c:pt>
                <c:pt idx="45">
                  <c:v>192.7626592283985</c:v>
                </c:pt>
                <c:pt idx="46">
                  <c:v>194.8280378822788</c:v>
                </c:pt>
                <c:pt idx="47">
                  <c:v>196.8934165361592</c:v>
                </c:pt>
                <c:pt idx="48">
                  <c:v>198.9587951900396</c:v>
                </c:pt>
                <c:pt idx="49">
                  <c:v>201.0241738439199</c:v>
                </c:pt>
                <c:pt idx="50">
                  <c:v>203.0895524978003</c:v>
                </c:pt>
                <c:pt idx="51">
                  <c:v>205.1549311516806</c:v>
                </c:pt>
                <c:pt idx="52">
                  <c:v>207.220309805561</c:v>
                </c:pt>
                <c:pt idx="53">
                  <c:v>209.2856884594414</c:v>
                </c:pt>
                <c:pt idx="54">
                  <c:v>211.3510671133217</c:v>
                </c:pt>
                <c:pt idx="55">
                  <c:v>213.4164457672021</c:v>
                </c:pt>
                <c:pt idx="56">
                  <c:v>215.4818244210824</c:v>
                </c:pt>
                <c:pt idx="57">
                  <c:v>217.5472030749628</c:v>
                </c:pt>
                <c:pt idx="58">
                  <c:v>219.6125817288432</c:v>
                </c:pt>
                <c:pt idx="59">
                  <c:v>221.6779603827235</c:v>
                </c:pt>
                <c:pt idx="60">
                  <c:v>223.7433390366039</c:v>
                </c:pt>
                <c:pt idx="61">
                  <c:v>225.8087176904842</c:v>
                </c:pt>
                <c:pt idx="62">
                  <c:v>227.8740963443646</c:v>
                </c:pt>
                <c:pt idx="63">
                  <c:v>229.939474998245</c:v>
                </c:pt>
                <c:pt idx="64">
                  <c:v>232.0048536521253</c:v>
                </c:pt>
                <c:pt idx="65">
                  <c:v>234.0702323060057</c:v>
                </c:pt>
                <c:pt idx="66">
                  <c:v>241.5928751609241</c:v>
                </c:pt>
                <c:pt idx="67">
                  <c:v>249.1155180158425</c:v>
                </c:pt>
                <c:pt idx="68">
                  <c:v>256.6381608707609</c:v>
                </c:pt>
                <c:pt idx="69">
                  <c:v>264.1608037256793</c:v>
                </c:pt>
                <c:pt idx="70">
                  <c:v>271.6834465805977</c:v>
                </c:pt>
                <c:pt idx="71">
                  <c:v>279.2060894355161</c:v>
                </c:pt>
                <c:pt idx="72">
                  <c:v>286.7287322904346</c:v>
                </c:pt>
                <c:pt idx="73">
                  <c:v>294.2513751453529</c:v>
                </c:pt>
                <c:pt idx="74">
                  <c:v>301.7740180002713</c:v>
                </c:pt>
                <c:pt idx="75">
                  <c:v>309.2966608551898</c:v>
                </c:pt>
                <c:pt idx="76">
                  <c:v>316.8193037101082</c:v>
                </c:pt>
                <c:pt idx="77">
                  <c:v>324.3419465650265</c:v>
                </c:pt>
                <c:pt idx="78">
                  <c:v>331.864589419945</c:v>
                </c:pt>
                <c:pt idx="79">
                  <c:v>339.3872322748634</c:v>
                </c:pt>
                <c:pt idx="80">
                  <c:v>346.9098751297817</c:v>
                </c:pt>
                <c:pt idx="81">
                  <c:v>354.4325179847002</c:v>
                </c:pt>
                <c:pt idx="82">
                  <c:v>361.9551608396186</c:v>
                </c:pt>
                <c:pt idx="83">
                  <c:v>369.477803694537</c:v>
                </c:pt>
                <c:pt idx="84">
                  <c:v>377.0004465494554</c:v>
                </c:pt>
                <c:pt idx="85">
                  <c:v>384.5230894043738</c:v>
                </c:pt>
                <c:pt idx="86">
                  <c:v>392.0457322592922</c:v>
                </c:pt>
                <c:pt idx="87">
                  <c:v>399.5683751142107</c:v>
                </c:pt>
                <c:pt idx="88">
                  <c:v>435.6888670481985</c:v>
                </c:pt>
                <c:pt idx="89">
                  <c:v>500.4072080612559</c:v>
                </c:pt>
                <c:pt idx="90">
                  <c:v>565.1255490743132</c:v>
                </c:pt>
                <c:pt idx="91">
                  <c:v>629.8438900873706</c:v>
                </c:pt>
                <c:pt idx="92">
                  <c:v>694.5622311004279</c:v>
                </c:pt>
                <c:pt idx="93">
                  <c:v>759.2805721134852</c:v>
                </c:pt>
                <c:pt idx="94">
                  <c:v>823.9989131265426</c:v>
                </c:pt>
                <c:pt idx="95">
                  <c:v>888.7172541396</c:v>
                </c:pt>
                <c:pt idx="96">
                  <c:v>953.4355951526573</c:v>
                </c:pt>
                <c:pt idx="97">
                  <c:v>1018.153936165715</c:v>
                </c:pt>
                <c:pt idx="98">
                  <c:v>1054.728606672243</c:v>
                </c:pt>
                <c:pt idx="99">
                  <c:v>1063.159606672243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12.5</c:v>
                </c:pt>
                <c:pt idx="27">
                  <c:v>25.0</c:v>
                </c:pt>
                <c:pt idx="28">
                  <c:v>37.50000000000001</c:v>
                </c:pt>
                <c:pt idx="29">
                  <c:v>50.00000000000001</c:v>
                </c:pt>
                <c:pt idx="30">
                  <c:v>62.50000000000001</c:v>
                </c:pt>
                <c:pt idx="31">
                  <c:v>75.00000000000001</c:v>
                </c:pt>
                <c:pt idx="32">
                  <c:v>87.50000000000001</c:v>
                </c:pt>
                <c:pt idx="33">
                  <c:v>100.0</c:v>
                </c:pt>
                <c:pt idx="34">
                  <c:v>112.5</c:v>
                </c:pt>
                <c:pt idx="35">
                  <c:v>125.0</c:v>
                </c:pt>
                <c:pt idx="36">
                  <c:v>137.5</c:v>
                </c:pt>
                <c:pt idx="37">
                  <c:v>150.0</c:v>
                </c:pt>
                <c:pt idx="38">
                  <c:v>162.5</c:v>
                </c:pt>
                <c:pt idx="39">
                  <c:v>175.0</c:v>
                </c:pt>
                <c:pt idx="40">
                  <c:v>187.5</c:v>
                </c:pt>
                <c:pt idx="41">
                  <c:v>200.0</c:v>
                </c:pt>
                <c:pt idx="42">
                  <c:v>212.5</c:v>
                </c:pt>
                <c:pt idx="43">
                  <c:v>225.0</c:v>
                </c:pt>
                <c:pt idx="44">
                  <c:v>237.5</c:v>
                </c:pt>
                <c:pt idx="45">
                  <c:v>250.0</c:v>
                </c:pt>
                <c:pt idx="46">
                  <c:v>262.5000000000001</c:v>
                </c:pt>
                <c:pt idx="47">
                  <c:v>275.0000000000001</c:v>
                </c:pt>
                <c:pt idx="48">
                  <c:v>287.5000000000001</c:v>
                </c:pt>
                <c:pt idx="49">
                  <c:v>300.0000000000001</c:v>
                </c:pt>
                <c:pt idx="50">
                  <c:v>312.5000000000001</c:v>
                </c:pt>
                <c:pt idx="51">
                  <c:v>325.0000000000001</c:v>
                </c:pt>
                <c:pt idx="52">
                  <c:v>337.5000000000001</c:v>
                </c:pt>
                <c:pt idx="53">
                  <c:v>350.0000000000001</c:v>
                </c:pt>
                <c:pt idx="54">
                  <c:v>362.5000000000001</c:v>
                </c:pt>
                <c:pt idx="55">
                  <c:v>375.0000000000001</c:v>
                </c:pt>
                <c:pt idx="56">
                  <c:v>387.5000000000001</c:v>
                </c:pt>
                <c:pt idx="57">
                  <c:v>400.0000000000001</c:v>
                </c:pt>
                <c:pt idx="58">
                  <c:v>412.5000000000001</c:v>
                </c:pt>
                <c:pt idx="59">
                  <c:v>425.0000000000001</c:v>
                </c:pt>
                <c:pt idx="60">
                  <c:v>437.5000000000001</c:v>
                </c:pt>
                <c:pt idx="61">
                  <c:v>450.0000000000001</c:v>
                </c:pt>
                <c:pt idx="62">
                  <c:v>462.5000000000001</c:v>
                </c:pt>
                <c:pt idx="63">
                  <c:v>475.0000000000001</c:v>
                </c:pt>
                <c:pt idx="64">
                  <c:v>487.5000000000001</c:v>
                </c:pt>
                <c:pt idx="65">
                  <c:v>500.0000000000001</c:v>
                </c:pt>
                <c:pt idx="66">
                  <c:v>633.3333333333333</c:v>
                </c:pt>
                <c:pt idx="67">
                  <c:v>766.6666666666667</c:v>
                </c:pt>
                <c:pt idx="68">
                  <c:v>900.0</c:v>
                </c:pt>
                <c:pt idx="69">
                  <c:v>1033.333333333333</c:v>
                </c:pt>
                <c:pt idx="70">
                  <c:v>1166.666666666667</c:v>
                </c:pt>
                <c:pt idx="71">
                  <c:v>1300.0</c:v>
                </c:pt>
                <c:pt idx="72">
                  <c:v>1433.333333333333</c:v>
                </c:pt>
                <c:pt idx="73">
                  <c:v>1566.666666666667</c:v>
                </c:pt>
                <c:pt idx="74">
                  <c:v>1700.0</c:v>
                </c:pt>
                <c:pt idx="75">
                  <c:v>1833.333333333333</c:v>
                </c:pt>
                <c:pt idx="76">
                  <c:v>1966.666666666667</c:v>
                </c:pt>
                <c:pt idx="77">
                  <c:v>2100.0</c:v>
                </c:pt>
                <c:pt idx="78">
                  <c:v>2233.333333333333</c:v>
                </c:pt>
                <c:pt idx="79">
                  <c:v>2366.666666666667</c:v>
                </c:pt>
                <c:pt idx="80">
                  <c:v>2500.0</c:v>
                </c:pt>
                <c:pt idx="81">
                  <c:v>2633.333333333333</c:v>
                </c:pt>
                <c:pt idx="82">
                  <c:v>2766.666666666667</c:v>
                </c:pt>
                <c:pt idx="83">
                  <c:v>2900.0</c:v>
                </c:pt>
                <c:pt idx="84">
                  <c:v>3033.333333333333</c:v>
                </c:pt>
                <c:pt idx="85">
                  <c:v>3166.666666666667</c:v>
                </c:pt>
                <c:pt idx="86">
                  <c:v>3300.0</c:v>
                </c:pt>
                <c:pt idx="87">
                  <c:v>3433.333333333333</c:v>
                </c:pt>
                <c:pt idx="88">
                  <c:v>3816.111111111111</c:v>
                </c:pt>
                <c:pt idx="89">
                  <c:v>4448.333333333334</c:v>
                </c:pt>
                <c:pt idx="90">
                  <c:v>5080.555555555555</c:v>
                </c:pt>
                <c:pt idx="91">
                  <c:v>5712.777777777777</c:v>
                </c:pt>
                <c:pt idx="92">
                  <c:v>6345.0</c:v>
                </c:pt>
                <c:pt idx="93">
                  <c:v>6977.222222222222</c:v>
                </c:pt>
                <c:pt idx="94">
                  <c:v>7609.444444444445</c:v>
                </c:pt>
                <c:pt idx="95">
                  <c:v>8241.666666666668</c:v>
                </c:pt>
                <c:pt idx="96">
                  <c:v>8873.888888888891</c:v>
                </c:pt>
                <c:pt idx="97">
                  <c:v>9506.11111111111</c:v>
                </c:pt>
                <c:pt idx="98">
                  <c:v>9822.22222222222</c:v>
                </c:pt>
                <c:pt idx="99">
                  <c:v>9822.22222222222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3.96932849201938</c:v>
                </c:pt>
                <c:pt idx="89">
                  <c:v>11.90798547605814</c:v>
                </c:pt>
                <c:pt idx="90">
                  <c:v>19.8466424600969</c:v>
                </c:pt>
                <c:pt idx="91">
                  <c:v>27.78529944413566</c:v>
                </c:pt>
                <c:pt idx="92">
                  <c:v>35.72395642817442</c:v>
                </c:pt>
                <c:pt idx="93">
                  <c:v>43.66261341221318</c:v>
                </c:pt>
                <c:pt idx="94">
                  <c:v>51.60127039625194</c:v>
                </c:pt>
                <c:pt idx="95">
                  <c:v>59.53992738029071</c:v>
                </c:pt>
                <c:pt idx="96">
                  <c:v>67.47858436432946</c:v>
                </c:pt>
                <c:pt idx="97">
                  <c:v>75.4172413483682</c:v>
                </c:pt>
                <c:pt idx="98">
                  <c:v>105.4815698403876</c:v>
                </c:pt>
                <c:pt idx="99">
                  <c:v>157.6715698403874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40.5603591160221</c:v>
                </c:pt>
                <c:pt idx="27">
                  <c:v>81.1207182320442</c:v>
                </c:pt>
                <c:pt idx="28">
                  <c:v>121.6810773480663</c:v>
                </c:pt>
                <c:pt idx="29">
                  <c:v>162.2414364640884</c:v>
                </c:pt>
                <c:pt idx="30">
                  <c:v>202.8017955801105</c:v>
                </c:pt>
                <c:pt idx="31">
                  <c:v>243.3621546961326</c:v>
                </c:pt>
                <c:pt idx="32">
                  <c:v>283.9225138121547</c:v>
                </c:pt>
                <c:pt idx="33">
                  <c:v>324.4828729281768</c:v>
                </c:pt>
                <c:pt idx="34">
                  <c:v>365.0432320441989</c:v>
                </c:pt>
                <c:pt idx="35">
                  <c:v>405.603591160221</c:v>
                </c:pt>
                <c:pt idx="36">
                  <c:v>446.1639502762431</c:v>
                </c:pt>
                <c:pt idx="37">
                  <c:v>486.7243093922652</c:v>
                </c:pt>
                <c:pt idx="38">
                  <c:v>527.2846685082872</c:v>
                </c:pt>
                <c:pt idx="39">
                  <c:v>567.8450276243094</c:v>
                </c:pt>
                <c:pt idx="40">
                  <c:v>608.4053867403314</c:v>
                </c:pt>
                <c:pt idx="41">
                  <c:v>648.9657458563536</c:v>
                </c:pt>
                <c:pt idx="42">
                  <c:v>689.5261049723757</c:v>
                </c:pt>
                <c:pt idx="43">
                  <c:v>730.0864640883977</c:v>
                </c:pt>
                <c:pt idx="44">
                  <c:v>770.6468232044199</c:v>
                </c:pt>
                <c:pt idx="45">
                  <c:v>811.207182320442</c:v>
                </c:pt>
                <c:pt idx="46">
                  <c:v>851.7675414364641</c:v>
                </c:pt>
                <c:pt idx="47">
                  <c:v>892.3279005524862</c:v>
                </c:pt>
                <c:pt idx="48">
                  <c:v>932.8882596685082</c:v>
                </c:pt>
                <c:pt idx="49">
                  <c:v>973.4486187845304</c:v>
                </c:pt>
                <c:pt idx="50">
                  <c:v>1014.008977900553</c:v>
                </c:pt>
                <c:pt idx="51">
                  <c:v>1054.569337016575</c:v>
                </c:pt>
                <c:pt idx="52">
                  <c:v>1095.129696132597</c:v>
                </c:pt>
                <c:pt idx="53">
                  <c:v>1135.690055248619</c:v>
                </c:pt>
                <c:pt idx="54">
                  <c:v>1176.250414364641</c:v>
                </c:pt>
                <c:pt idx="55">
                  <c:v>1216.810773480663</c:v>
                </c:pt>
                <c:pt idx="56">
                  <c:v>1257.371132596685</c:v>
                </c:pt>
                <c:pt idx="57">
                  <c:v>1297.931491712707</c:v>
                </c:pt>
                <c:pt idx="58">
                  <c:v>1338.49185082873</c:v>
                </c:pt>
                <c:pt idx="59">
                  <c:v>1379.052209944751</c:v>
                </c:pt>
                <c:pt idx="60">
                  <c:v>1419.612569060773</c:v>
                </c:pt>
                <c:pt idx="61">
                  <c:v>1460.172928176795</c:v>
                </c:pt>
                <c:pt idx="62">
                  <c:v>1500.733287292818</c:v>
                </c:pt>
                <c:pt idx="63">
                  <c:v>1541.29364640884</c:v>
                </c:pt>
                <c:pt idx="64">
                  <c:v>1581.854005524862</c:v>
                </c:pt>
                <c:pt idx="65">
                  <c:v>1622.414364640884</c:v>
                </c:pt>
                <c:pt idx="66">
                  <c:v>1583.729281767956</c:v>
                </c:pt>
                <c:pt idx="67">
                  <c:v>1545.044198895028</c:v>
                </c:pt>
                <c:pt idx="68">
                  <c:v>1506.359116022099</c:v>
                </c:pt>
                <c:pt idx="69">
                  <c:v>1467.674033149171</c:v>
                </c:pt>
                <c:pt idx="70">
                  <c:v>1428.988950276243</c:v>
                </c:pt>
                <c:pt idx="71">
                  <c:v>1390.303867403315</c:v>
                </c:pt>
                <c:pt idx="72">
                  <c:v>1351.618784530387</c:v>
                </c:pt>
                <c:pt idx="73">
                  <c:v>1312.933701657459</c:v>
                </c:pt>
                <c:pt idx="74">
                  <c:v>1274.24861878453</c:v>
                </c:pt>
                <c:pt idx="75">
                  <c:v>1235.563535911602</c:v>
                </c:pt>
                <c:pt idx="76">
                  <c:v>1196.878453038674</c:v>
                </c:pt>
                <c:pt idx="77">
                  <c:v>1158.193370165746</c:v>
                </c:pt>
                <c:pt idx="78">
                  <c:v>1119.508287292818</c:v>
                </c:pt>
                <c:pt idx="79">
                  <c:v>1080.82320441989</c:v>
                </c:pt>
                <c:pt idx="80">
                  <c:v>1042.138121546961</c:v>
                </c:pt>
                <c:pt idx="81">
                  <c:v>1003.453038674033</c:v>
                </c:pt>
                <c:pt idx="82">
                  <c:v>964.767955801105</c:v>
                </c:pt>
                <c:pt idx="83">
                  <c:v>926.0828729281768</c:v>
                </c:pt>
                <c:pt idx="84">
                  <c:v>887.3977900552487</c:v>
                </c:pt>
                <c:pt idx="85">
                  <c:v>848.7127071823205</c:v>
                </c:pt>
                <c:pt idx="86">
                  <c:v>810.0276243093923</c:v>
                </c:pt>
                <c:pt idx="87">
                  <c:v>771.3425414364642</c:v>
                </c:pt>
                <c:pt idx="88">
                  <c:v>714.4</c:v>
                </c:pt>
                <c:pt idx="89">
                  <c:v>639.2</c:v>
                </c:pt>
                <c:pt idx="90">
                  <c:v>564.0</c:v>
                </c:pt>
                <c:pt idx="91">
                  <c:v>488.8</c:v>
                </c:pt>
                <c:pt idx="92">
                  <c:v>413.6</c:v>
                </c:pt>
                <c:pt idx="93">
                  <c:v>338.4</c:v>
                </c:pt>
                <c:pt idx="94">
                  <c:v>263.2</c:v>
                </c:pt>
                <c:pt idx="95">
                  <c:v>188.0</c:v>
                </c:pt>
                <c:pt idx="96">
                  <c:v>112.8</c:v>
                </c:pt>
                <c:pt idx="97">
                  <c:v>37.60000000000002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1544.888888888889</c:v>
                </c:pt>
                <c:pt idx="89">
                  <c:v>4634.666666666666</c:v>
                </c:pt>
                <c:pt idx="90">
                  <c:v>7724.444444444444</c:v>
                </c:pt>
                <c:pt idx="91">
                  <c:v>10814.22222222222</c:v>
                </c:pt>
                <c:pt idx="92">
                  <c:v>13904.0</c:v>
                </c:pt>
                <c:pt idx="93">
                  <c:v>16993.77777777778</c:v>
                </c:pt>
                <c:pt idx="94">
                  <c:v>20083.55555555555</c:v>
                </c:pt>
                <c:pt idx="95">
                  <c:v>23173.33333333333</c:v>
                </c:pt>
                <c:pt idx="96">
                  <c:v>26263.11111111111</c:v>
                </c:pt>
                <c:pt idx="97">
                  <c:v>29352.8888888889</c:v>
                </c:pt>
                <c:pt idx="98">
                  <c:v>32233.62777777778</c:v>
                </c:pt>
                <c:pt idx="99">
                  <c:v>34905.32777777778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19.06666666666667</c:v>
                </c:pt>
                <c:pt idx="67">
                  <c:v>38.13333333333333</c:v>
                </c:pt>
                <c:pt idx="68">
                  <c:v>57.2</c:v>
                </c:pt>
                <c:pt idx="69">
                  <c:v>76.26666666666666</c:v>
                </c:pt>
                <c:pt idx="70">
                  <c:v>95.33333333333333</c:v>
                </c:pt>
                <c:pt idx="71">
                  <c:v>114.4</c:v>
                </c:pt>
                <c:pt idx="72">
                  <c:v>133.4666666666667</c:v>
                </c:pt>
                <c:pt idx="73">
                  <c:v>152.5333333333333</c:v>
                </c:pt>
                <c:pt idx="74">
                  <c:v>171.6</c:v>
                </c:pt>
                <c:pt idx="75">
                  <c:v>190.6666666666667</c:v>
                </c:pt>
                <c:pt idx="76">
                  <c:v>209.7333333333333</c:v>
                </c:pt>
                <c:pt idx="77">
                  <c:v>228.8</c:v>
                </c:pt>
                <c:pt idx="78">
                  <c:v>247.8666666666667</c:v>
                </c:pt>
                <c:pt idx="79">
                  <c:v>266.9333333333333</c:v>
                </c:pt>
                <c:pt idx="80">
                  <c:v>286.0</c:v>
                </c:pt>
                <c:pt idx="81">
                  <c:v>305.0666666666666</c:v>
                </c:pt>
                <c:pt idx="82">
                  <c:v>324.1333333333333</c:v>
                </c:pt>
                <c:pt idx="83">
                  <c:v>343.2</c:v>
                </c:pt>
                <c:pt idx="84">
                  <c:v>362.2666666666666</c:v>
                </c:pt>
                <c:pt idx="85">
                  <c:v>381.3333333333333</c:v>
                </c:pt>
                <c:pt idx="86">
                  <c:v>400.4</c:v>
                </c:pt>
                <c:pt idx="87">
                  <c:v>419.4666666666666</c:v>
                </c:pt>
                <c:pt idx="88">
                  <c:v>407.55</c:v>
                </c:pt>
                <c:pt idx="89">
                  <c:v>364.65</c:v>
                </c:pt>
                <c:pt idx="90">
                  <c:v>321.75</c:v>
                </c:pt>
                <c:pt idx="91">
                  <c:v>278.85</c:v>
                </c:pt>
                <c:pt idx="92">
                  <c:v>235.95</c:v>
                </c:pt>
                <c:pt idx="93">
                  <c:v>193.05</c:v>
                </c:pt>
                <c:pt idx="94">
                  <c:v>150.15</c:v>
                </c:pt>
                <c:pt idx="95">
                  <c:v>107.25</c:v>
                </c:pt>
                <c:pt idx="96">
                  <c:v>64.35000000000002</c:v>
                </c:pt>
                <c:pt idx="97">
                  <c:v>21.44999999999999</c:v>
                </c:pt>
                <c:pt idx="98">
                  <c:v>414.765</c:v>
                </c:pt>
                <c:pt idx="99">
                  <c:v>1244.295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96.0</c:v>
                </c:pt>
                <c:pt idx="67">
                  <c:v>192.0</c:v>
                </c:pt>
                <c:pt idx="68">
                  <c:v>288.0</c:v>
                </c:pt>
                <c:pt idx="69">
                  <c:v>384.0</c:v>
                </c:pt>
                <c:pt idx="70">
                  <c:v>480.0</c:v>
                </c:pt>
                <c:pt idx="71">
                  <c:v>576.0</c:v>
                </c:pt>
                <c:pt idx="72">
                  <c:v>672.0</c:v>
                </c:pt>
                <c:pt idx="73">
                  <c:v>768.0</c:v>
                </c:pt>
                <c:pt idx="74">
                  <c:v>864.0</c:v>
                </c:pt>
                <c:pt idx="75">
                  <c:v>960.0</c:v>
                </c:pt>
                <c:pt idx="76">
                  <c:v>1056.0</c:v>
                </c:pt>
                <c:pt idx="77">
                  <c:v>1152.0</c:v>
                </c:pt>
                <c:pt idx="78">
                  <c:v>1248.0</c:v>
                </c:pt>
                <c:pt idx="79">
                  <c:v>1344.0</c:v>
                </c:pt>
                <c:pt idx="80">
                  <c:v>1440.0</c:v>
                </c:pt>
                <c:pt idx="81">
                  <c:v>1536.0</c:v>
                </c:pt>
                <c:pt idx="82">
                  <c:v>1632.0</c:v>
                </c:pt>
                <c:pt idx="83">
                  <c:v>1728.0</c:v>
                </c:pt>
                <c:pt idx="84">
                  <c:v>1824.0</c:v>
                </c:pt>
                <c:pt idx="85">
                  <c:v>1920.0</c:v>
                </c:pt>
                <c:pt idx="86">
                  <c:v>2016.0</c:v>
                </c:pt>
                <c:pt idx="87">
                  <c:v>2112.0</c:v>
                </c:pt>
                <c:pt idx="88">
                  <c:v>2052.0</c:v>
                </c:pt>
                <c:pt idx="89">
                  <c:v>1836.0</c:v>
                </c:pt>
                <c:pt idx="90">
                  <c:v>1620.0</c:v>
                </c:pt>
                <c:pt idx="91">
                  <c:v>1404.0</c:v>
                </c:pt>
                <c:pt idx="92">
                  <c:v>1188.0</c:v>
                </c:pt>
                <c:pt idx="93">
                  <c:v>972.0</c:v>
                </c:pt>
                <c:pt idx="94">
                  <c:v>756.0</c:v>
                </c:pt>
                <c:pt idx="95">
                  <c:v>540.0</c:v>
                </c:pt>
                <c:pt idx="96">
                  <c:v>324.0</c:v>
                </c:pt>
                <c:pt idx="97">
                  <c:v>108.0</c:v>
                </c:pt>
                <c:pt idx="98">
                  <c:v>3101.75</c:v>
                </c:pt>
                <c:pt idx="99">
                  <c:v>9305.25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807.3380899421383</c:v>
                </c:pt>
                <c:pt idx="1">
                  <c:v>807.3380899421383</c:v>
                </c:pt>
                <c:pt idx="2">
                  <c:v>807.3380899421383</c:v>
                </c:pt>
                <c:pt idx="3">
                  <c:v>807.3380899421383</c:v>
                </c:pt>
                <c:pt idx="4">
                  <c:v>807.3380899421383</c:v>
                </c:pt>
                <c:pt idx="5">
                  <c:v>807.3380899421383</c:v>
                </c:pt>
                <c:pt idx="6">
                  <c:v>807.3380899421383</c:v>
                </c:pt>
                <c:pt idx="7">
                  <c:v>807.3380899421383</c:v>
                </c:pt>
                <c:pt idx="8">
                  <c:v>807.3380899421383</c:v>
                </c:pt>
                <c:pt idx="9">
                  <c:v>807.3380899421383</c:v>
                </c:pt>
                <c:pt idx="10">
                  <c:v>807.3380899421383</c:v>
                </c:pt>
                <c:pt idx="11">
                  <c:v>807.3380899421383</c:v>
                </c:pt>
                <c:pt idx="12">
                  <c:v>807.3380899421383</c:v>
                </c:pt>
                <c:pt idx="13">
                  <c:v>807.3380899421383</c:v>
                </c:pt>
                <c:pt idx="14">
                  <c:v>807.3380899421383</c:v>
                </c:pt>
                <c:pt idx="15">
                  <c:v>807.3380899421383</c:v>
                </c:pt>
                <c:pt idx="16">
                  <c:v>807.3380899421383</c:v>
                </c:pt>
                <c:pt idx="17">
                  <c:v>807.3380899421383</c:v>
                </c:pt>
                <c:pt idx="18">
                  <c:v>807.3380899421383</c:v>
                </c:pt>
                <c:pt idx="19">
                  <c:v>807.3380899421383</c:v>
                </c:pt>
                <c:pt idx="20">
                  <c:v>807.3380899421383</c:v>
                </c:pt>
                <c:pt idx="21">
                  <c:v>807.3380899421383</c:v>
                </c:pt>
                <c:pt idx="22">
                  <c:v>807.3380899421383</c:v>
                </c:pt>
                <c:pt idx="23">
                  <c:v>807.3380899421383</c:v>
                </c:pt>
                <c:pt idx="24">
                  <c:v>807.3380899421383</c:v>
                </c:pt>
                <c:pt idx="25">
                  <c:v>807.3380899421383</c:v>
                </c:pt>
                <c:pt idx="26">
                  <c:v>807.3380899421383</c:v>
                </c:pt>
                <c:pt idx="27">
                  <c:v>807.3380899421383</c:v>
                </c:pt>
                <c:pt idx="28">
                  <c:v>807.3380899421383</c:v>
                </c:pt>
                <c:pt idx="29">
                  <c:v>807.3380899421383</c:v>
                </c:pt>
                <c:pt idx="30">
                  <c:v>807.3380899421383</c:v>
                </c:pt>
                <c:pt idx="31">
                  <c:v>807.3380899421383</c:v>
                </c:pt>
                <c:pt idx="32">
                  <c:v>807.3380899421383</c:v>
                </c:pt>
                <c:pt idx="33">
                  <c:v>807.3380899421383</c:v>
                </c:pt>
                <c:pt idx="34">
                  <c:v>807.3380899421383</c:v>
                </c:pt>
                <c:pt idx="35">
                  <c:v>807.3380899421383</c:v>
                </c:pt>
                <c:pt idx="36">
                  <c:v>807.3380899421383</c:v>
                </c:pt>
                <c:pt idx="37">
                  <c:v>807.3380899421383</c:v>
                </c:pt>
                <c:pt idx="38">
                  <c:v>807.3380899421383</c:v>
                </c:pt>
                <c:pt idx="39">
                  <c:v>807.3380899421383</c:v>
                </c:pt>
                <c:pt idx="40">
                  <c:v>807.3380899421383</c:v>
                </c:pt>
                <c:pt idx="41">
                  <c:v>807.3380899421383</c:v>
                </c:pt>
                <c:pt idx="42">
                  <c:v>807.3380899421383</c:v>
                </c:pt>
                <c:pt idx="43">
                  <c:v>807.3380899421383</c:v>
                </c:pt>
                <c:pt idx="44">
                  <c:v>807.3380899421383</c:v>
                </c:pt>
                <c:pt idx="45">
                  <c:v>807.3380899421383</c:v>
                </c:pt>
                <c:pt idx="46">
                  <c:v>807.3380899421383</c:v>
                </c:pt>
                <c:pt idx="47">
                  <c:v>807.3380899421383</c:v>
                </c:pt>
                <c:pt idx="48">
                  <c:v>807.3380899421383</c:v>
                </c:pt>
                <c:pt idx="49">
                  <c:v>807.3380899421383</c:v>
                </c:pt>
                <c:pt idx="50">
                  <c:v>807.3380899421383</c:v>
                </c:pt>
                <c:pt idx="51">
                  <c:v>807.3380899421383</c:v>
                </c:pt>
                <c:pt idx="52">
                  <c:v>807.3380899421383</c:v>
                </c:pt>
                <c:pt idx="53">
                  <c:v>807.3380899421383</c:v>
                </c:pt>
                <c:pt idx="54">
                  <c:v>807.3380899421383</c:v>
                </c:pt>
                <c:pt idx="55">
                  <c:v>807.3380899421383</c:v>
                </c:pt>
                <c:pt idx="56">
                  <c:v>807.3380899421383</c:v>
                </c:pt>
                <c:pt idx="57">
                  <c:v>807.3380899421383</c:v>
                </c:pt>
                <c:pt idx="58">
                  <c:v>807.3380899421383</c:v>
                </c:pt>
                <c:pt idx="59">
                  <c:v>807.3380899421383</c:v>
                </c:pt>
                <c:pt idx="60">
                  <c:v>807.3380899421383</c:v>
                </c:pt>
                <c:pt idx="61">
                  <c:v>807.3380899421383</c:v>
                </c:pt>
                <c:pt idx="62">
                  <c:v>807.3380899421383</c:v>
                </c:pt>
                <c:pt idx="63">
                  <c:v>807.3380899421383</c:v>
                </c:pt>
                <c:pt idx="64">
                  <c:v>807.3380899421383</c:v>
                </c:pt>
                <c:pt idx="65">
                  <c:v>807.3380899421383</c:v>
                </c:pt>
                <c:pt idx="66">
                  <c:v>807.3380899421383</c:v>
                </c:pt>
                <c:pt idx="67">
                  <c:v>807.3380899421383</c:v>
                </c:pt>
                <c:pt idx="68">
                  <c:v>807.3380899421383</c:v>
                </c:pt>
                <c:pt idx="69">
                  <c:v>807.3380899421383</c:v>
                </c:pt>
                <c:pt idx="70">
                  <c:v>807.3380899421383</c:v>
                </c:pt>
                <c:pt idx="71">
                  <c:v>807.3380899421383</c:v>
                </c:pt>
                <c:pt idx="72">
                  <c:v>807.3380899421383</c:v>
                </c:pt>
                <c:pt idx="73">
                  <c:v>807.3380899421383</c:v>
                </c:pt>
                <c:pt idx="74">
                  <c:v>807.3380899421383</c:v>
                </c:pt>
                <c:pt idx="75">
                  <c:v>807.3380899421383</c:v>
                </c:pt>
                <c:pt idx="76">
                  <c:v>807.3380899421383</c:v>
                </c:pt>
                <c:pt idx="77">
                  <c:v>807.3380899421383</c:v>
                </c:pt>
                <c:pt idx="78">
                  <c:v>807.3380899421383</c:v>
                </c:pt>
                <c:pt idx="79">
                  <c:v>807.3380899421383</c:v>
                </c:pt>
                <c:pt idx="80">
                  <c:v>807.3380899421383</c:v>
                </c:pt>
                <c:pt idx="81">
                  <c:v>807.3380899421383</c:v>
                </c:pt>
                <c:pt idx="82">
                  <c:v>807.3380899421383</c:v>
                </c:pt>
                <c:pt idx="83">
                  <c:v>807.3380899421383</c:v>
                </c:pt>
                <c:pt idx="84">
                  <c:v>807.3380899421383</c:v>
                </c:pt>
                <c:pt idx="85">
                  <c:v>807.3380899421383</c:v>
                </c:pt>
                <c:pt idx="86">
                  <c:v>807.3380899421383</c:v>
                </c:pt>
                <c:pt idx="87">
                  <c:v>807.3380899421383</c:v>
                </c:pt>
                <c:pt idx="88">
                  <c:v>802.8528783313487</c:v>
                </c:pt>
                <c:pt idx="89">
                  <c:v>793.8824551097694</c:v>
                </c:pt>
                <c:pt idx="90">
                  <c:v>784.9120318881901</c:v>
                </c:pt>
                <c:pt idx="91">
                  <c:v>775.9416086666108</c:v>
                </c:pt>
                <c:pt idx="92">
                  <c:v>766.9711854450314</c:v>
                </c:pt>
                <c:pt idx="93">
                  <c:v>758.0007622234521</c:v>
                </c:pt>
                <c:pt idx="94">
                  <c:v>749.0303390018727</c:v>
                </c:pt>
                <c:pt idx="95">
                  <c:v>740.0599157802935</c:v>
                </c:pt>
                <c:pt idx="96">
                  <c:v>731.0894925587142</c:v>
                </c:pt>
                <c:pt idx="97">
                  <c:v>722.1190693371348</c:v>
                </c:pt>
                <c:pt idx="98">
                  <c:v>724.9988577263452</c:v>
                </c:pt>
                <c:pt idx="99">
                  <c:v>739.7288577263452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22020.0</c:v>
                </c:pt>
                <c:pt idx="1">
                  <c:v>22020.0</c:v>
                </c:pt>
                <c:pt idx="2">
                  <c:v>22020.0</c:v>
                </c:pt>
                <c:pt idx="3">
                  <c:v>22020.0</c:v>
                </c:pt>
                <c:pt idx="4">
                  <c:v>22020.0</c:v>
                </c:pt>
                <c:pt idx="5">
                  <c:v>22020.0</c:v>
                </c:pt>
                <c:pt idx="6">
                  <c:v>22020.0</c:v>
                </c:pt>
                <c:pt idx="7">
                  <c:v>22020.0</c:v>
                </c:pt>
                <c:pt idx="8">
                  <c:v>22020.0</c:v>
                </c:pt>
                <c:pt idx="9">
                  <c:v>22020.0</c:v>
                </c:pt>
                <c:pt idx="10">
                  <c:v>22020.0</c:v>
                </c:pt>
                <c:pt idx="11">
                  <c:v>22020.0</c:v>
                </c:pt>
                <c:pt idx="12">
                  <c:v>22020.0</c:v>
                </c:pt>
                <c:pt idx="13">
                  <c:v>22020.0</c:v>
                </c:pt>
                <c:pt idx="14">
                  <c:v>22020.0</c:v>
                </c:pt>
                <c:pt idx="15">
                  <c:v>22020.0</c:v>
                </c:pt>
                <c:pt idx="16">
                  <c:v>22020.0</c:v>
                </c:pt>
                <c:pt idx="17">
                  <c:v>22020.0</c:v>
                </c:pt>
                <c:pt idx="18">
                  <c:v>22020.0</c:v>
                </c:pt>
                <c:pt idx="19">
                  <c:v>22020.0</c:v>
                </c:pt>
                <c:pt idx="20">
                  <c:v>22020.0</c:v>
                </c:pt>
                <c:pt idx="21">
                  <c:v>22020.0</c:v>
                </c:pt>
                <c:pt idx="22">
                  <c:v>22020.0</c:v>
                </c:pt>
                <c:pt idx="23">
                  <c:v>22020.0</c:v>
                </c:pt>
                <c:pt idx="24">
                  <c:v>22020.0</c:v>
                </c:pt>
                <c:pt idx="25">
                  <c:v>22020.0</c:v>
                </c:pt>
                <c:pt idx="26">
                  <c:v>22020.0</c:v>
                </c:pt>
                <c:pt idx="27">
                  <c:v>22020.0</c:v>
                </c:pt>
                <c:pt idx="28">
                  <c:v>22020.0</c:v>
                </c:pt>
                <c:pt idx="29">
                  <c:v>22020.0</c:v>
                </c:pt>
                <c:pt idx="30">
                  <c:v>22020.0</c:v>
                </c:pt>
                <c:pt idx="31">
                  <c:v>22020.0</c:v>
                </c:pt>
                <c:pt idx="32">
                  <c:v>22020.0</c:v>
                </c:pt>
                <c:pt idx="33">
                  <c:v>22020.0</c:v>
                </c:pt>
                <c:pt idx="34">
                  <c:v>22020.0</c:v>
                </c:pt>
                <c:pt idx="35">
                  <c:v>22020.0</c:v>
                </c:pt>
                <c:pt idx="36">
                  <c:v>22020.0</c:v>
                </c:pt>
                <c:pt idx="37">
                  <c:v>22020.0</c:v>
                </c:pt>
                <c:pt idx="38">
                  <c:v>22020.0</c:v>
                </c:pt>
                <c:pt idx="39">
                  <c:v>22020.0</c:v>
                </c:pt>
                <c:pt idx="40">
                  <c:v>22020.0</c:v>
                </c:pt>
                <c:pt idx="41">
                  <c:v>22020.0</c:v>
                </c:pt>
                <c:pt idx="42">
                  <c:v>22020.0</c:v>
                </c:pt>
                <c:pt idx="43">
                  <c:v>22020.0</c:v>
                </c:pt>
                <c:pt idx="44">
                  <c:v>22020.0</c:v>
                </c:pt>
                <c:pt idx="45">
                  <c:v>22020.0</c:v>
                </c:pt>
                <c:pt idx="46">
                  <c:v>22020.0</c:v>
                </c:pt>
                <c:pt idx="47">
                  <c:v>22020.0</c:v>
                </c:pt>
                <c:pt idx="48">
                  <c:v>22020.0</c:v>
                </c:pt>
                <c:pt idx="49">
                  <c:v>22020.0</c:v>
                </c:pt>
                <c:pt idx="50">
                  <c:v>22020.0</c:v>
                </c:pt>
                <c:pt idx="51">
                  <c:v>22020.0</c:v>
                </c:pt>
                <c:pt idx="52">
                  <c:v>22020.0</c:v>
                </c:pt>
                <c:pt idx="53">
                  <c:v>22020.0</c:v>
                </c:pt>
                <c:pt idx="54">
                  <c:v>22020.0</c:v>
                </c:pt>
                <c:pt idx="55">
                  <c:v>22020.0</c:v>
                </c:pt>
                <c:pt idx="56">
                  <c:v>22020.0</c:v>
                </c:pt>
                <c:pt idx="57">
                  <c:v>22020.0</c:v>
                </c:pt>
                <c:pt idx="58">
                  <c:v>22020.0</c:v>
                </c:pt>
                <c:pt idx="59">
                  <c:v>22020.0</c:v>
                </c:pt>
                <c:pt idx="60">
                  <c:v>22020.0</c:v>
                </c:pt>
                <c:pt idx="61">
                  <c:v>22020.0</c:v>
                </c:pt>
                <c:pt idx="62">
                  <c:v>22020.0</c:v>
                </c:pt>
                <c:pt idx="63">
                  <c:v>22020.0</c:v>
                </c:pt>
                <c:pt idx="64">
                  <c:v>22020.0</c:v>
                </c:pt>
                <c:pt idx="65">
                  <c:v>22020.0</c:v>
                </c:pt>
                <c:pt idx="66">
                  <c:v>22020.0</c:v>
                </c:pt>
                <c:pt idx="67">
                  <c:v>22020.0</c:v>
                </c:pt>
                <c:pt idx="68">
                  <c:v>22020.0</c:v>
                </c:pt>
                <c:pt idx="69">
                  <c:v>22020.0</c:v>
                </c:pt>
                <c:pt idx="70">
                  <c:v>22020.0</c:v>
                </c:pt>
                <c:pt idx="71">
                  <c:v>22020.0</c:v>
                </c:pt>
                <c:pt idx="72">
                  <c:v>22020.0</c:v>
                </c:pt>
                <c:pt idx="73">
                  <c:v>22020.0</c:v>
                </c:pt>
                <c:pt idx="74">
                  <c:v>22020.0</c:v>
                </c:pt>
                <c:pt idx="75">
                  <c:v>22020.0</c:v>
                </c:pt>
                <c:pt idx="76">
                  <c:v>22020.0</c:v>
                </c:pt>
                <c:pt idx="77">
                  <c:v>22020.0</c:v>
                </c:pt>
                <c:pt idx="78">
                  <c:v>22020.0</c:v>
                </c:pt>
                <c:pt idx="79">
                  <c:v>22020.0</c:v>
                </c:pt>
                <c:pt idx="80">
                  <c:v>22020.0</c:v>
                </c:pt>
                <c:pt idx="81">
                  <c:v>22020.0</c:v>
                </c:pt>
                <c:pt idx="82">
                  <c:v>22020.0</c:v>
                </c:pt>
                <c:pt idx="83">
                  <c:v>22020.0</c:v>
                </c:pt>
                <c:pt idx="84">
                  <c:v>22020.0</c:v>
                </c:pt>
                <c:pt idx="85">
                  <c:v>22020.0</c:v>
                </c:pt>
                <c:pt idx="86">
                  <c:v>22020.0</c:v>
                </c:pt>
                <c:pt idx="87">
                  <c:v>22020.0</c:v>
                </c:pt>
                <c:pt idx="88">
                  <c:v>21192.86666666666</c:v>
                </c:pt>
                <c:pt idx="89">
                  <c:v>19538.6</c:v>
                </c:pt>
                <c:pt idx="90">
                  <c:v>17884.33333333333</c:v>
                </c:pt>
                <c:pt idx="91">
                  <c:v>16230.06666666667</c:v>
                </c:pt>
                <c:pt idx="92">
                  <c:v>14575.8</c:v>
                </c:pt>
                <c:pt idx="93">
                  <c:v>12921.53333333333</c:v>
                </c:pt>
                <c:pt idx="94">
                  <c:v>11267.26666666666</c:v>
                </c:pt>
                <c:pt idx="95">
                  <c:v>9612.999999999998</c:v>
                </c:pt>
                <c:pt idx="96">
                  <c:v>7958.733333333332</c:v>
                </c:pt>
                <c:pt idx="97">
                  <c:v>6304.466666666665</c:v>
                </c:pt>
                <c:pt idx="98">
                  <c:v>4913.418333333333</c:v>
                </c:pt>
                <c:pt idx="99">
                  <c:v>3785.588333333333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148.165</c:v>
                </c:pt>
                <c:pt idx="99">
                  <c:v>444.495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9217560"/>
        <c:axId val="1899223416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17059.8252222761</c:v>
                </c:pt>
                <c:pt idx="1">
                  <c:v>17059.8252222761</c:v>
                </c:pt>
                <c:pt idx="2">
                  <c:v>17059.8252222761</c:v>
                </c:pt>
                <c:pt idx="3">
                  <c:v>17059.8252222761</c:v>
                </c:pt>
                <c:pt idx="4">
                  <c:v>17059.8252222761</c:v>
                </c:pt>
                <c:pt idx="5">
                  <c:v>17059.8252222761</c:v>
                </c:pt>
                <c:pt idx="6">
                  <c:v>17059.8252222761</c:v>
                </c:pt>
                <c:pt idx="7">
                  <c:v>17059.8252222761</c:v>
                </c:pt>
                <c:pt idx="8">
                  <c:v>17059.8252222761</c:v>
                </c:pt>
                <c:pt idx="9">
                  <c:v>17059.8252222761</c:v>
                </c:pt>
                <c:pt idx="10">
                  <c:v>17059.8252222761</c:v>
                </c:pt>
                <c:pt idx="11">
                  <c:v>17059.8252222761</c:v>
                </c:pt>
                <c:pt idx="12">
                  <c:v>17059.8252222761</c:v>
                </c:pt>
                <c:pt idx="13">
                  <c:v>17059.8252222761</c:v>
                </c:pt>
                <c:pt idx="14">
                  <c:v>17059.8252222761</c:v>
                </c:pt>
                <c:pt idx="15">
                  <c:v>17059.8252222761</c:v>
                </c:pt>
                <c:pt idx="16">
                  <c:v>17059.8252222761</c:v>
                </c:pt>
                <c:pt idx="17">
                  <c:v>17059.8252222761</c:v>
                </c:pt>
                <c:pt idx="18">
                  <c:v>17059.8252222761</c:v>
                </c:pt>
                <c:pt idx="19">
                  <c:v>17059.8252222761</c:v>
                </c:pt>
                <c:pt idx="20">
                  <c:v>17059.8252222761</c:v>
                </c:pt>
                <c:pt idx="21">
                  <c:v>17059.8252222761</c:v>
                </c:pt>
                <c:pt idx="22">
                  <c:v>17059.8252222761</c:v>
                </c:pt>
                <c:pt idx="23">
                  <c:v>17059.8252222761</c:v>
                </c:pt>
                <c:pt idx="24">
                  <c:v>17059.8252222761</c:v>
                </c:pt>
                <c:pt idx="25">
                  <c:v>17059.8252222761</c:v>
                </c:pt>
                <c:pt idx="26">
                  <c:v>17059.8252222761</c:v>
                </c:pt>
                <c:pt idx="27">
                  <c:v>17059.8252222761</c:v>
                </c:pt>
                <c:pt idx="28">
                  <c:v>17059.8252222761</c:v>
                </c:pt>
                <c:pt idx="29">
                  <c:v>17059.8252222761</c:v>
                </c:pt>
                <c:pt idx="30">
                  <c:v>17059.8252222761</c:v>
                </c:pt>
                <c:pt idx="31">
                  <c:v>17059.8252222761</c:v>
                </c:pt>
                <c:pt idx="32">
                  <c:v>17059.8252222761</c:v>
                </c:pt>
                <c:pt idx="33">
                  <c:v>17059.8252222761</c:v>
                </c:pt>
                <c:pt idx="34">
                  <c:v>17059.8252222761</c:v>
                </c:pt>
                <c:pt idx="35">
                  <c:v>17059.8252222761</c:v>
                </c:pt>
                <c:pt idx="36">
                  <c:v>17059.8252222761</c:v>
                </c:pt>
                <c:pt idx="37">
                  <c:v>17059.8252222761</c:v>
                </c:pt>
                <c:pt idx="38">
                  <c:v>17059.8252222761</c:v>
                </c:pt>
                <c:pt idx="39">
                  <c:v>17059.8252222761</c:v>
                </c:pt>
                <c:pt idx="40">
                  <c:v>17059.8252222761</c:v>
                </c:pt>
                <c:pt idx="41">
                  <c:v>17059.8252222761</c:v>
                </c:pt>
                <c:pt idx="42">
                  <c:v>17059.8252222761</c:v>
                </c:pt>
                <c:pt idx="43">
                  <c:v>17059.8252222761</c:v>
                </c:pt>
                <c:pt idx="44">
                  <c:v>17059.8252222761</c:v>
                </c:pt>
                <c:pt idx="45">
                  <c:v>17059.8252222761</c:v>
                </c:pt>
                <c:pt idx="46">
                  <c:v>17059.8252222761</c:v>
                </c:pt>
                <c:pt idx="47">
                  <c:v>17059.8252222761</c:v>
                </c:pt>
                <c:pt idx="48">
                  <c:v>17059.8252222761</c:v>
                </c:pt>
                <c:pt idx="49">
                  <c:v>17059.8252222761</c:v>
                </c:pt>
                <c:pt idx="50">
                  <c:v>17059.8252222761</c:v>
                </c:pt>
                <c:pt idx="51">
                  <c:v>17059.8252222761</c:v>
                </c:pt>
                <c:pt idx="52">
                  <c:v>17059.8252222761</c:v>
                </c:pt>
                <c:pt idx="53">
                  <c:v>17059.8252222761</c:v>
                </c:pt>
                <c:pt idx="54">
                  <c:v>17059.8252222761</c:v>
                </c:pt>
                <c:pt idx="55">
                  <c:v>17059.8252222761</c:v>
                </c:pt>
                <c:pt idx="56">
                  <c:v>17059.8252222761</c:v>
                </c:pt>
                <c:pt idx="57">
                  <c:v>17059.8252222761</c:v>
                </c:pt>
                <c:pt idx="58">
                  <c:v>17059.8252222761</c:v>
                </c:pt>
                <c:pt idx="59">
                  <c:v>17059.8252222761</c:v>
                </c:pt>
                <c:pt idx="60">
                  <c:v>17059.8252222761</c:v>
                </c:pt>
                <c:pt idx="61">
                  <c:v>17059.8252222761</c:v>
                </c:pt>
                <c:pt idx="62">
                  <c:v>17059.8252222761</c:v>
                </c:pt>
                <c:pt idx="63">
                  <c:v>17059.8252222761</c:v>
                </c:pt>
                <c:pt idx="64">
                  <c:v>17059.8252222761</c:v>
                </c:pt>
                <c:pt idx="65">
                  <c:v>17059.8252222761</c:v>
                </c:pt>
                <c:pt idx="66">
                  <c:v>17059.8252222761</c:v>
                </c:pt>
                <c:pt idx="67">
                  <c:v>17059.8252222761</c:v>
                </c:pt>
                <c:pt idx="68">
                  <c:v>17059.8252222761</c:v>
                </c:pt>
                <c:pt idx="69">
                  <c:v>17059.8252222761</c:v>
                </c:pt>
                <c:pt idx="70">
                  <c:v>17059.8252222761</c:v>
                </c:pt>
                <c:pt idx="71">
                  <c:v>17059.8252222761</c:v>
                </c:pt>
                <c:pt idx="72">
                  <c:v>17059.8252222761</c:v>
                </c:pt>
                <c:pt idx="73">
                  <c:v>17059.8252222761</c:v>
                </c:pt>
                <c:pt idx="74">
                  <c:v>17059.8252222761</c:v>
                </c:pt>
                <c:pt idx="75">
                  <c:v>17059.8252222761</c:v>
                </c:pt>
                <c:pt idx="76">
                  <c:v>17059.8252222761</c:v>
                </c:pt>
                <c:pt idx="77">
                  <c:v>17059.8252222761</c:v>
                </c:pt>
                <c:pt idx="78">
                  <c:v>17059.8252222761</c:v>
                </c:pt>
                <c:pt idx="79">
                  <c:v>17059.8252222761</c:v>
                </c:pt>
                <c:pt idx="80">
                  <c:v>17059.8252222761</c:v>
                </c:pt>
                <c:pt idx="81">
                  <c:v>17059.8252222761</c:v>
                </c:pt>
                <c:pt idx="82">
                  <c:v>17059.8252222761</c:v>
                </c:pt>
                <c:pt idx="83">
                  <c:v>17059.8252222761</c:v>
                </c:pt>
                <c:pt idx="84">
                  <c:v>17059.8252222761</c:v>
                </c:pt>
                <c:pt idx="85">
                  <c:v>17059.8252222761</c:v>
                </c:pt>
                <c:pt idx="86">
                  <c:v>17059.8252222761</c:v>
                </c:pt>
                <c:pt idx="87">
                  <c:v>17059.8252222761</c:v>
                </c:pt>
                <c:pt idx="88">
                  <c:v>17059.8252222761</c:v>
                </c:pt>
                <c:pt idx="89">
                  <c:v>17059.8252222761</c:v>
                </c:pt>
                <c:pt idx="90">
                  <c:v>17059.8252222761</c:v>
                </c:pt>
                <c:pt idx="91">
                  <c:v>17059.8252222761</c:v>
                </c:pt>
                <c:pt idx="92">
                  <c:v>17059.8252222761</c:v>
                </c:pt>
                <c:pt idx="93">
                  <c:v>17059.8252222761</c:v>
                </c:pt>
                <c:pt idx="94">
                  <c:v>17059.8252222761</c:v>
                </c:pt>
                <c:pt idx="95">
                  <c:v>17059.8252222761</c:v>
                </c:pt>
                <c:pt idx="96">
                  <c:v>17059.8252222761</c:v>
                </c:pt>
                <c:pt idx="97">
                  <c:v>17059.8252222761</c:v>
                </c:pt>
                <c:pt idx="98">
                  <c:v>17059.8252222761</c:v>
                </c:pt>
                <c:pt idx="99">
                  <c:v>17059.8252222761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25120.26927540426</c:v>
                </c:pt>
                <c:pt idx="1">
                  <c:v>25120.26927540426</c:v>
                </c:pt>
                <c:pt idx="2">
                  <c:v>25120.26927540426</c:v>
                </c:pt>
                <c:pt idx="3">
                  <c:v>25120.26927540426</c:v>
                </c:pt>
                <c:pt idx="4">
                  <c:v>25120.26927540426</c:v>
                </c:pt>
                <c:pt idx="5">
                  <c:v>25120.26927540426</c:v>
                </c:pt>
                <c:pt idx="6">
                  <c:v>25120.26927540426</c:v>
                </c:pt>
                <c:pt idx="7">
                  <c:v>25120.26927540426</c:v>
                </c:pt>
                <c:pt idx="8">
                  <c:v>25120.26927540426</c:v>
                </c:pt>
                <c:pt idx="9">
                  <c:v>25120.26927540426</c:v>
                </c:pt>
                <c:pt idx="10">
                  <c:v>25120.26927540426</c:v>
                </c:pt>
                <c:pt idx="11">
                  <c:v>25120.26927540426</c:v>
                </c:pt>
                <c:pt idx="12">
                  <c:v>25120.26927540426</c:v>
                </c:pt>
                <c:pt idx="13">
                  <c:v>25120.26927540426</c:v>
                </c:pt>
                <c:pt idx="14">
                  <c:v>25120.26927540426</c:v>
                </c:pt>
                <c:pt idx="15">
                  <c:v>25120.26927540426</c:v>
                </c:pt>
                <c:pt idx="16">
                  <c:v>25120.26927540426</c:v>
                </c:pt>
                <c:pt idx="17">
                  <c:v>25120.26927540426</c:v>
                </c:pt>
                <c:pt idx="18">
                  <c:v>25120.26927540426</c:v>
                </c:pt>
                <c:pt idx="19">
                  <c:v>25120.26927540426</c:v>
                </c:pt>
                <c:pt idx="20">
                  <c:v>25120.26927540426</c:v>
                </c:pt>
                <c:pt idx="21">
                  <c:v>25120.26927540426</c:v>
                </c:pt>
                <c:pt idx="22">
                  <c:v>25120.26927540426</c:v>
                </c:pt>
                <c:pt idx="23">
                  <c:v>25120.26927540426</c:v>
                </c:pt>
                <c:pt idx="24">
                  <c:v>25120.26927540426</c:v>
                </c:pt>
                <c:pt idx="25">
                  <c:v>25120.26927540426</c:v>
                </c:pt>
                <c:pt idx="26">
                  <c:v>25202.04299990119</c:v>
                </c:pt>
                <c:pt idx="27">
                  <c:v>25283.81672439813</c:v>
                </c:pt>
                <c:pt idx="28">
                  <c:v>25365.59044889506</c:v>
                </c:pt>
                <c:pt idx="29">
                  <c:v>25447.36417339199</c:v>
                </c:pt>
                <c:pt idx="30">
                  <c:v>25529.13789788893</c:v>
                </c:pt>
                <c:pt idx="31">
                  <c:v>25610.91162238586</c:v>
                </c:pt>
                <c:pt idx="32">
                  <c:v>25692.68534688279</c:v>
                </c:pt>
                <c:pt idx="33">
                  <c:v>25774.45907137972</c:v>
                </c:pt>
                <c:pt idx="34">
                  <c:v>25856.23279587665</c:v>
                </c:pt>
                <c:pt idx="35">
                  <c:v>25938.00652037359</c:v>
                </c:pt>
                <c:pt idx="36">
                  <c:v>26019.78024487052</c:v>
                </c:pt>
                <c:pt idx="37">
                  <c:v>26101.55396936745</c:v>
                </c:pt>
                <c:pt idx="38">
                  <c:v>26183.32769386438</c:v>
                </c:pt>
                <c:pt idx="39">
                  <c:v>26265.10141836132</c:v>
                </c:pt>
                <c:pt idx="40">
                  <c:v>26346.87514285825</c:v>
                </c:pt>
                <c:pt idx="41">
                  <c:v>26428.64886735518</c:v>
                </c:pt>
                <c:pt idx="42">
                  <c:v>26510.42259185212</c:v>
                </c:pt>
                <c:pt idx="43">
                  <c:v>26592.19631634905</c:v>
                </c:pt>
                <c:pt idx="44">
                  <c:v>26673.97004084598</c:v>
                </c:pt>
                <c:pt idx="45">
                  <c:v>26755.74376534291</c:v>
                </c:pt>
                <c:pt idx="46">
                  <c:v>26837.51748983984</c:v>
                </c:pt>
                <c:pt idx="47">
                  <c:v>26919.29121433678</c:v>
                </c:pt>
                <c:pt idx="48">
                  <c:v>27001.06493883371</c:v>
                </c:pt>
                <c:pt idx="49">
                  <c:v>27082.83866333064</c:v>
                </c:pt>
                <c:pt idx="50">
                  <c:v>27164.61238782758</c:v>
                </c:pt>
                <c:pt idx="51">
                  <c:v>27246.38611232451</c:v>
                </c:pt>
                <c:pt idx="52">
                  <c:v>27328.15983682144</c:v>
                </c:pt>
                <c:pt idx="53">
                  <c:v>27409.93356131837</c:v>
                </c:pt>
                <c:pt idx="54">
                  <c:v>27491.7072858153</c:v>
                </c:pt>
                <c:pt idx="55">
                  <c:v>27573.48101031224</c:v>
                </c:pt>
                <c:pt idx="56">
                  <c:v>27655.25473480917</c:v>
                </c:pt>
                <c:pt idx="57">
                  <c:v>27737.0284593061</c:v>
                </c:pt>
                <c:pt idx="58">
                  <c:v>27818.80218380303</c:v>
                </c:pt>
                <c:pt idx="59">
                  <c:v>27900.57590829996</c:v>
                </c:pt>
                <c:pt idx="60">
                  <c:v>27982.3496327969</c:v>
                </c:pt>
                <c:pt idx="61">
                  <c:v>28064.12335729383</c:v>
                </c:pt>
                <c:pt idx="62">
                  <c:v>28145.89708179076</c:v>
                </c:pt>
                <c:pt idx="63">
                  <c:v>28227.6708062877</c:v>
                </c:pt>
                <c:pt idx="64">
                  <c:v>28309.44453078463</c:v>
                </c:pt>
                <c:pt idx="65">
                  <c:v>28391.21825528156</c:v>
                </c:pt>
                <c:pt idx="66">
                  <c:v>28773.52871098428</c:v>
                </c:pt>
                <c:pt idx="67">
                  <c:v>29155.839166687</c:v>
                </c:pt>
                <c:pt idx="68">
                  <c:v>29538.14962238973</c:v>
                </c:pt>
                <c:pt idx="69">
                  <c:v>29920.46007809245</c:v>
                </c:pt>
                <c:pt idx="70">
                  <c:v>30302.77053379517</c:v>
                </c:pt>
                <c:pt idx="71">
                  <c:v>30685.0809894979</c:v>
                </c:pt>
                <c:pt idx="72">
                  <c:v>31067.39144520062</c:v>
                </c:pt>
                <c:pt idx="73">
                  <c:v>31449.70190090334</c:v>
                </c:pt>
                <c:pt idx="74">
                  <c:v>31832.01235660606</c:v>
                </c:pt>
                <c:pt idx="75">
                  <c:v>32214.32281230878</c:v>
                </c:pt>
                <c:pt idx="76">
                  <c:v>32596.63326801151</c:v>
                </c:pt>
                <c:pt idx="77">
                  <c:v>32978.94372371423</c:v>
                </c:pt>
                <c:pt idx="78">
                  <c:v>33361.25417941695</c:v>
                </c:pt>
                <c:pt idx="79">
                  <c:v>33743.56463511967</c:v>
                </c:pt>
                <c:pt idx="80">
                  <c:v>34125.8750908224</c:v>
                </c:pt>
                <c:pt idx="81">
                  <c:v>34508.18554652511</c:v>
                </c:pt>
                <c:pt idx="82">
                  <c:v>34890.49600222784</c:v>
                </c:pt>
                <c:pt idx="83">
                  <c:v>35272.80645793056</c:v>
                </c:pt>
                <c:pt idx="84">
                  <c:v>35655.11691363328</c:v>
                </c:pt>
                <c:pt idx="85">
                  <c:v>36037.42736933601</c:v>
                </c:pt>
                <c:pt idx="86">
                  <c:v>36419.73782503873</c:v>
                </c:pt>
                <c:pt idx="87">
                  <c:v>36802.04828074145</c:v>
                </c:pt>
                <c:pt idx="88">
                  <c:v>37969.30250648538</c:v>
                </c:pt>
                <c:pt idx="89">
                  <c:v>39921.50050227052</c:v>
                </c:pt>
                <c:pt idx="90">
                  <c:v>41873.69849805567</c:v>
                </c:pt>
                <c:pt idx="91">
                  <c:v>43825.89649384082</c:v>
                </c:pt>
                <c:pt idx="92">
                  <c:v>45778.09448962598</c:v>
                </c:pt>
                <c:pt idx="93">
                  <c:v>47730.29248541112</c:v>
                </c:pt>
                <c:pt idx="94">
                  <c:v>49682.49048119626</c:v>
                </c:pt>
                <c:pt idx="95">
                  <c:v>51634.68847698141</c:v>
                </c:pt>
                <c:pt idx="96">
                  <c:v>53586.88647276655</c:v>
                </c:pt>
                <c:pt idx="97">
                  <c:v>55539.0844685517</c:v>
                </c:pt>
                <c:pt idx="98">
                  <c:v>61405.08396644427</c:v>
                </c:pt>
                <c:pt idx="99">
                  <c:v>71184.88496644425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99217560"/>
        <c:axId val="1899223416"/>
      </c:lineChart>
      <c:catAx>
        <c:axId val="18992175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9223416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1899223416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899217560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0.0854766846547668</c:v>
                </c:pt>
                <c:pt idx="1">
                  <c:v>0.0854766846547668</c:v>
                </c:pt>
                <c:pt idx="2" formatCode="0.0%">
                  <c:v>0.0854766846547668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0.0694287826899128</c:v>
                </c:pt>
                <c:pt idx="1">
                  <c:v>0.0694287826899128</c:v>
                </c:pt>
                <c:pt idx="2" formatCode="0.0%">
                  <c:v>0.0694287826899128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</c:v>
                </c:pt>
                <c:pt idx="1">
                  <c:v>0.05</c:v>
                </c:pt>
                <c:pt idx="2" formatCode="0.0%">
                  <c:v>0.05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0.162453575342466</c:v>
                </c:pt>
                <c:pt idx="1">
                  <c:v>0.162453575342466</c:v>
                </c:pt>
                <c:pt idx="2" formatCode="0.0%">
                  <c:v>0.172892801509801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0.0385614881693649</c:v>
                </c:pt>
                <c:pt idx="1">
                  <c:v>0.0385614881693649</c:v>
                </c:pt>
                <c:pt idx="2" formatCode="0.0%">
                  <c:v>0.0385614881693649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0.0667732901618929</c:v>
                </c:pt>
                <c:pt idx="1">
                  <c:v>0.0667732901618929</c:v>
                </c:pt>
                <c:pt idx="2" formatCode="0.0%">
                  <c:v>0.063573227077729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0.0019986799501868</c:v>
                </c:pt>
                <c:pt idx="1">
                  <c:v>0.0019986799501868</c:v>
                </c:pt>
                <c:pt idx="2" formatCode="0.0%">
                  <c:v>0.0021501544324584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0.0379514321295143</c:v>
                </c:pt>
                <c:pt idx="1">
                  <c:v>0.0379514321295143</c:v>
                </c:pt>
                <c:pt idx="2" formatCode="0.0%">
                  <c:v>0.0417030431992715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0.104822073474471</c:v>
                </c:pt>
                <c:pt idx="1">
                  <c:v>0.104822073474471</c:v>
                </c:pt>
                <c:pt idx="2" formatCode="0.0%">
                  <c:v>0.112448484364493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0.00706032932060329</c:v>
                </c:pt>
                <c:pt idx="1">
                  <c:v>0.00706032932060329</c:v>
                </c:pt>
                <c:pt idx="2" formatCode="0.0%">
                  <c:v>0.00821281585188579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0.0225716064757161</c:v>
                </c:pt>
                <c:pt idx="1">
                  <c:v>0.0225716064757161</c:v>
                </c:pt>
                <c:pt idx="2" formatCode="0.0%">
                  <c:v>0.0225716064757161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0.011706102117061</c:v>
                </c:pt>
                <c:pt idx="1">
                  <c:v>0.011706102117061</c:v>
                </c:pt>
                <c:pt idx="2" formatCode="0.0%">
                  <c:v>0.0099317552463331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0.0534777235367372</c:v>
                </c:pt>
                <c:pt idx="1">
                  <c:v>0.0534777235367372</c:v>
                </c:pt>
                <c:pt idx="2" formatCode="0.0%">
                  <c:v>0.0534777235367372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0.0256330427563304</c:v>
                </c:pt>
                <c:pt idx="1">
                  <c:v>0.0256330427563304</c:v>
                </c:pt>
                <c:pt idx="2" formatCode="0.0%">
                  <c:v>0.0256330427563304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0.105820105820106</c:v>
                </c:pt>
                <c:pt idx="1">
                  <c:v>0.105820105820106</c:v>
                </c:pt>
                <c:pt idx="2" formatCode="0.0%">
                  <c:v>0.105820105820106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0.027003904109589</c:v>
                </c:pt>
                <c:pt idx="1">
                  <c:v>0.027003904109589</c:v>
                </c:pt>
                <c:pt idx="2" formatCode="0.0%">
                  <c:v>0.0229108001647282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0.0601341967621419</c:v>
                </c:pt>
                <c:pt idx="1">
                  <c:v>0.0601341967621419</c:v>
                </c:pt>
                <c:pt idx="2" formatCode="0.0%">
                  <c:v>0.0510193844376249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0.379468796014944</c:v>
                </c:pt>
                <c:pt idx="1">
                  <c:v>0.379468796014944</c:v>
                </c:pt>
                <c:pt idx="2" formatCode="0.0%">
                  <c:v>0.395729456272655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0.377663611457036</c:v>
                </c:pt>
                <c:pt idx="1">
                  <c:v>0.377663611457036</c:v>
                </c:pt>
                <c:pt idx="2" formatCode="0.0%">
                  <c:v>0.356464068282926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22513048"/>
        <c:axId val="1922516344"/>
      </c:barChart>
      <c:catAx>
        <c:axId val="1922513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2516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225163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2251304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0.0140800124533001</c:v>
                </c:pt>
                <c:pt idx="1">
                  <c:v>0.0140800124533001</c:v>
                </c:pt>
                <c:pt idx="2" formatCode="0.0%">
                  <c:v>0.0140800124533001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0.00234666874221669</c:v>
                </c:pt>
                <c:pt idx="1">
                  <c:v>0.00234666874221669</c:v>
                </c:pt>
                <c:pt idx="2" formatCode="0.0%">
                  <c:v>0.00234666874221669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0.005906425124533</c:v>
                </c:pt>
                <c:pt idx="1">
                  <c:v>0.005906425124533</c:v>
                </c:pt>
                <c:pt idx="2" formatCode="0.0%">
                  <c:v>0.005906425124533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0.0425</c:v>
                </c:pt>
                <c:pt idx="1">
                  <c:v>0.0425</c:v>
                </c:pt>
                <c:pt idx="2" formatCode="0.0%">
                  <c:v>0.0425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0.0887185787671233</c:v>
                </c:pt>
                <c:pt idx="1">
                  <c:v>0.0887185787671233</c:v>
                </c:pt>
                <c:pt idx="2" formatCode="0.0%">
                  <c:v>0.0887185787671233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0.0441882067247821</c:v>
                </c:pt>
                <c:pt idx="1">
                  <c:v>0.0441882067247821</c:v>
                </c:pt>
                <c:pt idx="2" formatCode="0.0%">
                  <c:v>0.0441882067247821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0.0498583748443337</c:v>
                </c:pt>
                <c:pt idx="1">
                  <c:v>0.0498583748443337</c:v>
                </c:pt>
                <c:pt idx="2" formatCode="0.0%">
                  <c:v>0.0623229685554172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0.0259884806973848</c:v>
                </c:pt>
                <c:pt idx="1">
                  <c:v>0.0259884806973848</c:v>
                </c:pt>
                <c:pt idx="2" formatCode="0.0%">
                  <c:v>0.0259884806973848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0.0330189531444583</c:v>
                </c:pt>
                <c:pt idx="1">
                  <c:v>0.0330189531444583</c:v>
                </c:pt>
                <c:pt idx="2" formatCode="0.0%">
                  <c:v>0.0330189531444583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0.006109900373599</c:v>
                </c:pt>
                <c:pt idx="1">
                  <c:v>0.006109900373599</c:v>
                </c:pt>
                <c:pt idx="2" formatCode="0.0%">
                  <c:v>0.006109900373599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0.0253930572851806</c:v>
                </c:pt>
                <c:pt idx="1">
                  <c:v>0.0253930572851806</c:v>
                </c:pt>
                <c:pt idx="2" formatCode="0.0%">
                  <c:v>0.0253930572851806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  <c:pt idx="0">
                  <c:v>FISHING -- see worksheet Data 3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  <c:pt idx="0">
                  <c:v>Labour: Land clearing, construction, herding, slaughtering</c:v>
                </c:pt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  <c:pt idx="0">
                  <c:v>Labour: Weeding</c:v>
                </c:pt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  <c:pt idx="0">
                  <c:v>Gifts/remittances: cereal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0.0676509713574097</c:v>
                </c:pt>
                <c:pt idx="1">
                  <c:v>0.0676509713574097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0.266220910647572</c:v>
                </c:pt>
                <c:pt idx="1">
                  <c:v>0.266220910647572</c:v>
                </c:pt>
                <c:pt idx="2" formatCode="0.0%">
                  <c:v>0.4867471149321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0.424871562889166</c:v>
                </c:pt>
                <c:pt idx="1">
                  <c:v>0.424871562889166</c:v>
                </c:pt>
                <c:pt idx="2" formatCode="0.0%">
                  <c:v>0.29267289129455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2033736"/>
        <c:axId val="1902036968"/>
      </c:barChart>
      <c:catAx>
        <c:axId val="19020337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203696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90203696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19020337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0.00567372353673724</c:v>
                </c:pt>
                <c:pt idx="1">
                  <c:v>0.00567372353673724</c:v>
                </c:pt>
                <c:pt idx="2">
                  <c:v>0.011013698630137</c:v>
                </c:pt>
                <c:pt idx="3">
                  <c:v>0.011013698630137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0.10468629358655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0.17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0.354874315068493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0.22204573879203</c:v>
                </c:pt>
                <c:pt idx="3">
                  <c:v>0.109365811643836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0.0219963418430884</c:v>
                </c:pt>
                <c:pt idx="1">
                  <c:v>0.0219963418430884</c:v>
                </c:pt>
                <c:pt idx="2">
                  <c:v>0.0219963418430884</c:v>
                </c:pt>
                <c:pt idx="3">
                  <c:v>0.0219963418430884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0.103953922789539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0.12429918873325</c:v>
                </c:pt>
                <c:pt idx="1">
                  <c:v>0.0745964189439601</c:v>
                </c:pt>
                <c:pt idx="2">
                  <c:v>0.0994478038386052</c:v>
                </c:pt>
                <c:pt idx="3">
                  <c:v>0.12429918873325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0.4867471149321</c:v>
                </c:pt>
                <c:pt idx="1">
                  <c:v>0.4867471149321</c:v>
                </c:pt>
                <c:pt idx="2">
                  <c:v>0.4867471149321</c:v>
                </c:pt>
                <c:pt idx="3">
                  <c:v>0.4867471149321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-1.36944671267734</c:v>
                </c:pt>
                <c:pt idx="1">
                  <c:v>-1.270289537048512</c:v>
                </c:pt>
                <c:pt idx="2">
                  <c:v>-1.547253838748355</c:v>
                </c:pt>
                <c:pt idx="3">
                  <c:v>3.734351596818885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8984152"/>
        <c:axId val="1904039384"/>
      </c:barChart>
      <c:catAx>
        <c:axId val="18989841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403938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0403938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89841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0.00957440846824408</c:v>
                </c:pt>
                <c:pt idx="1">
                  <c:v>0.00957440846824408</c:v>
                </c:pt>
                <c:pt idx="2">
                  <c:v>0.0185856164383562</c:v>
                </c:pt>
                <c:pt idx="3">
                  <c:v>0.0185856164383562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0.00938667496886675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0.00582949534209553</c:v>
                </c:pt>
                <c:pt idx="1">
                  <c:v>0.016567316654452</c:v>
                </c:pt>
                <c:pt idx="2">
                  <c:v>0.00122888850158451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0.0419464476083829</c:v>
                </c:pt>
                <c:pt idx="1">
                  <c:v>0.119211019012093</c:v>
                </c:pt>
                <c:pt idx="2">
                  <c:v>0.00884253337952391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0.0875630403798901</c:v>
                </c:pt>
                <c:pt idx="1">
                  <c:v>0.248852521885492</c:v>
                </c:pt>
                <c:pt idx="2">
                  <c:v>0.0184587528031108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0.118424394022416</c:v>
                </c:pt>
                <c:pt idx="3">
                  <c:v>0.0583284328767123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0.249291874221669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  <c:pt idx="0">
                  <c:v>Gifts/remittances: Other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0.4867471149321</c:v>
                </c:pt>
                <c:pt idx="1">
                  <c:v>0.4867471149321</c:v>
                </c:pt>
                <c:pt idx="2">
                  <c:v>0.4867471149321</c:v>
                </c:pt>
                <c:pt idx="3">
                  <c:v>0.4867471149321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-2.002337051022002</c:v>
                </c:pt>
                <c:pt idx="1">
                  <c:v>-2.002337051022002</c:v>
                </c:pt>
                <c:pt idx="2">
                  <c:v>-2.002337051022002</c:v>
                </c:pt>
                <c:pt idx="3">
                  <c:v>-2.002337051022002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829208"/>
        <c:axId val="1901832520"/>
      </c:barChart>
      <c:catAx>
        <c:axId val="1901829208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832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01832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829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0.00886519302615193</c:v>
                </c:pt>
                <c:pt idx="1">
                  <c:v>0.00886519302615193</c:v>
                </c:pt>
                <c:pt idx="2">
                  <c:v>0.017208904109589</c:v>
                </c:pt>
                <c:pt idx="3">
                  <c:v>0.017208904109589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0.0757684651573377</c:v>
                </c:pt>
                <c:pt idx="1">
                  <c:v>0.0833946857882888</c:v>
                </c:pt>
                <c:pt idx="2">
                  <c:v>0.00487649510984058</c:v>
                </c:pt>
                <c:pt idx="3">
                  <c:v>0.0217072406195018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0.0693451142429467</c:v>
                </c:pt>
                <c:pt idx="1">
                  <c:v>0.0763248140401784</c:v>
                </c:pt>
                <c:pt idx="2">
                  <c:v>0.00446308513436104</c:v>
                </c:pt>
                <c:pt idx="3">
                  <c:v>0.0198669865825137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0.240559770591094</c:v>
                </c:pt>
                <c:pt idx="1">
                  <c:v>0.264772507138536</c:v>
                </c:pt>
                <c:pt idx="2">
                  <c:v>0.015482543330868</c:v>
                </c:pt>
                <c:pt idx="3">
                  <c:v>0.0689190260453274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0.267820453613898</c:v>
                </c:pt>
                <c:pt idx="3">
                  <c:v>0.131911566705353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0.00986725952035033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0.252243174394921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0.121756190828796</c:v>
                </c:pt>
                <c:pt idx="1">
                  <c:v>0.0730702743328204</c:v>
                </c:pt>
                <c:pt idx="2">
                  <c:v>0.0974132325808082</c:v>
                </c:pt>
                <c:pt idx="3">
                  <c:v>0.121756190828796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0.109030019966961</c:v>
                </c:pt>
                <c:pt idx="3">
                  <c:v>0.109030019966961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0.337951594527442</c:v>
                </c:pt>
                <c:pt idx="1">
                  <c:v>0.337951594527442</c:v>
                </c:pt>
                <c:pt idx="2">
                  <c:v>0.337951594527442</c:v>
                </c:pt>
                <c:pt idx="3">
                  <c:v>0.337951594527442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-0.373202403992897</c:v>
                </c:pt>
                <c:pt idx="2">
                  <c:v>-0.650666168005748</c:v>
                </c:pt>
                <c:pt idx="3">
                  <c:v>-0.271177637497711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901936952"/>
        <c:axId val="1901940264"/>
      </c:barChart>
      <c:catAx>
        <c:axId val="190193695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940264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01940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93695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0.0581241455652414</c:v>
                </c:pt>
                <c:pt idx="1">
                  <c:v>0.0581241455652414</c:v>
                </c:pt>
                <c:pt idx="2">
                  <c:v>0.112829223744292</c:v>
                </c:pt>
                <c:pt idx="3">
                  <c:v>0.112829223744292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Cows' milk - season 2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0.0598287023358945</c:v>
                </c:pt>
                <c:pt idx="1">
                  <c:v>0.0691230983108979</c:v>
                </c:pt>
                <c:pt idx="2">
                  <c:v>0.0</c:v>
                </c:pt>
                <c:pt idx="3">
                  <c:v>0.148763330112859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Green cons - Season 1: no of months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0.043086382922127</c:v>
                </c:pt>
                <c:pt idx="1">
                  <c:v>0.0497798575985552</c:v>
                </c:pt>
                <c:pt idx="2">
                  <c:v>0.0</c:v>
                </c:pt>
                <c:pt idx="3">
                  <c:v>0.107133759479318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0.148986509006612</c:v>
                </c:pt>
                <c:pt idx="1">
                  <c:v>0.172131580779463</c:v>
                </c:pt>
                <c:pt idx="2">
                  <c:v>0.0</c:v>
                </c:pt>
                <c:pt idx="3">
                  <c:v>0.370453116253129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  <c:pt idx="0">
                  <c:v>Sorghum: kg produced</c:v>
                </c:pt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0.0332295009062465</c:v>
                </c:pt>
                <c:pt idx="1">
                  <c:v>0.0383917077971871</c:v>
                </c:pt>
                <c:pt idx="2">
                  <c:v>0.0</c:v>
                </c:pt>
                <c:pt idx="3">
                  <c:v>0.0826247439740259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0.170376248568314</c:v>
                </c:pt>
                <c:pt idx="3">
                  <c:v>0.0839166597426022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  <c:pt idx="0">
                  <c:v>Cassava: no. local meas.</c:v>
                </c:pt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0.00860061772983359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  <c:pt idx="0">
                  <c:v>Pumpkin: no. local meas</c:v>
                </c:pt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0.166812172797086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0.13228439700639</c:v>
                </c:pt>
                <c:pt idx="1">
                  <c:v>0.079388629961332</c:v>
                </c:pt>
                <c:pt idx="2">
                  <c:v>0.105836513483861</c:v>
                </c:pt>
                <c:pt idx="3">
                  <c:v>0.13228439700639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0.10203876887525</c:v>
                </c:pt>
                <c:pt idx="3">
                  <c:v>0.10203876887525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0.395729456272655</c:v>
                </c:pt>
                <c:pt idx="1">
                  <c:v>0.395729456272655</c:v>
                </c:pt>
                <c:pt idx="2">
                  <c:v>0.395729456272655</c:v>
                </c:pt>
                <c:pt idx="3">
                  <c:v>0.395729456272655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-0.0155411169292059</c:v>
                </c:pt>
                <c:pt idx="3">
                  <c:v>-0.831316534242441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000504"/>
        <c:axId val="1901584712"/>
      </c:barChart>
      <c:catAx>
        <c:axId val="189900050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9015847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1901584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0005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0.0204373594931535</c:v>
                </c:pt>
                <c:pt idx="1">
                  <c:v>0.0204373594931535</c:v>
                </c:pt>
                <c:pt idx="2">
                  <c:v>0.0204373594931535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Water melon: no. local meas (Bhece)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Sweet poatato: no. local meas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Groundnuts (dry): no. local meas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0.0265685673410995</c:v>
                </c:pt>
                <c:pt idx="1">
                  <c:v>0.0265685673410995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Irish potato: type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0.00147148988350705</c:v>
                </c:pt>
                <c:pt idx="1">
                  <c:v>0.00147148988350705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Yam: type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Spinach (cash): kg produced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0.00613120784794604</c:v>
                </c:pt>
                <c:pt idx="1">
                  <c:v>0.00613120784794604</c:v>
                </c:pt>
                <c:pt idx="2">
                  <c:v>0.00613120784794604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Tomatoes (cash): kg produced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Cabbage (cash): kg produced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0.0453300633558144</c:v>
                </c:pt>
                <c:pt idx="1">
                  <c:v>0.0453300633558144</c:v>
                </c:pt>
                <c:pt idx="2">
                  <c:v>0.0453300633558144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Formal Employment (conservancies, etc.)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  <c:pt idx="0">
                  <c:v>Self-employment -- see Data2</c:v>
                </c:pt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0.900061312078479</c:v>
                </c:pt>
                <c:pt idx="1">
                  <c:v>0.900061312078479</c:v>
                </c:pt>
                <c:pt idx="2">
                  <c:v>0.900061312078479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  <c:pt idx="0">
                  <c:v>Other income: e.g. Credit (cotton loans)</c:v>
                </c:pt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99465208"/>
        <c:axId val="1899468200"/>
      </c:barChart>
      <c:catAx>
        <c:axId val="18994652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820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8994682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994652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cni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zacni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ZACNI</v>
          </cell>
          <cell r="D1">
            <v>59106</v>
          </cell>
        </row>
        <row r="2">
          <cell r="A2" t="str">
            <v>Coastal open access non-crop income</v>
          </cell>
        </row>
        <row r="9">
          <cell r="CK9">
            <v>0.5</v>
          </cell>
        </row>
        <row r="10">
          <cell r="CK10">
            <v>0.3</v>
          </cell>
        </row>
        <row r="11">
          <cell r="CK11">
            <v>0.15</v>
          </cell>
        </row>
        <row r="12">
          <cell r="CK12">
            <v>0.05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13579.12894961681</v>
          </cell>
          <cell r="E1031">
            <v>13579.12894961681</v>
          </cell>
          <cell r="H1031">
            <v>13579.12894961681</v>
          </cell>
          <cell r="J1031">
            <v>15276.520068318912</v>
          </cell>
        </row>
        <row r="1032">
          <cell r="C1032">
            <v>13978.666666666668</v>
          </cell>
          <cell r="E1032">
            <v>13978.666666666668</v>
          </cell>
          <cell r="H1032">
            <v>13978.666666666668</v>
          </cell>
          <cell r="J1032">
            <v>15726.000000000002</v>
          </cell>
        </row>
        <row r="1033">
          <cell r="C1033">
            <v>27744</v>
          </cell>
          <cell r="E1033">
            <v>27744</v>
          </cell>
          <cell r="H1033">
            <v>27744</v>
          </cell>
          <cell r="J1033">
            <v>31212</v>
          </cell>
        </row>
        <row r="1034">
          <cell r="C1034">
            <v>2800</v>
          </cell>
          <cell r="E1034">
            <v>3740</v>
          </cell>
          <cell r="H1034">
            <v>7510</v>
          </cell>
          <cell r="J1034">
            <v>11510</v>
          </cell>
        </row>
        <row r="1037">
          <cell r="C1037" t="str">
            <v>maize</v>
          </cell>
          <cell r="E1037" t="str">
            <v>maize</v>
          </cell>
          <cell r="H1037" t="str">
            <v>maize</v>
          </cell>
          <cell r="J1037" t="str">
            <v>maize</v>
          </cell>
        </row>
        <row r="1038">
          <cell r="C1038">
            <v>0.58061985920496251</v>
          </cell>
          <cell r="E1038">
            <v>0.58061985920496251</v>
          </cell>
          <cell r="H1038">
            <v>0.58061985920496251</v>
          </cell>
          <cell r="J1038">
            <v>0.58061985920496251</v>
          </cell>
        </row>
        <row r="1039">
          <cell r="C1039">
            <v>8</v>
          </cell>
          <cell r="E1039">
            <v>8</v>
          </cell>
          <cell r="H1039">
            <v>8</v>
          </cell>
          <cell r="J1039">
            <v>9</v>
          </cell>
        </row>
        <row r="1040">
          <cell r="C1040">
            <v>4</v>
          </cell>
          <cell r="E1040">
            <v>4</v>
          </cell>
          <cell r="H1040">
            <v>4</v>
          </cell>
          <cell r="J1040">
            <v>4</v>
          </cell>
        </row>
        <row r="1044">
          <cell r="A1044" t="str">
            <v>Cows' milk - season 1</v>
          </cell>
          <cell r="C1044">
            <v>1.4080012453300126E-2</v>
          </cell>
          <cell r="D1044">
            <v>0</v>
          </cell>
          <cell r="E1044">
            <v>8.3437110834371116E-3</v>
          </cell>
          <cell r="F1044">
            <v>0</v>
          </cell>
          <cell r="H1044">
            <v>1.3037048567870486E-2</v>
          </cell>
          <cell r="I1044">
            <v>0</v>
          </cell>
          <cell r="J1044">
            <v>8.5476684654766849E-2</v>
          </cell>
          <cell r="K1044">
            <v>0</v>
          </cell>
        </row>
        <row r="1045">
          <cell r="A1045" t="str">
            <v>Cows' milk - season 2</v>
          </cell>
          <cell r="C1045">
            <v>2.3466687422166875E-3</v>
          </cell>
          <cell r="D1045">
            <v>0</v>
          </cell>
          <cell r="E1045">
            <v>0</v>
          </cell>
          <cell r="F1045">
            <v>0</v>
          </cell>
          <cell r="H1045">
            <v>0</v>
          </cell>
          <cell r="I1045">
            <v>0</v>
          </cell>
          <cell r="J1045">
            <v>0</v>
          </cell>
          <cell r="K1045">
            <v>0</v>
          </cell>
        </row>
        <row r="1046">
          <cell r="A1046" t="str">
            <v>Own meat</v>
          </cell>
          <cell r="C1046">
            <v>5.906425124533001E-3</v>
          </cell>
          <cell r="D1046">
            <v>0</v>
          </cell>
          <cell r="E1046">
            <v>2.6171573396637608E-2</v>
          </cell>
          <cell r="F1046">
            <v>0</v>
          </cell>
          <cell r="H1046">
            <v>4.6436721668742222E-2</v>
          </cell>
          <cell r="I1046">
            <v>0</v>
          </cell>
          <cell r="J1046">
            <v>6.942878268991283E-2</v>
          </cell>
          <cell r="K1046">
            <v>0</v>
          </cell>
        </row>
        <row r="1047">
          <cell r="A1047" t="str">
            <v>Green cons - Season 1: no of months</v>
          </cell>
          <cell r="C1047">
            <v>4.2500000000000003E-2</v>
          </cell>
          <cell r="D1047">
            <v>0</v>
          </cell>
          <cell r="E1047">
            <v>4.2500000000000003E-2</v>
          </cell>
          <cell r="F1047">
            <v>0</v>
          </cell>
          <cell r="H1047">
            <v>4.2500000000000003E-2</v>
          </cell>
          <cell r="I1047">
            <v>0</v>
          </cell>
          <cell r="J1047">
            <v>0.05</v>
          </cell>
          <cell r="K1047">
            <v>0</v>
          </cell>
        </row>
        <row r="1048">
          <cell r="A1048" t="str">
            <v>Maize: kg produced</v>
          </cell>
          <cell r="C1048">
            <v>8.8718578767123274E-2</v>
          </cell>
          <cell r="D1048">
            <v>0</v>
          </cell>
          <cell r="E1048">
            <v>8.8718578767123274E-2</v>
          </cell>
          <cell r="F1048">
            <v>0</v>
          </cell>
          <cell r="H1048">
            <v>0.13307786815068492</v>
          </cell>
          <cell r="I1048">
            <v>7.3932148972602724E-2</v>
          </cell>
          <cell r="J1048">
            <v>0.16245357534246571</v>
          </cell>
          <cell r="K1048">
            <v>6.8871904109589072E-2</v>
          </cell>
        </row>
        <row r="1049">
          <cell r="A1049" t="str">
            <v>Sorghum: kg produced</v>
          </cell>
          <cell r="C1049">
            <v>0</v>
          </cell>
          <cell r="D1049">
            <v>0</v>
          </cell>
          <cell r="E1049">
            <v>0</v>
          </cell>
          <cell r="F1049">
            <v>0</v>
          </cell>
          <cell r="H1049">
            <v>0</v>
          </cell>
          <cell r="I1049">
            <v>0</v>
          </cell>
          <cell r="J1049">
            <v>3.8561488169364881E-2</v>
          </cell>
          <cell r="K1049">
            <v>0</v>
          </cell>
        </row>
        <row r="1050">
          <cell r="A1050" t="str">
            <v>Beans: kg produced</v>
          </cell>
          <cell r="C1050">
            <v>4.4188206724782075E-2</v>
          </cell>
          <cell r="D1050">
            <v>0</v>
          </cell>
          <cell r="E1050">
            <v>8.2852887608966391E-2</v>
          </cell>
          <cell r="F1050">
            <v>0</v>
          </cell>
          <cell r="H1050">
            <v>0.10770875389165629</v>
          </cell>
          <cell r="I1050">
            <v>-4.0045562344333749E-2</v>
          </cell>
          <cell r="J1050">
            <v>6.6773290161892901E-2</v>
          </cell>
          <cell r="K1050">
            <v>-2.1112143212951434E-2</v>
          </cell>
        </row>
        <row r="1051">
          <cell r="A1051" t="str">
            <v>Cassava: no. local meas.</v>
          </cell>
          <cell r="C1051">
            <v>4.9858374844333753E-2</v>
          </cell>
          <cell r="D1051">
            <v>1.2464593711083438E-2</v>
          </cell>
          <cell r="E1051">
            <v>0</v>
          </cell>
          <cell r="F1051">
            <v>0</v>
          </cell>
          <cell r="H1051">
            <v>0</v>
          </cell>
          <cell r="I1051">
            <v>0</v>
          </cell>
          <cell r="J1051">
            <v>0</v>
          </cell>
          <cell r="K1051">
            <v>0</v>
          </cell>
        </row>
        <row r="1052">
          <cell r="A1052" t="str">
            <v>Water melon: no. local meas (Bhece)</v>
          </cell>
          <cell r="C1052">
            <v>0</v>
          </cell>
          <cell r="D1052">
            <v>0</v>
          </cell>
          <cell r="E1052">
            <v>0</v>
          </cell>
          <cell r="F1052">
            <v>0</v>
          </cell>
          <cell r="H1052">
            <v>2.2485149439601493E-3</v>
          </cell>
          <cell r="I1052">
            <v>1.1242574719800748E-3</v>
          </cell>
          <cell r="J1052">
            <v>1.9986799501867992E-3</v>
          </cell>
          <cell r="K1052">
            <v>9.9933997509339982E-4</v>
          </cell>
        </row>
        <row r="1053">
          <cell r="A1053" t="str">
            <v>Pumpkin: no. local meas</v>
          </cell>
          <cell r="C1053">
            <v>0</v>
          </cell>
          <cell r="D1053">
            <v>0</v>
          </cell>
          <cell r="E1053">
            <v>2.1996341843088418E-2</v>
          </cell>
          <cell r="F1053">
            <v>0</v>
          </cell>
          <cell r="H1053">
            <v>0</v>
          </cell>
          <cell r="I1053">
            <v>0</v>
          </cell>
          <cell r="J1053">
            <v>0</v>
          </cell>
          <cell r="K1053">
            <v>0</v>
          </cell>
        </row>
        <row r="1054">
          <cell r="A1054" t="str">
            <v>Sweet poatato: no. local meas</v>
          </cell>
          <cell r="C1054">
            <v>2.5988480697384807E-2</v>
          </cell>
          <cell r="D1054">
            <v>0</v>
          </cell>
          <cell r="E1054">
            <v>2.5988480697384807E-2</v>
          </cell>
          <cell r="F1054">
            <v>0</v>
          </cell>
          <cell r="H1054">
            <v>6.125856164383562E-2</v>
          </cell>
          <cell r="I1054">
            <v>9.281600249065998E-3</v>
          </cell>
          <cell r="J1054">
            <v>3.7951432129514323E-2</v>
          </cell>
          <cell r="K1054">
            <v>2.4750933997509342E-2</v>
          </cell>
        </row>
        <row r="1055">
          <cell r="A1055" t="str">
            <v>Groundnuts (dry): no. local meas</v>
          </cell>
          <cell r="C1055">
            <v>3.3018953144458282E-2</v>
          </cell>
          <cell r="D1055">
            <v>0</v>
          </cell>
          <cell r="E1055">
            <v>5.849071699875466E-2</v>
          </cell>
          <cell r="F1055">
            <v>4.7169933063511846E-2</v>
          </cell>
          <cell r="H1055">
            <v>9.4339866127023678E-2</v>
          </cell>
          <cell r="I1055">
            <v>4.7169933063511818E-2</v>
          </cell>
          <cell r="J1055">
            <v>0.10482207347447074</v>
          </cell>
          <cell r="K1055">
            <v>5.0314595267745968E-2</v>
          </cell>
        </row>
        <row r="1056">
          <cell r="A1056" t="str">
            <v>Irish potato: type</v>
          </cell>
          <cell r="C1056">
            <v>6.1099003735990039E-3</v>
          </cell>
          <cell r="D1056">
            <v>0</v>
          </cell>
          <cell r="E1056">
            <v>8.3094645080946453E-3</v>
          </cell>
          <cell r="F1056">
            <v>2.1995641344956414E-3</v>
          </cell>
          <cell r="H1056">
            <v>2.4561799501867997E-2</v>
          </cell>
          <cell r="I1056">
            <v>2.358421544209215E-2</v>
          </cell>
          <cell r="J1056">
            <v>7.0603293206032928E-3</v>
          </cell>
          <cell r="K1056">
            <v>7.6034315760343165E-3</v>
          </cell>
        </row>
        <row r="1057">
          <cell r="A1057" t="str">
            <v>Yam: type</v>
          </cell>
          <cell r="C1057">
            <v>2.5393057285180574E-2</v>
          </cell>
          <cell r="D1057">
            <v>0</v>
          </cell>
          <cell r="E1057">
            <v>2.082230697384807E-2</v>
          </cell>
          <cell r="F1057">
            <v>0</v>
          </cell>
          <cell r="H1057">
            <v>2.0991594022415939E-2</v>
          </cell>
          <cell r="I1057">
            <v>0</v>
          </cell>
          <cell r="J1057">
            <v>2.2571606475716065E-2</v>
          </cell>
          <cell r="K1057">
            <v>0</v>
          </cell>
        </row>
        <row r="1058">
          <cell r="A1058" t="str">
            <v>FISHING -- see worksheet Data 3</v>
          </cell>
          <cell r="C1058">
            <v>0</v>
          </cell>
          <cell r="D1058">
            <v>0</v>
          </cell>
          <cell r="E1058">
            <v>0</v>
          </cell>
          <cell r="F1058">
            <v>0</v>
          </cell>
          <cell r="H1058">
            <v>0</v>
          </cell>
          <cell r="I1058">
            <v>0</v>
          </cell>
          <cell r="J1058">
            <v>1.1706102117061022E-2</v>
          </cell>
          <cell r="K1058">
            <v>-1.1706102117061022E-2</v>
          </cell>
        </row>
        <row r="1059">
          <cell r="A1059" t="str">
            <v>Labour: Land clearing, construction, herding, slaughtering</v>
          </cell>
          <cell r="C1059">
            <v>0</v>
          </cell>
          <cell r="D1059">
            <v>0</v>
          </cell>
          <cell r="E1059">
            <v>5.6779890410958905E-2</v>
          </cell>
          <cell r="F1059">
            <v>0</v>
          </cell>
          <cell r="H1059">
            <v>0</v>
          </cell>
          <cell r="I1059">
            <v>0</v>
          </cell>
          <cell r="J1059">
            <v>0</v>
          </cell>
          <cell r="K1059">
            <v>0</v>
          </cell>
        </row>
        <row r="1060">
          <cell r="A1060" t="str">
            <v>Labour: Weeding</v>
          </cell>
          <cell r="C1060">
            <v>0</v>
          </cell>
          <cell r="D1060">
            <v>0</v>
          </cell>
          <cell r="E1060">
            <v>1.8926630136986301E-2</v>
          </cell>
          <cell r="F1060">
            <v>0</v>
          </cell>
          <cell r="H1060">
            <v>0</v>
          </cell>
          <cell r="I1060">
            <v>0</v>
          </cell>
          <cell r="J1060">
            <v>0</v>
          </cell>
          <cell r="K1060">
            <v>0</v>
          </cell>
        </row>
        <row r="1061">
          <cell r="A1061" t="str">
            <v>Gifts/remittances: cereal</v>
          </cell>
          <cell r="C1061">
            <v>0</v>
          </cell>
          <cell r="D1061">
            <v>0</v>
          </cell>
          <cell r="E1061">
            <v>0</v>
          </cell>
          <cell r="F1061">
            <v>0</v>
          </cell>
          <cell r="H1061">
            <v>1.7694834993773351E-2</v>
          </cell>
          <cell r="I1061">
            <v>0</v>
          </cell>
          <cell r="J1061">
            <v>5.3477723536737236E-2</v>
          </cell>
          <cell r="K1061">
            <v>0</v>
          </cell>
        </row>
        <row r="1062">
          <cell r="A1062" t="str">
            <v>Gifts/remittances: Other</v>
          </cell>
          <cell r="C1062">
            <v>0</v>
          </cell>
          <cell r="D1062">
            <v>0</v>
          </cell>
          <cell r="E1062">
            <v>0</v>
          </cell>
          <cell r="F1062">
            <v>0</v>
          </cell>
          <cell r="H1062">
            <v>2.3069738480697384E-2</v>
          </cell>
          <cell r="I1062">
            <v>0</v>
          </cell>
          <cell r="J1062">
            <v>2.5633042756330427E-2</v>
          </cell>
          <cell r="K1062">
            <v>0</v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0.10582010582010581</v>
          </cell>
          <cell r="K1064">
            <v>0</v>
          </cell>
        </row>
        <row r="1065">
          <cell r="A1065" t="str">
            <v>Purchase - other</v>
          </cell>
          <cell r="C1065">
            <v>3.314115504358655E-2</v>
          </cell>
          <cell r="D1065">
            <v>-3.314115504358655E-2</v>
          </cell>
          <cell r="E1065">
            <v>3.314115504358655E-2</v>
          </cell>
          <cell r="F1065">
            <v>-3.314115504358655E-2</v>
          </cell>
          <cell r="H1065">
            <v>3.314115504358655E-2</v>
          </cell>
          <cell r="I1065">
            <v>-3.314115504358655E-2</v>
          </cell>
          <cell r="J1065">
            <v>2.7003904109589038E-2</v>
          </cell>
          <cell r="K1065">
            <v>-2.7003904109589038E-2</v>
          </cell>
        </row>
        <row r="1066">
          <cell r="A1066" t="str">
            <v>Purchase - desirable</v>
          </cell>
          <cell r="C1066">
            <v>6.7650971357409703E-2</v>
          </cell>
          <cell r="D1066">
            <v>-6.7650971357409703E-2</v>
          </cell>
          <cell r="E1066">
            <v>6.7650971357409703E-2</v>
          </cell>
          <cell r="F1066">
            <v>-6.7650971357409703E-2</v>
          </cell>
          <cell r="H1066">
            <v>6.7650971357409703E-2</v>
          </cell>
          <cell r="I1066">
            <v>-6.7650971357409703E-2</v>
          </cell>
          <cell r="J1066">
            <v>6.0134196762141955E-2</v>
          </cell>
          <cell r="K1066">
            <v>-6.0134196762141955E-2</v>
          </cell>
        </row>
        <row r="1067">
          <cell r="A1067" t="str">
            <v>Purchase - fpl non staple</v>
          </cell>
          <cell r="C1067">
            <v>0.26622091064757164</v>
          </cell>
          <cell r="D1067">
            <v>0.22052620428452788</v>
          </cell>
          <cell r="E1067">
            <v>0.28783272384806979</v>
          </cell>
          <cell r="F1067">
            <v>0.19891439108402972</v>
          </cell>
          <cell r="H1067">
            <v>0.30209775887297641</v>
          </cell>
          <cell r="I1067">
            <v>0.18464935605912314</v>
          </cell>
          <cell r="J1067">
            <v>0.37946879601494388</v>
          </cell>
          <cell r="K1067">
            <v>0.1072783189171555</v>
          </cell>
        </row>
        <row r="1068">
          <cell r="A1068" t="str">
            <v>Purchase - staple</v>
          </cell>
          <cell r="C1068">
            <v>0.42487156288916561</v>
          </cell>
          <cell r="E1068">
            <v>0.41895699097135741</v>
          </cell>
          <cell r="H1068">
            <v>0.41304241905354921</v>
          </cell>
          <cell r="J1068">
            <v>0.37766361145703609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0</v>
          </cell>
          <cell r="F1072">
            <v>0</v>
          </cell>
          <cell r="H1072">
            <v>2000</v>
          </cell>
          <cell r="I1072">
            <v>0</v>
          </cell>
          <cell r="J1072">
            <v>8000</v>
          </cell>
          <cell r="K1072">
            <v>2000</v>
          </cell>
        </row>
        <row r="1073">
          <cell r="A1073" t="str">
            <v>Goat sales - local: no. sold</v>
          </cell>
          <cell r="C1073">
            <v>0</v>
          </cell>
          <cell r="D1073">
            <v>0</v>
          </cell>
          <cell r="E1073">
            <v>500</v>
          </cell>
          <cell r="F1073">
            <v>0</v>
          </cell>
          <cell r="H1073">
            <v>1500</v>
          </cell>
          <cell r="I1073">
            <v>1000</v>
          </cell>
          <cell r="J1073">
            <v>2500</v>
          </cell>
          <cell r="K1073">
            <v>500</v>
          </cell>
        </row>
        <row r="1074">
          <cell r="A1074" t="str">
            <v>Chicken sales: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0</v>
          </cell>
          <cell r="I1074">
            <v>0</v>
          </cell>
          <cell r="J1074">
            <v>550</v>
          </cell>
          <cell r="K1074">
            <v>0</v>
          </cell>
        </row>
        <row r="1075">
          <cell r="A1075" t="str">
            <v>Maize: kg produced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500</v>
          </cell>
          <cell r="I1075">
            <v>-500</v>
          </cell>
          <cell r="J1075">
            <v>655</v>
          </cell>
          <cell r="K1075">
            <v>-655</v>
          </cell>
        </row>
        <row r="1076">
          <cell r="A1076" t="str">
            <v>Beans: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1250</v>
          </cell>
          <cell r="I1076">
            <v>1812.5</v>
          </cell>
          <cell r="J1076">
            <v>1250</v>
          </cell>
          <cell r="K1076">
            <v>1075</v>
          </cell>
        </row>
        <row r="1077">
          <cell r="A1077" t="str">
            <v>Water melon: no. local meas (Bhece)</v>
          </cell>
          <cell r="C1077">
            <v>0</v>
          </cell>
          <cell r="D1077">
            <v>0</v>
          </cell>
          <cell r="E1077">
            <v>0</v>
          </cell>
          <cell r="F1077">
            <v>0</v>
          </cell>
          <cell r="H1077">
            <v>99</v>
          </cell>
          <cell r="I1077">
            <v>-99</v>
          </cell>
          <cell r="J1077">
            <v>99</v>
          </cell>
          <cell r="K1077">
            <v>-99</v>
          </cell>
        </row>
        <row r="1078">
          <cell r="A1078" t="str">
            <v>Sweet poatato: no. local meas</v>
          </cell>
          <cell r="C1078">
            <v>0</v>
          </cell>
          <cell r="D1078">
            <v>0</v>
          </cell>
          <cell r="E1078">
            <v>0</v>
          </cell>
          <cell r="F1078">
            <v>0</v>
          </cell>
          <cell r="H1078">
            <v>250</v>
          </cell>
          <cell r="I1078">
            <v>-250</v>
          </cell>
          <cell r="J1078">
            <v>750</v>
          </cell>
          <cell r="K1078">
            <v>-750</v>
          </cell>
        </row>
        <row r="1079">
          <cell r="A1079" t="str">
            <v>Groundnuts (dry): no. local meas</v>
          </cell>
          <cell r="C1079">
            <v>0</v>
          </cell>
          <cell r="D1079">
            <v>0</v>
          </cell>
          <cell r="E1079">
            <v>650</v>
          </cell>
          <cell r="F1079">
            <v>-650</v>
          </cell>
          <cell r="H1079">
            <v>250</v>
          </cell>
          <cell r="I1079">
            <v>-250</v>
          </cell>
          <cell r="J1079">
            <v>1140</v>
          </cell>
          <cell r="K1079">
            <v>-1140</v>
          </cell>
        </row>
        <row r="1080">
          <cell r="A1080" t="str">
            <v>Irish potato: type</v>
          </cell>
          <cell r="C1080">
            <v>0</v>
          </cell>
          <cell r="D1080">
            <v>0</v>
          </cell>
          <cell r="E1080">
            <v>36</v>
          </cell>
          <cell r="F1080">
            <v>-36</v>
          </cell>
          <cell r="H1080">
            <v>772</v>
          </cell>
          <cell r="I1080">
            <v>-772</v>
          </cell>
          <cell r="J1080">
            <v>280</v>
          </cell>
          <cell r="K1080">
            <v>-280</v>
          </cell>
        </row>
        <row r="1081">
          <cell r="A1081" t="str">
            <v>Yam: type</v>
          </cell>
          <cell r="C1081">
            <v>0</v>
          </cell>
          <cell r="D1081">
            <v>0</v>
          </cell>
          <cell r="E1081">
            <v>0</v>
          </cell>
          <cell r="F1081">
            <v>0</v>
          </cell>
          <cell r="H1081">
            <v>400</v>
          </cell>
          <cell r="I1081">
            <v>0</v>
          </cell>
          <cell r="J1081">
            <v>500</v>
          </cell>
          <cell r="K1081">
            <v>0</v>
          </cell>
        </row>
        <row r="1082">
          <cell r="A1082" t="str">
            <v>Spinach (cash): kg produced</v>
          </cell>
          <cell r="C1082">
            <v>0</v>
          </cell>
          <cell r="D1082">
            <v>0</v>
          </cell>
          <cell r="E1082">
            <v>150</v>
          </cell>
          <cell r="F1082">
            <v>0</v>
          </cell>
          <cell r="H1082">
            <v>100</v>
          </cell>
          <cell r="I1082">
            <v>0</v>
          </cell>
          <cell r="J1082">
            <v>300</v>
          </cell>
          <cell r="K1082">
            <v>0</v>
          </cell>
        </row>
        <row r="1083">
          <cell r="A1083" t="str">
            <v>Tomatoes (cash): kg produced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500</v>
          </cell>
          <cell r="K1083">
            <v>0</v>
          </cell>
        </row>
        <row r="1084">
          <cell r="A1084" t="str">
            <v>Cabbage (cash): kg produced</v>
          </cell>
          <cell r="C1084">
            <v>0</v>
          </cell>
          <cell r="D1084">
            <v>0</v>
          </cell>
          <cell r="E1084">
            <v>0</v>
          </cell>
          <cell r="F1084">
            <v>0</v>
          </cell>
          <cell r="H1084">
            <v>0</v>
          </cell>
          <cell r="I1084">
            <v>0</v>
          </cell>
          <cell r="J1084">
            <v>300</v>
          </cell>
          <cell r="K1084">
            <v>0</v>
          </cell>
        </row>
        <row r="1085">
          <cell r="A1085" t="str">
            <v>Agricultural cash income -- see Data2</v>
          </cell>
          <cell r="C1085">
            <v>0</v>
          </cell>
          <cell r="D1085">
            <v>0</v>
          </cell>
          <cell r="E1085">
            <v>1109</v>
          </cell>
          <cell r="F1085">
            <v>0</v>
          </cell>
          <cell r="H1085">
            <v>752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Labour migration(formal employment): no. people per HH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11000</v>
          </cell>
          <cell r="K1086">
            <v>0</v>
          </cell>
        </row>
        <row r="1087">
          <cell r="A1087" t="str">
            <v>Formal Employment (conservancies, etc.)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0</v>
          </cell>
          <cell r="I1087">
            <v>0</v>
          </cell>
          <cell r="J1087">
            <v>23760</v>
          </cell>
          <cell r="K1087">
            <v>0</v>
          </cell>
        </row>
        <row r="1088">
          <cell r="A1088" t="str">
            <v>Self-employment -- see Data2</v>
          </cell>
          <cell r="C1088">
            <v>0</v>
          </cell>
          <cell r="D1088">
            <v>0</v>
          </cell>
          <cell r="E1088">
            <v>0</v>
          </cell>
          <cell r="F1088">
            <v>0</v>
          </cell>
          <cell r="H1088">
            <v>429</v>
          </cell>
          <cell r="I1088">
            <v>85.799999999999955</v>
          </cell>
          <cell r="J1088">
            <v>0</v>
          </cell>
          <cell r="K1088">
            <v>0</v>
          </cell>
        </row>
        <row r="1089">
          <cell r="A1089" t="str">
            <v>Small business -- see Data2</v>
          </cell>
          <cell r="C1089">
            <v>0</v>
          </cell>
          <cell r="D1089">
            <v>0</v>
          </cell>
          <cell r="E1089">
            <v>0</v>
          </cell>
          <cell r="F1089">
            <v>0</v>
          </cell>
          <cell r="H1089">
            <v>2160</v>
          </cell>
          <cell r="I1089">
            <v>0</v>
          </cell>
          <cell r="J1089">
            <v>0</v>
          </cell>
          <cell r="K1089">
            <v>0</v>
          </cell>
        </row>
        <row r="1090">
          <cell r="A1090" t="str">
            <v>Social development -- see Data2</v>
          </cell>
          <cell r="C1090">
            <v>22020</v>
          </cell>
          <cell r="D1090">
            <v>0</v>
          </cell>
          <cell r="E1090">
            <v>22020</v>
          </cell>
          <cell r="F1090">
            <v>0</v>
          </cell>
          <cell r="H1090">
            <v>22020</v>
          </cell>
          <cell r="I1090">
            <v>0</v>
          </cell>
          <cell r="J1090">
            <v>6162</v>
          </cell>
          <cell r="K1090">
            <v>0</v>
          </cell>
        </row>
        <row r="1091">
          <cell r="A1091" t="str">
            <v>Public works -- see Data2</v>
          </cell>
          <cell r="C1091">
            <v>0</v>
          </cell>
          <cell r="D1091">
            <v>0</v>
          </cell>
          <cell r="E1091">
            <v>0</v>
          </cell>
          <cell r="F1091">
            <v>0</v>
          </cell>
          <cell r="H1091">
            <v>371</v>
          </cell>
          <cell r="I1091">
            <v>0</v>
          </cell>
          <cell r="J1091">
            <v>0</v>
          </cell>
          <cell r="K1091">
            <v>0</v>
          </cell>
        </row>
        <row r="1092">
          <cell r="A1092" t="str">
            <v>Other income: e.g. Credit (cotton loans)</v>
          </cell>
          <cell r="C1092">
            <v>0</v>
          </cell>
          <cell r="D1092">
            <v>0</v>
          </cell>
          <cell r="E1092">
            <v>0</v>
          </cell>
          <cell r="F1092">
            <v>0</v>
          </cell>
          <cell r="H1092">
            <v>1600</v>
          </cell>
          <cell r="I1092">
            <v>0</v>
          </cell>
          <cell r="J1092">
            <v>0</v>
          </cell>
          <cell r="K1092">
            <v>0</v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31" sqref="L131:M1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9" t="str">
        <f>Poor!Z1</f>
        <v>Apr-Jun</v>
      </c>
      <c r="AA1" s="260"/>
      <c r="AB1" s="259" t="str">
        <f>Poor!AB1</f>
        <v>Jul-Sep</v>
      </c>
      <c r="AC1" s="260"/>
      <c r="AD1" s="259" t="str">
        <f>Poor!AD1</f>
        <v>Oct-Dec</v>
      </c>
      <c r="AE1" s="260"/>
      <c r="AF1" s="259" t="str">
        <f>Poor!AF1</f>
        <v>Jan-Mar</v>
      </c>
      <c r="AG1" s="260"/>
      <c r="AH1" s="117"/>
      <c r="AI1" s="110"/>
      <c r="AJ1" s="196" t="str">
        <f>LEFT(Z1,4) &amp; MID(AB1,5,3)</f>
        <v>Apr-Sep</v>
      </c>
      <c r="AK1" s="197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6">
        <f>IF([1]Summ!C1044="",0,[1]Summ!C1044)</f>
        <v>1.4080012453300126E-2</v>
      </c>
      <c r="C6" s="216">
        <f>IF([1]Summ!D1044="",0,[1]Summ!D1044)</f>
        <v>0</v>
      </c>
      <c r="D6" s="24">
        <f t="shared" ref="D6:D28" si="0">(B6+C6)</f>
        <v>1.4080012453300126E-2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1.4080012453300126E-2</v>
      </c>
      <c r="J6" s="24">
        <f t="shared" ref="J6:J13" si="3">IF(I$32&lt;=1+I$131,I6,B6*H6+J$33*(I6-B6*H6))</f>
        <v>1.4080012453300126E-2</v>
      </c>
      <c r="K6" s="22">
        <f t="shared" ref="K6:K31" si="4">B6</f>
        <v>1.4080012453300126E-2</v>
      </c>
      <c r="L6" s="22">
        <f t="shared" ref="L6:L29" si="5">IF(K6="","",K6*H6)</f>
        <v>1.4080012453300126E-2</v>
      </c>
      <c r="M6" s="177">
        <f t="shared" ref="M6:M31" si="6">J6</f>
        <v>1.4080012453300126E-2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5.6320049813200504E-2</v>
      </c>
      <c r="Z6" s="156">
        <f>Poor!Z6</f>
        <v>0.17</v>
      </c>
      <c r="AA6" s="121">
        <f>$M6*Z6*4</f>
        <v>9.5744084682440871E-3</v>
      </c>
      <c r="AB6" s="156">
        <f>Poor!AB6</f>
        <v>0.17</v>
      </c>
      <c r="AC6" s="121">
        <f t="shared" ref="AC6:AC29" si="7">$M6*AB6*4</f>
        <v>9.5744084682440871E-3</v>
      </c>
      <c r="AD6" s="156">
        <f>Poor!AD6</f>
        <v>0.33</v>
      </c>
      <c r="AE6" s="121">
        <f t="shared" ref="AE6:AE29" si="8">$M6*AD6*4</f>
        <v>1.8585616438356167E-2</v>
      </c>
      <c r="AF6" s="122">
        <f>1-SUM(Z6,AB6,AD6)</f>
        <v>0.32999999999999996</v>
      </c>
      <c r="AG6" s="121">
        <f>$M6*AF6*4</f>
        <v>1.8585616438356163E-2</v>
      </c>
      <c r="AH6" s="123">
        <f>SUM(Z6,AB6,AD6,AF6)</f>
        <v>1</v>
      </c>
      <c r="AI6" s="184">
        <f>SUM(AA6,AC6,AE6,AG6)/4</f>
        <v>1.4080012453300126E-2</v>
      </c>
      <c r="AJ6" s="120">
        <f>(AA6+AC6)/2</f>
        <v>9.5744084682440871E-3</v>
      </c>
      <c r="AK6" s="119">
        <f>(AE6+AG6)/2</f>
        <v>1.8585616438356163E-2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216">
        <f>IF([1]Summ!C1045="",0,[1]Summ!C1045)</f>
        <v>2.3466687422166875E-3</v>
      </c>
      <c r="C7" s="216">
        <f>IF([1]Summ!D1045="",0,[1]Summ!D1045)</f>
        <v>0</v>
      </c>
      <c r="D7" s="24">
        <f t="shared" si="0"/>
        <v>2.3466687422166875E-3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2.3466687422166875E-3</v>
      </c>
      <c r="J7" s="24">
        <f t="shared" si="3"/>
        <v>2.3466687422166875E-3</v>
      </c>
      <c r="K7" s="22">
        <f t="shared" si="4"/>
        <v>2.3466687422166875E-3</v>
      </c>
      <c r="L7" s="22">
        <f t="shared" si="5"/>
        <v>2.3466687422166875E-3</v>
      </c>
      <c r="M7" s="177">
        <f t="shared" si="6"/>
        <v>2.3466687422166875E-3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2141.4760993113323</v>
      </c>
      <c r="S7" s="226">
        <f>IF($B$81=0,0,(SUMIF($N$6:$N$28,$U7,L$6:L$28)+SUMIF($N$91:$N$118,$U7,L$91:L$118))*$B$83*$H$84*Poor!$B$81/$B$81)</f>
        <v>2141.4760993113323</v>
      </c>
      <c r="T7" s="226">
        <f>IF($B$81=0,0,(SUMIF($N$6:$N$28,$U7,M$6:M$28)+SUMIF($N$91:$N$118,$U7,M$91:M$118))*$B$83*$H$84*Poor!$B$81/$B$81)</f>
        <v>2226.0064860516636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9.3866749688667501E-3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9.3866749688667501E-3</v>
      </c>
      <c r="AH7" s="123">
        <f t="shared" ref="AH7:AH30" si="12">SUM(Z7,AB7,AD7,AF7)</f>
        <v>1</v>
      </c>
      <c r="AI7" s="184">
        <f t="shared" ref="AI7:AI30" si="13">SUM(AA7,AC7,AE7,AG7)/4</f>
        <v>2.3466687422166875E-3</v>
      </c>
      <c r="AJ7" s="120">
        <f t="shared" ref="AJ7:AJ31" si="14">(AA7+AC7)/2</f>
        <v>0</v>
      </c>
      <c r="AK7" s="119">
        <f t="shared" ref="AK7:AK31" si="15">(AE7+AG7)/2</f>
        <v>4.693337484433375E-3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216">
        <f>IF([1]Summ!C1046="",0,[1]Summ!C1046)</f>
        <v>5.906425124533001E-3</v>
      </c>
      <c r="C8" s="216">
        <f>IF([1]Summ!D1046="",0,[1]Summ!D1046)</f>
        <v>0</v>
      </c>
      <c r="D8" s="24">
        <f t="shared" si="0"/>
        <v>5.906425124533001E-3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5.906425124533001E-3</v>
      </c>
      <c r="J8" s="24">
        <f t="shared" si="3"/>
        <v>5.906425124533001E-3</v>
      </c>
      <c r="K8" s="22">
        <f t="shared" si="4"/>
        <v>5.906425124533001E-3</v>
      </c>
      <c r="L8" s="22">
        <f t="shared" si="5"/>
        <v>5.906425124533001E-3</v>
      </c>
      <c r="M8" s="228">
        <f t="shared" si="6"/>
        <v>5.906425124533001E-3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0</v>
      </c>
      <c r="S8" s="226">
        <f>IF($B$81=0,0,(SUMIF($N$6:$N$28,$U8,L$6:L$28)+SUMIF($N$91:$N$118,$U8,L$91:L$118))*$B$83*$H$84*Poor!$B$81/$B$81)</f>
        <v>0</v>
      </c>
      <c r="T8" s="226">
        <f>IF($B$81=0,0,(SUMIF($N$6:$N$28,$U8,M$6:M$28)+SUMIF($N$91:$N$118,$U8,M$91:M$118))*$B$83*$H$84*Poor!$B$81/$B$81)</f>
        <v>0</v>
      </c>
      <c r="U8" s="227">
        <v>2</v>
      </c>
      <c r="V8" s="56"/>
      <c r="W8" s="115"/>
      <c r="X8" s="118">
        <f>Poor!X8</f>
        <v>1</v>
      </c>
      <c r="Y8" s="184">
        <f t="shared" si="9"/>
        <v>2.3625700498132004E-2</v>
      </c>
      <c r="Z8" s="125">
        <f>IF($Y8=0,0,AA8/$Y8)</f>
        <v>0.24674380946107596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5.8294953420955304E-3</v>
      </c>
      <c r="AB8" s="125">
        <f>IF($Y8=0,0,AC8/$Y8)</f>
        <v>0.7012412883064304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1.656731665445196E-2</v>
      </c>
      <c r="AD8" s="125">
        <f>IF($Y8=0,0,AE8/$Y8)</f>
        <v>5.201490223249372E-2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1.2288885015845144E-3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4">
        <f t="shared" si="13"/>
        <v>5.906425124533001E-3</v>
      </c>
      <c r="AJ8" s="120">
        <f t="shared" si="14"/>
        <v>1.1198405998273745E-2</v>
      </c>
      <c r="AK8" s="119">
        <f t="shared" si="15"/>
        <v>6.144442507922572E-4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216">
        <f>IF([1]Summ!C1047="",0,[1]Summ!C1047)</f>
        <v>4.2500000000000003E-2</v>
      </c>
      <c r="C9" s="216">
        <f>IF([1]Summ!D1047="",0,[1]Summ!D1047)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8">
        <f t="shared" si="6"/>
        <v>4.2500000000000003E-2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151.45508615079123</v>
      </c>
      <c r="S9" s="226">
        <f>IF($B$81=0,0,(SUMIF($N$6:$N$28,$U9,L$6:L$28)+SUMIF($N$91:$N$118,$U9,L$91:L$118))*$B$83*$H$84*Poor!$B$81/$B$81)</f>
        <v>151.45508615079123</v>
      </c>
      <c r="T9" s="226">
        <f>IF($B$81=0,0,(SUMIF($N$6:$N$28,$U9,M$6:M$28)+SUMIF($N$91:$N$118,$U9,M$91:M$118))*$B$83*$H$84*Poor!$B$81/$B$81)</f>
        <v>151.45508615079123</v>
      </c>
      <c r="U9" s="227">
        <v>3</v>
      </c>
      <c r="V9" s="56"/>
      <c r="W9" s="115"/>
      <c r="X9" s="118">
        <f>Poor!X9</f>
        <v>1</v>
      </c>
      <c r="Y9" s="184">
        <f t="shared" si="9"/>
        <v>0.17</v>
      </c>
      <c r="Z9" s="125">
        <f>IF($Y9=0,0,AA9/$Y9)</f>
        <v>0.24674380946107594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4.1946447608382911E-2</v>
      </c>
      <c r="AB9" s="125">
        <f>IF($Y9=0,0,AC9/$Y9)</f>
        <v>0.7012412883064304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0.11921101901209318</v>
      </c>
      <c r="AD9" s="125">
        <f>IF($Y9=0,0,AE9/$Y9)</f>
        <v>5.2014902232493596E-2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8.8425333795239119E-3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4">
        <f t="shared" si="13"/>
        <v>4.2499999999999996E-2</v>
      </c>
      <c r="AJ9" s="120">
        <f t="shared" si="14"/>
        <v>8.0578733310238043E-2</v>
      </c>
      <c r="AK9" s="119">
        <f t="shared" si="15"/>
        <v>4.421266689761956E-3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216">
        <f>IF([1]Summ!C1048="",0,[1]Summ!C1048)</f>
        <v>8.8718578767123274E-2</v>
      </c>
      <c r="C10" s="216">
        <f>IF([1]Summ!D1048="",0,[1]Summ!D1048)</f>
        <v>0</v>
      </c>
      <c r="D10" s="24">
        <f t="shared" si="0"/>
        <v>8.8718578767123274E-2</v>
      </c>
      <c r="E10" s="75">
        <f>Poor!E10</f>
        <v>1</v>
      </c>
      <c r="H10" s="24">
        <f t="shared" si="1"/>
        <v>1</v>
      </c>
      <c r="I10" s="22">
        <f t="shared" si="2"/>
        <v>8.8718578767123274E-2</v>
      </c>
      <c r="J10" s="24">
        <f t="shared" si="3"/>
        <v>8.8718578767123274E-2</v>
      </c>
      <c r="K10" s="22">
        <f t="shared" si="4"/>
        <v>8.8718578767123274E-2</v>
      </c>
      <c r="L10" s="22">
        <f t="shared" si="5"/>
        <v>8.8718578767123274E-2</v>
      </c>
      <c r="M10" s="228">
        <f t="shared" si="6"/>
        <v>8.8718578767123274E-2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0.3548743150684931</v>
      </c>
      <c r="Z10" s="125">
        <f>IF($Y10=0,0,AA10/$Y10)</f>
        <v>0.24674380946107596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8.75630403798901E-2</v>
      </c>
      <c r="AB10" s="125">
        <f>IF($Y10=0,0,AC10/$Y10)</f>
        <v>0.7012412883064304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0.24885252188549217</v>
      </c>
      <c r="AD10" s="125">
        <f>IF($Y10=0,0,AE10/$Y10)</f>
        <v>5.2014902232493665E-2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1.8458752803110823E-2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4">
        <f t="shared" si="13"/>
        <v>8.8718578767123274E-2</v>
      </c>
      <c r="AJ10" s="120">
        <f t="shared" si="14"/>
        <v>0.16820778113269114</v>
      </c>
      <c r="AK10" s="119">
        <f t="shared" si="15"/>
        <v>9.2293764015554114E-3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216">
        <f>IF([1]Summ!C1049="",0,[1]Summ!C1049)</f>
        <v>0</v>
      </c>
      <c r="C11" s="216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0</v>
      </c>
      <c r="S11" s="226">
        <f>IF($B$81=0,0,(SUMIF($N$6:$N$28,$U11,L$6:L$28)+SUMIF($N$91:$N$118,$U11,L$91:L$118))*$B$83*$H$84*Poor!$B$81/$B$81)</f>
        <v>0</v>
      </c>
      <c r="T11" s="226">
        <f>IF($B$81=0,0,(SUMIF($N$6:$N$28,$U11,M$6:M$28)+SUMIF($N$91:$N$118,$U11,M$91:M$118))*$B$83*$H$84*Poor!$B$81/$B$81)</f>
        <v>0</v>
      </c>
      <c r="U11" s="227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216">
        <f>IF([1]Summ!C1050="",0,[1]Summ!C1050)</f>
        <v>4.4188206724782075E-2</v>
      </c>
      <c r="C12" s="216">
        <f>IF([1]Summ!D1050="",0,[1]Summ!D1050)</f>
        <v>0</v>
      </c>
      <c r="D12" s="24">
        <f t="shared" si="0"/>
        <v>4.4188206724782075E-2</v>
      </c>
      <c r="E12" s="75">
        <f>Poor!E12</f>
        <v>1</v>
      </c>
      <c r="H12" s="24">
        <f t="shared" si="1"/>
        <v>1</v>
      </c>
      <c r="I12" s="22">
        <f t="shared" si="2"/>
        <v>4.4188206724782075E-2</v>
      </c>
      <c r="J12" s="24">
        <f t="shared" si="3"/>
        <v>4.4188206724782075E-2</v>
      </c>
      <c r="K12" s="22">
        <f t="shared" si="4"/>
        <v>4.4188206724782075E-2</v>
      </c>
      <c r="L12" s="22">
        <f t="shared" si="5"/>
        <v>4.4188206724782075E-2</v>
      </c>
      <c r="M12" s="228">
        <f t="shared" si="6"/>
        <v>4.4188206724782075E-2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>
        <v>1</v>
      </c>
      <c r="Y12" s="184">
        <f t="shared" si="9"/>
        <v>0.1767528268991283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0.11842439402241597</v>
      </c>
      <c r="AF12" s="122">
        <f>1-SUM(Z12,AB12,AD12)</f>
        <v>0.32999999999999996</v>
      </c>
      <c r="AG12" s="121">
        <f>$M12*AF12*4</f>
        <v>5.8328432876712334E-2</v>
      </c>
      <c r="AH12" s="123">
        <f t="shared" si="12"/>
        <v>1</v>
      </c>
      <c r="AI12" s="184">
        <f t="shared" si="13"/>
        <v>4.4188206724782075E-2</v>
      </c>
      <c r="AJ12" s="120">
        <f t="shared" si="14"/>
        <v>0</v>
      </c>
      <c r="AK12" s="119">
        <f t="shared" si="15"/>
        <v>8.8376413449564151E-2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216">
        <f>IF([1]Summ!C1051="",0,[1]Summ!C1051)</f>
        <v>4.9858374844333753E-2</v>
      </c>
      <c r="C13" s="216">
        <f>IF([1]Summ!D1051="",0,[1]Summ!D1051)</f>
        <v>1.2464593711083438E-2</v>
      </c>
      <c r="D13" s="24">
        <f t="shared" si="0"/>
        <v>6.2322968555417191E-2</v>
      </c>
      <c r="E13" s="75">
        <f>Poor!E13</f>
        <v>1</v>
      </c>
      <c r="H13" s="24">
        <f t="shared" si="1"/>
        <v>1</v>
      </c>
      <c r="I13" s="22">
        <f t="shared" si="2"/>
        <v>6.2322968555417191E-2</v>
      </c>
      <c r="J13" s="24">
        <f t="shared" si="3"/>
        <v>6.2322968555417191E-2</v>
      </c>
      <c r="K13" s="22">
        <f t="shared" si="4"/>
        <v>4.9858374844333753E-2</v>
      </c>
      <c r="L13" s="22">
        <f t="shared" si="5"/>
        <v>4.9858374844333753E-2</v>
      </c>
      <c r="M13" s="229">
        <f t="shared" si="6"/>
        <v>6.2322968555417191E-2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0.24929187422166876</v>
      </c>
      <c r="Z13" s="156">
        <f>Poor!Z13</f>
        <v>1</v>
      </c>
      <c r="AA13" s="121">
        <f>$M13*Z13*4</f>
        <v>0.24929187422166876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6.2322968555417191E-2</v>
      </c>
      <c r="AJ13" s="120">
        <f t="shared" si="14"/>
        <v>0.12464593711083438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216">
        <f>IF([1]Summ!C1052="",0,[1]Summ!C1052)</f>
        <v>0</v>
      </c>
      <c r="C14" s="216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216">
        <f>IF([1]Summ!C1053="",0,[1]Summ!C1053)</f>
        <v>0</v>
      </c>
      <c r="C15" s="216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128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216">
        <f>IF([1]Summ!C1054="",0,[1]Summ!C1054)</f>
        <v>2.5988480697384807E-2</v>
      </c>
      <c r="C16" s="216">
        <f>IF([1]Summ!D1054="",0,[1]Summ!D1054)</f>
        <v>0</v>
      </c>
      <c r="D16" s="24">
        <f t="shared" ref="D16:D25" si="18">(B16+C16)</f>
        <v>2.5988480697384807E-2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2.5988480697384807E-2</v>
      </c>
      <c r="J16" s="24">
        <f t="shared" si="17"/>
        <v>2.5988480697384807E-2</v>
      </c>
      <c r="K16" s="22">
        <f t="shared" ref="K16:K25" si="21">B16</f>
        <v>2.5988480697384807E-2</v>
      </c>
      <c r="L16" s="22">
        <f t="shared" ref="L16:L25" si="22">IF(K16="","",K16*H16)</f>
        <v>2.5988480697384807E-2</v>
      </c>
      <c r="M16" s="230">
        <f t="shared" ref="M16:M25" si="23">J16</f>
        <v>2.5988480697384807E-2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/>
      <c r="Z16" s="156"/>
      <c r="AA16" s="121"/>
      <c r="AB16" s="156"/>
      <c r="AC16" s="121"/>
      <c r="AD16" s="156"/>
      <c r="AE16" s="121"/>
      <c r="AF16" s="122"/>
      <c r="AG16" s="121"/>
      <c r="AH16" s="123"/>
      <c r="AI16" s="184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216">
        <f>IF([1]Summ!C1055="",0,[1]Summ!C1055)</f>
        <v>3.3018953144458282E-2</v>
      </c>
      <c r="C17" s="216">
        <f>IF([1]Summ!D1055="",0,[1]Summ!D1055)</f>
        <v>0</v>
      </c>
      <c r="D17" s="24">
        <f t="shared" si="18"/>
        <v>3.3018953144458282E-2</v>
      </c>
      <c r="E17" s="75">
        <f>Poor!E17</f>
        <v>1</v>
      </c>
      <c r="F17" s="22"/>
      <c r="H17" s="24">
        <f t="shared" si="19"/>
        <v>1</v>
      </c>
      <c r="I17" s="22">
        <f t="shared" si="20"/>
        <v>3.3018953144458282E-2</v>
      </c>
      <c r="J17" s="24">
        <f t="shared" si="17"/>
        <v>3.3018953144458282E-2</v>
      </c>
      <c r="K17" s="22">
        <f t="shared" si="21"/>
        <v>3.3018953144458282E-2</v>
      </c>
      <c r="L17" s="22">
        <f t="shared" si="22"/>
        <v>3.3018953144458282E-2</v>
      </c>
      <c r="M17" s="230">
        <f t="shared" si="23"/>
        <v>3.3018953144458282E-2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/>
      <c r="Z17" s="156"/>
      <c r="AA17" s="121"/>
      <c r="AB17" s="156"/>
      <c r="AC17" s="121"/>
      <c r="AD17" s="156"/>
      <c r="AE17" s="121"/>
      <c r="AF17" s="122"/>
      <c r="AG17" s="121"/>
      <c r="AH17" s="123"/>
      <c r="AI17" s="184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216">
        <f>IF([1]Summ!C1056="",0,[1]Summ!C1056)</f>
        <v>6.1099003735990039E-3</v>
      </c>
      <c r="C18" s="216">
        <f>IF([1]Summ!D1056="",0,[1]Summ!D1056)</f>
        <v>0</v>
      </c>
      <c r="D18" s="24">
        <f t="shared" si="18"/>
        <v>6.1099003735990039E-3</v>
      </c>
      <c r="E18" s="75">
        <f>Poor!E18</f>
        <v>1</v>
      </c>
      <c r="F18" s="22"/>
      <c r="H18" s="24">
        <f t="shared" si="19"/>
        <v>1</v>
      </c>
      <c r="I18" s="22">
        <f t="shared" si="20"/>
        <v>6.1099003735990039E-3</v>
      </c>
      <c r="J18" s="24">
        <f t="shared" si="17"/>
        <v>6.1099003735990039E-3</v>
      </c>
      <c r="K18" s="22">
        <f t="shared" si="21"/>
        <v>6.1099003735990039E-3</v>
      </c>
      <c r="L18" s="22">
        <f t="shared" si="22"/>
        <v>6.1099003735990039E-3</v>
      </c>
      <c r="M18" s="230">
        <f t="shared" si="23"/>
        <v>6.1099003735990039E-3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807.33808994213837</v>
      </c>
      <c r="S18" s="226">
        <f>IF($B$81=0,0,(SUMIF($N$6:$N$28,$U18,L$6:L$28)+SUMIF($N$91:$N$118,$U18,L$91:L$118))*$B$83*$H$84*Poor!$B$81/$B$81)</f>
        <v>807.33808994213837</v>
      </c>
      <c r="T18" s="226">
        <f>IF($B$81=0,0,(SUMIF($N$6:$N$28,$U18,M$6:M$28)+SUMIF($N$91:$N$118,$U18,M$91:M$118))*$B$83*$H$84*Poor!$B$81/$B$81)</f>
        <v>807.33808994213837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216">
        <f>IF([1]Summ!C1057="",0,[1]Summ!C1057)</f>
        <v>2.5393057285180574E-2</v>
      </c>
      <c r="C19" s="216">
        <f>IF([1]Summ!D1057="",0,[1]Summ!D1057)</f>
        <v>0</v>
      </c>
      <c r="D19" s="24">
        <f t="shared" si="18"/>
        <v>2.5393057285180574E-2</v>
      </c>
      <c r="E19" s="75">
        <f>Poor!E19</f>
        <v>1</v>
      </c>
      <c r="F19" s="22"/>
      <c r="H19" s="24">
        <f t="shared" si="19"/>
        <v>1</v>
      </c>
      <c r="I19" s="22">
        <f t="shared" si="20"/>
        <v>2.5393057285180574E-2</v>
      </c>
      <c r="J19" s="24">
        <f t="shared" si="17"/>
        <v>2.5393057285180574E-2</v>
      </c>
      <c r="K19" s="22">
        <f t="shared" si="21"/>
        <v>2.5393057285180574E-2</v>
      </c>
      <c r="L19" s="22">
        <f t="shared" si="22"/>
        <v>2.5393057285180574E-2</v>
      </c>
      <c r="M19" s="230">
        <f t="shared" si="23"/>
        <v>2.5393057285180574E-2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216">
        <f>IF([1]Summ!C1058="",0,[1]Summ!C1058)</f>
        <v>0</v>
      </c>
      <c r="C20" s="216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30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22020</v>
      </c>
      <c r="S20" s="226">
        <f>IF($B$81=0,0,(SUMIF($N$6:$N$28,$U20,L$6:L$28)+SUMIF($N$91:$N$118,$U20,L$91:L$118))*$B$83*$H$84*Poor!$B$81/$B$81)</f>
        <v>22020</v>
      </c>
      <c r="T20" s="226">
        <f>IF($B$81=0,0,(SUMIF($N$6:$N$28,$U20,M$6:M$28)+SUMIF($N$91:$N$118,$U20,M$91:M$118))*$B$83*$H$84*Poor!$B$81/$B$81)</f>
        <v>22020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216">
        <f>IF([1]Summ!C1059="",0,[1]Summ!C1059)</f>
        <v>0</v>
      </c>
      <c r="C21" s="216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30">
        <f t="shared" si="23"/>
        <v>0</v>
      </c>
      <c r="N21" s="233">
        <v>7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216">
        <f>IF([1]Summ!C1060="",0,[1]Summ!C1060)</f>
        <v>0</v>
      </c>
      <c r="C22" s="216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30">
        <f t="shared" si="23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216">
        <f>IF([1]Summ!C1061="",0,[1]Summ!C1061)</f>
        <v>0</v>
      </c>
      <c r="C23" s="216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30">
        <f t="shared" si="23"/>
        <v>0</v>
      </c>
      <c r="N23" s="233">
        <v>13</v>
      </c>
      <c r="O23" s="2"/>
      <c r="P23" s="22"/>
      <c r="Q23" s="171" t="s">
        <v>100</v>
      </c>
      <c r="R23" s="179">
        <f>SUM(R7:R22)</f>
        <v>25120.269275404262</v>
      </c>
      <c r="S23" s="179">
        <f>SUM(S7:S22)</f>
        <v>25120.269275404262</v>
      </c>
      <c r="T23" s="179">
        <f>SUM(T7:T22)</f>
        <v>25204.799662144593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216">
        <f>IF([1]Summ!C1062="",0,[1]Summ!C1062)</f>
        <v>0</v>
      </c>
      <c r="C24" s="216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30">
        <f t="shared" si="23"/>
        <v>0</v>
      </c>
      <c r="N24" s="233">
        <v>13</v>
      </c>
      <c r="O24" s="2"/>
      <c r="P24" s="22"/>
      <c r="Q24" s="59" t="s">
        <v>137</v>
      </c>
      <c r="R24" s="41">
        <f>IF($B$81=0,0,($B$124*$H$124)+1-($D$29*$H$29)-($D$28*$H$28))*$I$83*Poor!$B$81/$B$81</f>
        <v>17059.8252222761</v>
      </c>
      <c r="S24" s="41">
        <f>IF($B$81=0,0,($B$124*($H$124)+1-($D$29*$H$29)-($D$28*$H$28))*$I$83*Poor!$B$81/$B$81)</f>
        <v>17059.8252222761</v>
      </c>
      <c r="T24" s="41">
        <f>IF($B$81=0,0,($B$124*($H$124)+1-($D$29*$H$29)-($D$28*$H$28))*$I$83*Poor!$B$81/$B$81)</f>
        <v>17059.8252222761</v>
      </c>
      <c r="U24" s="56"/>
      <c r="V24" s="56"/>
      <c r="W24" s="110"/>
      <c r="X24" s="118"/>
      <c r="Y24" s="184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4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6">
        <f>IF([1]Summ!C1063="",0,[1]Summ!C1063)</f>
        <v>0</v>
      </c>
      <c r="C25" s="216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30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31038.491888942768</v>
      </c>
      <c r="S25" s="41">
        <f>IF($B$81=0,0,($B$124*$H$124)+($B$125*$H$125*$H$84)+1-($D$29*$H$29)-($D$28*$H$28))*$I$83*Poor!$B$81/$B$81</f>
        <v>31038.491888942768</v>
      </c>
      <c r="T25" s="41">
        <f>IF($B$81=0,0,($B$124*$H$124)+($B$125*$H$125*$H$84)+1-($D$29*$H$29)-($D$28*$H$28))*$I$83*Poor!$B$81/$B$81</f>
        <v>31038.491888942768</v>
      </c>
      <c r="U25" s="56"/>
      <c r="V25" s="56"/>
      <c r="W25" s="110"/>
      <c r="X25" s="118"/>
      <c r="Y25" s="184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4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6">
        <f>IF([1]Summ!C1064="",0,[1]Summ!C1064)</f>
        <v>0.11904761904761904</v>
      </c>
      <c r="C26" s="216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58782.491888942779</v>
      </c>
      <c r="S26" s="41">
        <f>IF($B$81=0,0,($B$124*$H$124)+($B$125*$H$125*$H$84)+($B$126*$H$126*$H$84)+1-($D$29*$H$29)-($D$28*$H$28))*$I$83*Poor!$B$81/$B$81</f>
        <v>58782.491888942779</v>
      </c>
      <c r="T26" s="41">
        <f>IF($B$81=0,0,($B$124*$H$124)+($B$125*$H$125*$H$84)+($B$126*$H$126*$H$84)+1-($D$29*$H$29)-($D$28*$H$28))*$I$83*Poor!$B$81/$B$81</f>
        <v>58782.491888942779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6">
        <f>IF([1]Summ!C1065="",0,[1]Summ!C1065)</f>
        <v>3.314115504358655E-2</v>
      </c>
      <c r="C27" s="216">
        <f>IF([1]Summ!D1065="",0,[1]Summ!D1065)</f>
        <v>-3.314115504358655E-2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61582.491888942779</v>
      </c>
      <c r="S27" s="41">
        <f>IF($B$81=0,0,($B$124*$H$124)+($B$125*$H$125*$H$84)+($B$126*$H$126*$H$84)+($B$127*$H$127*$H$84)+1-($D$29*$H$29)-($D$28*$H$28))*$I$83*Poor!$B$81/$B$81</f>
        <v>61582.491888942779</v>
      </c>
      <c r="T27" s="41">
        <f>IF($B$81=0,0,($B$124*$H$124)+($B$125*$H$125*$H$84)+($B$126*$H$126*$H$84)+($B$127*$H$127*$H$84)+1-($D$29*$H$29)-($D$28*$H$28))*$I$83*Poor!$B$81/$B$81</f>
        <v>61582.491888942779</v>
      </c>
      <c r="U27" s="56"/>
      <c r="V27" s="56"/>
      <c r="W27" s="110"/>
      <c r="X27" s="118"/>
      <c r="Y27" s="184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6">
        <f>IF([1]Summ!C1066="",0,[1]Summ!C1066)</f>
        <v>6.7650971357409703E-2</v>
      </c>
      <c r="C28" s="216">
        <f>IF([1]Summ!D1066="",0,[1]Summ!D1066)</f>
        <v>-6.7650971357409703E-2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0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6">
        <f>IF([1]Summ!C1067="",0,[1]Summ!C1067)</f>
        <v>0.26622091064757164</v>
      </c>
      <c r="C29" s="216">
        <f>IF([1]Summ!D1067="",0,[1]Summ!D1067)</f>
        <v>0.22052620428452788</v>
      </c>
      <c r="D29" s="24">
        <f>(B29+C29)</f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0.48674711493209954</v>
      </c>
      <c r="K29" s="22">
        <f t="shared" si="4"/>
        <v>0.26622091064757164</v>
      </c>
      <c r="L29" s="22">
        <f t="shared" si="5"/>
        <v>0.26622091064757164</v>
      </c>
      <c r="M29" s="228">
        <f t="shared" si="6"/>
        <v>0.48674711493209954</v>
      </c>
      <c r="N29" s="233"/>
      <c r="P29" s="22"/>
      <c r="V29" s="56"/>
      <c r="W29" s="110"/>
      <c r="X29" s="118"/>
      <c r="Y29" s="184">
        <f t="shared" si="9"/>
        <v>1.9469884597283982</v>
      </c>
      <c r="Z29" s="156">
        <f>Poor!Z29</f>
        <v>0.25</v>
      </c>
      <c r="AA29" s="121">
        <f t="shared" si="16"/>
        <v>0.48674711493209954</v>
      </c>
      <c r="AB29" s="156">
        <f>Poor!AB29</f>
        <v>0.25</v>
      </c>
      <c r="AC29" s="121">
        <f t="shared" si="7"/>
        <v>0.48674711493209954</v>
      </c>
      <c r="AD29" s="156">
        <f>Poor!AD29</f>
        <v>0.25</v>
      </c>
      <c r="AE29" s="121">
        <f t="shared" si="8"/>
        <v>0.48674711493209954</v>
      </c>
      <c r="AF29" s="122">
        <f t="shared" si="10"/>
        <v>0.25</v>
      </c>
      <c r="AG29" s="121">
        <f t="shared" si="11"/>
        <v>0.48674711493209954</v>
      </c>
      <c r="AH29" s="123">
        <f t="shared" si="12"/>
        <v>1</v>
      </c>
      <c r="AI29" s="184">
        <f t="shared" si="13"/>
        <v>0.48674711493209954</v>
      </c>
      <c r="AJ29" s="120">
        <f t="shared" si="14"/>
        <v>0.48674711493209954</v>
      </c>
      <c r="AK29" s="119">
        <f t="shared" si="15"/>
        <v>0.48674711493209954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6">
        <f>IF([1]Summ!C1068="",0,[1]Summ!C1068)</f>
        <v>0.42487156288916561</v>
      </c>
      <c r="C30" s="103"/>
      <c r="D30" s="24">
        <f>(D119-B124)</f>
        <v>1.244665170335407</v>
      </c>
      <c r="E30" s="75">
        <f>Poor!E30</f>
        <v>1</v>
      </c>
      <c r="H30" s="96">
        <f>(E30*F$7/F$9)</f>
        <v>1</v>
      </c>
      <c r="I30" s="29">
        <f>IF(E30&gt;=1,I119-I124,MIN(I119-I124,B30*H30))</f>
        <v>1.244665170335407</v>
      </c>
      <c r="J30" s="235">
        <f>IF(I$32&lt;=$B$32,I30,$B$32-SUM(J6:J29))</f>
        <v>0.29267289129455043</v>
      </c>
      <c r="K30" s="22">
        <f t="shared" si="4"/>
        <v>0.42487156288916561</v>
      </c>
      <c r="L30" s="22">
        <f>IF(L124=L119,0,IF(K30="",0,(L119-L124)/(B119-B124)*K30))</f>
        <v>0.42487156288916561</v>
      </c>
      <c r="M30" s="175">
        <f t="shared" si="6"/>
        <v>0.29267289129455043</v>
      </c>
      <c r="N30" s="166" t="s">
        <v>86</v>
      </c>
      <c r="O30" s="2"/>
      <c r="P30" s="22"/>
      <c r="Q30" s="56" t="s">
        <v>141</v>
      </c>
      <c r="R30" s="238">
        <f t="shared" ref="R30:T33" si="24">IF(R24&gt;R$23,R24-R$23,0)</f>
        <v>0</v>
      </c>
      <c r="S30" s="238">
        <f t="shared" si="24"/>
        <v>0</v>
      </c>
      <c r="T30" s="238">
        <f t="shared" si="24"/>
        <v>0</v>
      </c>
      <c r="U30" s="56"/>
      <c r="V30" s="56"/>
      <c r="W30" s="110"/>
      <c r="X30" s="118"/>
      <c r="Y30" s="184">
        <f>M30*4</f>
        <v>1.1706915651782017</v>
      </c>
      <c r="Z30" s="122">
        <f>IF($Y30=0,0,AA30/($Y$30))</f>
        <v>-1.7103882103372021</v>
      </c>
      <c r="AA30" s="188">
        <f>IF(AA79*4/$I$83+SUM(AA6:AA29)&lt;1,AA79*4/$I$83,1-SUM(AA6:AA29))</f>
        <v>-2.0023370510220024</v>
      </c>
      <c r="AB30" s="122">
        <f>IF($Y30=0,0,AC30/($Y$30))</f>
        <v>-1.7103882103372021</v>
      </c>
      <c r="AC30" s="188">
        <f>IF(AC79*4/$I$83+SUM(AC6:AC29)&lt;1,AC79*4/$I$83,1-SUM(AC6:AC29))</f>
        <v>-2.0023370510220024</v>
      </c>
      <c r="AD30" s="122">
        <f>IF($Y30=0,0,AE30/($Y$30))</f>
        <v>-1.7103882103372021</v>
      </c>
      <c r="AE30" s="188">
        <f>IF(AE79*4/$I$83+SUM(AE6:AE29)&lt;1,AE79*4/$I$83,1-SUM(AE6:AE29))</f>
        <v>-2.0023370510220024</v>
      </c>
      <c r="AF30" s="122">
        <f>IF($Y30=0,0,AG30/($Y$30))</f>
        <v>-1.7103882103372021</v>
      </c>
      <c r="AG30" s="188">
        <f>IF(AG79*4/$I$83+SUM(AG6:AG29)&lt;1,AG79*4/$I$83,1-SUM(AG6:AG29))</f>
        <v>-2.0023370510220024</v>
      </c>
      <c r="AH30" s="123">
        <f t="shared" si="12"/>
        <v>-6.8415528413488085</v>
      </c>
      <c r="AI30" s="184">
        <f t="shared" si="13"/>
        <v>-2.0023370510220024</v>
      </c>
      <c r="AJ30" s="120">
        <f t="shared" si="14"/>
        <v>-2.0023370510220024</v>
      </c>
      <c r="AK30" s="119">
        <f t="shared" si="15"/>
        <v>-2.0023370510220024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6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-0.24904087714226408</v>
      </c>
      <c r="M31" s="245">
        <f t="shared" si="6"/>
        <v>0</v>
      </c>
      <c r="N31" s="167">
        <f>M31*I83</f>
        <v>0</v>
      </c>
      <c r="P31" s="22"/>
      <c r="Q31" s="59" t="s">
        <v>142</v>
      </c>
      <c r="R31" s="238">
        <f t="shared" si="24"/>
        <v>5918.2226135385063</v>
      </c>
      <c r="S31" s="238">
        <f t="shared" si="24"/>
        <v>5918.2226135385063</v>
      </c>
      <c r="T31" s="238">
        <f t="shared" si="24"/>
        <v>5833.6922267981754</v>
      </c>
      <c r="U31" s="246">
        <f>T31/$B$81</f>
        <v>729.21152834977192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2.0023370510220024</v>
      </c>
      <c r="AB31" s="131"/>
      <c r="AC31" s="133">
        <f>1-AC32+IF($Y32&lt;0,$Y32/4,0)</f>
        <v>2.0023370510220024</v>
      </c>
      <c r="AD31" s="134"/>
      <c r="AE31" s="133">
        <f>1-AE32+IF($Y32&lt;0,$Y32/4,0)</f>
        <v>2.2310021318972924</v>
      </c>
      <c r="AF31" s="134"/>
      <c r="AG31" s="133">
        <f>1-AG32+IF($Y32&lt;0,$Y32/4,0)</f>
        <v>2.3102415927583486</v>
      </c>
      <c r="AH31" s="123"/>
      <c r="AI31" s="183">
        <f>SUM(AA31,AC31,AE31,AG31)/4</f>
        <v>2.1364794566749117</v>
      </c>
      <c r="AJ31" s="135">
        <f t="shared" si="14"/>
        <v>2.0023370510220024</v>
      </c>
      <c r="AK31" s="136">
        <f t="shared" si="15"/>
        <v>2.2706218623278205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22">
        <f>SUM(B6:B30)</f>
        <v>1.2490408771422641</v>
      </c>
      <c r="C32" s="77">
        <f>SUM(C6:C31)</f>
        <v>0.13219867159461507</v>
      </c>
      <c r="D32" s="24">
        <f>SUM(D6:D30)</f>
        <v>2.2010331561831205</v>
      </c>
      <c r="E32" s="2"/>
      <c r="F32" s="2"/>
      <c r="H32" s="17"/>
      <c r="I32" s="22">
        <f>SUM(I6:I30)</f>
        <v>2.2010331561831205</v>
      </c>
      <c r="J32" s="17"/>
      <c r="L32" s="22">
        <f>SUM(L6:L30)</f>
        <v>1.2490408771422641</v>
      </c>
      <c r="M32" s="23"/>
      <c r="N32" s="56"/>
      <c r="O32" s="2"/>
      <c r="P32" s="22"/>
      <c r="Q32" s="56" t="s">
        <v>143</v>
      </c>
      <c r="R32" s="238">
        <f t="shared" si="24"/>
        <v>33662.222613538514</v>
      </c>
      <c r="S32" s="238">
        <f t="shared" si="24"/>
        <v>33662.222613538514</v>
      </c>
      <c r="T32" s="238">
        <f t="shared" si="24"/>
        <v>33577.692226798186</v>
      </c>
      <c r="U32" s="56"/>
      <c r="V32" s="56"/>
      <c r="W32" s="110"/>
      <c r="X32" s="118"/>
      <c r="Y32" s="115">
        <f>SUM(Y6:Y31)</f>
        <v>4.6341219425665656</v>
      </c>
      <c r="Z32" s="137"/>
      <c r="AA32" s="138">
        <f>SUM(AA6:AA30)</f>
        <v>-1.0023370510220024</v>
      </c>
      <c r="AB32" s="137"/>
      <c r="AC32" s="139">
        <f>SUM(AC6:AC30)</f>
        <v>-1.0023370510220024</v>
      </c>
      <c r="AD32" s="137"/>
      <c r="AE32" s="139">
        <f>SUM(AE6:AE30)</f>
        <v>-1.2310021318972924</v>
      </c>
      <c r="AF32" s="137"/>
      <c r="AG32" s="139">
        <f>SUM(AG6:AG30)</f>
        <v>-1.3102415927583486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0.17210077187900114</v>
      </c>
      <c r="K33" s="14"/>
      <c r="L33" s="11"/>
      <c r="M33" s="30"/>
      <c r="N33" s="168" t="s">
        <v>87</v>
      </c>
      <c r="O33" s="2"/>
      <c r="P33" s="2"/>
      <c r="Q33" s="59" t="s">
        <v>144</v>
      </c>
      <c r="R33" s="238">
        <f t="shared" si="24"/>
        <v>36462.222613538514</v>
      </c>
      <c r="S33" s="238">
        <f t="shared" si="24"/>
        <v>36462.222613538514</v>
      </c>
      <c r="T33" s="238">
        <f t="shared" si="24"/>
        <v>36377.692226798186</v>
      </c>
      <c r="U33" s="56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7522.5977897823977</v>
      </c>
      <c r="O34" s="2"/>
      <c r="P34" s="2"/>
      <c r="Q34" s="2"/>
      <c r="R34" s="220"/>
      <c r="S34" s="2"/>
      <c r="T34" s="2"/>
      <c r="U34" s="56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Q35" s="2"/>
      <c r="R35" s="221"/>
      <c r="S35" s="2"/>
      <c r="T35" s="2"/>
      <c r="U35" s="56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6" t="s">
        <v>145</v>
      </c>
      <c r="R36" s="2"/>
      <c r="S36" s="2"/>
      <c r="T36" s="221">
        <f>T31/I83</f>
        <v>0.86021851131376603</v>
      </c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7">
        <f>IF([1]Summ!C1072="",0,[1]Summ!C1072)</f>
        <v>0</v>
      </c>
      <c r="C37" s="217">
        <f>IF([1]Summ!D1072="",0,[1]Summ!D1072)</f>
        <v>0</v>
      </c>
      <c r="D37" s="38">
        <f t="shared" ref="D37:D64" si="25">B37+C37</f>
        <v>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6">(E37*F37)</f>
        <v>1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7">
        <f>IF([1]Summ!C1073="",0,[1]Summ!C1073)</f>
        <v>0</v>
      </c>
      <c r="C38" s="217">
        <f>IF([1]Summ!D1073="",0,[1]Summ!D1073)</f>
        <v>0</v>
      </c>
      <c r="D38" s="38">
        <f t="shared" si="25"/>
        <v>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30">(E38*F38)</f>
        <v>1</v>
      </c>
      <c r="I38" s="39">
        <f t="shared" ref="I38:I64" si="31">D38*H38</f>
        <v>0</v>
      </c>
      <c r="J38" s="38">
        <f t="shared" ref="J38:J64" si="32">J92*I$83</f>
        <v>0</v>
      </c>
      <c r="K38" s="40">
        <f t="shared" ref="K38:K64" si="33">(B38/B$65)</f>
        <v>0</v>
      </c>
      <c r="L38" s="22">
        <f t="shared" ref="L38:L64" si="34">(K38*H38)</f>
        <v>0</v>
      </c>
      <c r="M38" s="24">
        <f t="shared" ref="M38:M64" si="35">J38/B$65</f>
        <v>0</v>
      </c>
      <c r="N38" s="2"/>
      <c r="O38" s="2"/>
      <c r="P38" s="2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1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0</v>
      </c>
      <c r="AJ38" s="148">
        <f t="shared" ref="AJ38:AJ64" si="38">(AA38+AC38)</f>
        <v>0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Chicken sales: no. sold</v>
      </c>
      <c r="B39" s="217">
        <f>IF([1]Summ!C1074="",0,[1]Summ!C1074)</f>
        <v>0</v>
      </c>
      <c r="C39" s="217">
        <f>IF([1]Summ!D1074="",0,[1]Summ!D1074)</f>
        <v>0</v>
      </c>
      <c r="D39" s="38">
        <f t="shared" si="25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30"/>
        <v>1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V39" s="56"/>
      <c r="W39" s="115"/>
      <c r="X39" s="118"/>
      <c r="Y39" s="110"/>
      <c r="Z39" s="122">
        <f>Z8</f>
        <v>0.24674380946107596</v>
      </c>
      <c r="AA39" s="147">
        <f t="shared" ref="AA39:AA64" si="40">$J39*Z39</f>
        <v>0</v>
      </c>
      <c r="AB39" s="122">
        <f>AB8</f>
        <v>0.7012412883064304</v>
      </c>
      <c r="AC39" s="147">
        <f t="shared" ref="AC39:AC64" si="41">$J39*AB39</f>
        <v>0</v>
      </c>
      <c r="AD39" s="122">
        <f>AD8</f>
        <v>5.201490223249372E-2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Maize: kg produced</v>
      </c>
      <c r="B40" s="217">
        <f>IF([1]Summ!C1075="",0,[1]Summ!C1075)</f>
        <v>0</v>
      </c>
      <c r="C40" s="217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30"/>
        <v>1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V40" s="56"/>
      <c r="W40" s="115"/>
      <c r="X40" s="118">
        <f>X9</f>
        <v>1</v>
      </c>
      <c r="Y40" s="110"/>
      <c r="Z40" s="122">
        <f>Z9</f>
        <v>0.24674380946107594</v>
      </c>
      <c r="AA40" s="147">
        <f t="shared" si="40"/>
        <v>0</v>
      </c>
      <c r="AB40" s="122">
        <f>AB9</f>
        <v>0.7012412883064304</v>
      </c>
      <c r="AC40" s="147">
        <f t="shared" si="41"/>
        <v>0</v>
      </c>
      <c r="AD40" s="122">
        <f>AD9</f>
        <v>5.2014902232493596E-2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Beans: kg produced</v>
      </c>
      <c r="B41" s="217">
        <f>IF([1]Summ!C1076="",0,[1]Summ!C1076)</f>
        <v>0</v>
      </c>
      <c r="C41" s="217">
        <f>IF([1]Summ!D1076="",0,[1]Summ!D1076)</f>
        <v>0</v>
      </c>
      <c r="D41" s="38">
        <f t="shared" si="25"/>
        <v>0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30"/>
        <v>1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Water melon: no. local meas (Bhece)</v>
      </c>
      <c r="B42" s="217">
        <f>IF([1]Summ!C1077="",0,[1]Summ!C1077)</f>
        <v>0</v>
      </c>
      <c r="C42" s="217">
        <f>IF([1]Summ!D1077="",0,[1]Summ!D1077)</f>
        <v>0</v>
      </c>
      <c r="D42" s="38">
        <f t="shared" si="25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30"/>
        <v>1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Sweet poatato: no. local meas</v>
      </c>
      <c r="B43" s="217">
        <f>IF([1]Summ!C1078="",0,[1]Summ!C1078)</f>
        <v>0</v>
      </c>
      <c r="C43" s="217">
        <f>IF([1]Summ!D1078="",0,[1]Summ!D1078)</f>
        <v>0</v>
      </c>
      <c r="D43" s="38">
        <f t="shared" si="25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30"/>
        <v>1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Groundnuts (dry): no. local meas</v>
      </c>
      <c r="B44" s="217">
        <f>IF([1]Summ!C1079="",0,[1]Summ!C1079)</f>
        <v>0</v>
      </c>
      <c r="C44" s="217">
        <f>IF([1]Summ!D1079="",0,[1]Summ!D1079)</f>
        <v>0</v>
      </c>
      <c r="D44" s="38">
        <f t="shared" si="25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30"/>
        <v>1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59"/>
      <c r="R44" s="224"/>
      <c r="S44" s="224"/>
      <c r="T44" s="224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Irish potato: type</v>
      </c>
      <c r="B45" s="217">
        <f>IF([1]Summ!C1080="",0,[1]Summ!C1080)</f>
        <v>0</v>
      </c>
      <c r="C45" s="217">
        <f>IF([1]Summ!D1080="",0,[1]Summ!D1080)</f>
        <v>0</v>
      </c>
      <c r="D45" s="38">
        <f t="shared" si="25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30"/>
        <v>1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Yam: type</v>
      </c>
      <c r="B46" s="217">
        <f>IF([1]Summ!C1081="",0,[1]Summ!C1081)</f>
        <v>0</v>
      </c>
      <c r="C46" s="217">
        <f>IF([1]Summ!D1081="",0,[1]Summ!D1081)</f>
        <v>0</v>
      </c>
      <c r="D46" s="38">
        <f t="shared" si="25"/>
        <v>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30"/>
        <v>1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Spinach (cash): kg produced</v>
      </c>
      <c r="B47" s="217">
        <f>IF([1]Summ!C1082="",0,[1]Summ!C1082)</f>
        <v>0</v>
      </c>
      <c r="C47" s="217">
        <f>IF([1]Summ!D1082="",0,[1]Summ!D1082)</f>
        <v>0</v>
      </c>
      <c r="D47" s="38">
        <f t="shared" si="25"/>
        <v>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30"/>
        <v>1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Tomatoes (cash): kg produced</v>
      </c>
      <c r="B48" s="217">
        <f>IF([1]Summ!C1083="",0,[1]Summ!C1083)</f>
        <v>0</v>
      </c>
      <c r="C48" s="217">
        <f>IF([1]Summ!D1083="",0,[1]Summ!D1083)</f>
        <v>0</v>
      </c>
      <c r="D48" s="38">
        <f t="shared" si="25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30"/>
        <v>1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Cabbage (cash): kg produced</v>
      </c>
      <c r="B49" s="217">
        <f>IF([1]Summ!C1084="",0,[1]Summ!C1084)</f>
        <v>0</v>
      </c>
      <c r="C49" s="217">
        <f>IF([1]Summ!D1084="",0,[1]Summ!D1084)</f>
        <v>0</v>
      </c>
      <c r="D49" s="38">
        <f t="shared" si="25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30"/>
        <v>1</v>
      </c>
      <c r="I49" s="39">
        <f t="shared" si="31"/>
        <v>0</v>
      </c>
      <c r="J49" s="38">
        <f t="shared" si="32"/>
        <v>0</v>
      </c>
      <c r="K49" s="40">
        <f t="shared" si="33"/>
        <v>0</v>
      </c>
      <c r="L49" s="22">
        <f t="shared" si="34"/>
        <v>0</v>
      </c>
      <c r="M49" s="24">
        <f t="shared" si="35"/>
        <v>0</v>
      </c>
      <c r="N49" s="2"/>
      <c r="O49" s="2"/>
      <c r="P49" s="2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Agricultural cash income -- see Data2</v>
      </c>
      <c r="B50" s="217">
        <f>IF([1]Summ!C1085="",0,[1]Summ!C1085)</f>
        <v>0</v>
      </c>
      <c r="C50" s="217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30"/>
        <v>1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Labour migration(formal employment): no. people per HH</v>
      </c>
      <c r="B51" s="217">
        <f>IF([1]Summ!C1086="",0,[1]Summ!C1086)</f>
        <v>0</v>
      </c>
      <c r="C51" s="217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Formal Employment (conservancies, etc.)</v>
      </c>
      <c r="B52" s="217">
        <f>IF([1]Summ!C1087="",0,[1]Summ!C1087)</f>
        <v>0</v>
      </c>
      <c r="C52" s="217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30"/>
        <v>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2"/>
      <c r="R52" s="221"/>
      <c r="S52" s="68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>Self-employment -- see Data2</v>
      </c>
      <c r="B53" s="217">
        <f>IF([1]Summ!C1088="",0,[1]Summ!C1088)</f>
        <v>0</v>
      </c>
      <c r="C53" s="217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2"/>
      <c r="R53" s="221"/>
      <c r="S53" s="68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>Small business -- see Data2</v>
      </c>
      <c r="B54" s="217">
        <f>IF([1]Summ!C1089="",0,[1]Summ!C1089)</f>
        <v>0</v>
      </c>
      <c r="C54" s="217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2"/>
      <c r="R54" s="221"/>
      <c r="S54" s="68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>Social development -- see Data2</v>
      </c>
      <c r="B55" s="217">
        <f>IF([1]Summ!C1090="",0,[1]Summ!C1090)</f>
        <v>22020</v>
      </c>
      <c r="C55" s="217">
        <f>IF([1]Summ!D1090="",0,[1]Summ!D1090)</f>
        <v>0</v>
      </c>
      <c r="D55" s="38">
        <f t="shared" si="25"/>
        <v>22020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30"/>
        <v>1</v>
      </c>
      <c r="I55" s="39">
        <f t="shared" si="31"/>
        <v>22020</v>
      </c>
      <c r="J55" s="38">
        <f t="shared" si="32"/>
        <v>22020</v>
      </c>
      <c r="K55" s="40">
        <f t="shared" si="33"/>
        <v>1</v>
      </c>
      <c r="L55" s="22">
        <f t="shared" si="34"/>
        <v>1</v>
      </c>
      <c r="M55" s="24">
        <f t="shared" si="35"/>
        <v>1</v>
      </c>
      <c r="N55" s="2"/>
      <c r="O55" s="2"/>
      <c r="P55" s="2"/>
      <c r="Q55" s="2"/>
      <c r="R55" s="221"/>
      <c r="S55" s="68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>Public works -- see Data2</v>
      </c>
      <c r="B56" s="217">
        <f>IF([1]Summ!C1091="",0,[1]Summ!C1091)</f>
        <v>0</v>
      </c>
      <c r="C56" s="217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2"/>
      <c r="R56" s="221"/>
      <c r="S56" s="68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>Other income: e.g. Credit (cotton loans)</v>
      </c>
      <c r="B57" s="217">
        <f>IF([1]Summ!C1092="",0,[1]Summ!C1092)</f>
        <v>0</v>
      </c>
      <c r="C57" s="217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2"/>
      <c r="R57" s="221"/>
      <c r="S57" s="68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7">
        <f>IF([1]Summ!C1093="",0,[1]Summ!C1093)</f>
        <v>0</v>
      </c>
      <c r="C58" s="217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2"/>
      <c r="R58" s="221"/>
      <c r="S58" s="68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7">
        <f>IF([1]Summ!C1094="",0,[1]Summ!C1094)</f>
        <v>0</v>
      </c>
      <c r="C59" s="217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21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7">
        <f>IF([1]Summ!C1095="",0,[1]Summ!C1095)</f>
        <v>0</v>
      </c>
      <c r="C60" s="217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7">
        <f>IF([1]Summ!C1096="",0,[1]Summ!C1096)</f>
        <v>0</v>
      </c>
      <c r="C61" s="217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7">
        <f>IF([1]Summ!C1097="",0,[1]Summ!C1097)</f>
        <v>0</v>
      </c>
      <c r="C62" s="217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23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7">
        <f>IF([1]Summ!C1098="",0,[1]Summ!C1098)</f>
        <v>0</v>
      </c>
      <c r="C63" s="217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7">
        <f>IF([1]Summ!C1099="",0,[1]Summ!C1099)</f>
        <v>0</v>
      </c>
      <c r="C64" s="217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22020</v>
      </c>
      <c r="C65" s="39">
        <f>SUM(C37:C64)</f>
        <v>0</v>
      </c>
      <c r="D65" s="42">
        <f>SUM(D37:D64)</f>
        <v>22020</v>
      </c>
      <c r="E65" s="32"/>
      <c r="F65" s="32"/>
      <c r="G65" s="32"/>
      <c r="H65" s="31"/>
      <c r="I65" s="39">
        <f>SUM(I37:I64)</f>
        <v>22020</v>
      </c>
      <c r="J65" s="39">
        <f>SUM(J37:J64)</f>
        <v>22020</v>
      </c>
      <c r="K65" s="40">
        <f>SUM(K37:K64)</f>
        <v>1</v>
      </c>
      <c r="L65" s="22">
        <f>SUM(L37:L64)</f>
        <v>1</v>
      </c>
      <c r="M65" s="24">
        <f>SUM(M37:M64)</f>
        <v>1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0</v>
      </c>
      <c r="AB65" s="137"/>
      <c r="AC65" s="153">
        <f>SUM(AC37:AC64)</f>
        <v>0</v>
      </c>
      <c r="AD65" s="137"/>
      <c r="AE65" s="153">
        <f>SUM(AE37:AE64)</f>
        <v>0</v>
      </c>
      <c r="AF65" s="137"/>
      <c r="AG65" s="153">
        <f>SUM(AG37:AG64)</f>
        <v>0</v>
      </c>
      <c r="AH65" s="137"/>
      <c r="AI65" s="153">
        <f>SUM(AI37:AI64)</f>
        <v>0</v>
      </c>
      <c r="AJ65" s="153">
        <f>SUM(AJ37:AJ64)</f>
        <v>0</v>
      </c>
      <c r="AK65" s="153">
        <f>SUM(AK37:AK64)</f>
        <v>0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13579.12894961681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13579.128949616812</v>
      </c>
      <c r="J70" s="51">
        <f t="shared" ref="J70:J77" si="44">J124*I$83</f>
        <v>13579.128949616812</v>
      </c>
      <c r="K70" s="40">
        <f>B70/B$76</f>
        <v>0.61667252268922845</v>
      </c>
      <c r="L70" s="22">
        <f t="shared" ref="L70:L74" si="45">(L124*G$37*F$9/F$7)/B$130</f>
        <v>0.61667252268922845</v>
      </c>
      <c r="M70" s="24">
        <f>J70/B$76</f>
        <v>0.61667252268922856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3394.782237404203</v>
      </c>
      <c r="AB70" s="156">
        <f>Poor!AB70</f>
        <v>0.25</v>
      </c>
      <c r="AC70" s="147">
        <f>$J70*AB70</f>
        <v>3394.782237404203</v>
      </c>
      <c r="AD70" s="156">
        <f>Poor!AD70</f>
        <v>0.25</v>
      </c>
      <c r="AE70" s="147">
        <f>$J70*AD70</f>
        <v>3394.782237404203</v>
      </c>
      <c r="AF70" s="156">
        <f>Poor!AF70</f>
        <v>0.25</v>
      </c>
      <c r="AG70" s="147">
        <f>$J70*AF70</f>
        <v>3394.782237404203</v>
      </c>
      <c r="AH70" s="155">
        <f>SUM(Z70,AB70,AD70,AF70)</f>
        <v>1</v>
      </c>
      <c r="AI70" s="147">
        <f>SUM(AA70,AC70,AE70,AG70)</f>
        <v>13579.128949616812</v>
      </c>
      <c r="AJ70" s="148">
        <f>(AA70+AC70)</f>
        <v>6789.564474808406</v>
      </c>
      <c r="AK70" s="147">
        <f>(AE70+AG70)</f>
        <v>6789.564474808406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6">(E71*F71)</f>
        <v>1</v>
      </c>
      <c r="I71" s="39">
        <f>I125*I$83</f>
        <v>8440.871050383188</v>
      </c>
      <c r="J71" s="51">
        <f t="shared" si="44"/>
        <v>8440.871050383188</v>
      </c>
      <c r="K71" s="40">
        <f t="shared" ref="K71:K72" si="47">B71/B$76</f>
        <v>0.63481683318195581</v>
      </c>
      <c r="L71" s="22">
        <f t="shared" si="45"/>
        <v>0.38332747731077149</v>
      </c>
      <c r="M71" s="24">
        <f t="shared" ref="M71:M72" si="48">J71/B$76</f>
        <v>0.38332747731077149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6"/>
        <v>1</v>
      </c>
      <c r="I72" s="39">
        <f>I126*I$83</f>
        <v>0</v>
      </c>
      <c r="J72" s="51">
        <f t="shared" si="44"/>
        <v>0</v>
      </c>
      <c r="K72" s="40">
        <f t="shared" si="47"/>
        <v>1.2599455040871934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2800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4"/>
        <v>0</v>
      </c>
      <c r="K73" s="40">
        <f>B73/B$76</f>
        <v>0.12715712988192551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252</v>
      </c>
      <c r="AB73" s="156">
        <f>Poor!AB73</f>
        <v>0.09</v>
      </c>
      <c r="AC73" s="147">
        <f>$H$73*$B$73*AB73</f>
        <v>252</v>
      </c>
      <c r="AD73" s="156">
        <f>Poor!AD73</f>
        <v>0.23</v>
      </c>
      <c r="AE73" s="147">
        <f>$H$73*$B$73*AD73</f>
        <v>644</v>
      </c>
      <c r="AF73" s="156">
        <f>Poor!AF73</f>
        <v>0.59</v>
      </c>
      <c r="AG73" s="147">
        <f>$H$73*$B$73*AF73</f>
        <v>1652</v>
      </c>
      <c r="AH73" s="155">
        <f>SUM(Z73,AB73,AD73,AF73)</f>
        <v>1</v>
      </c>
      <c r="AI73" s="147">
        <f>SUM(AA73,AC73,AE73,AG73)</f>
        <v>2800</v>
      </c>
      <c r="AJ73" s="148">
        <f>(AA73+AC73)</f>
        <v>504</v>
      </c>
      <c r="AK73" s="147">
        <f>(AE73+AG73)</f>
        <v>2296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2881.3259668508285</v>
      </c>
      <c r="C74" s="39"/>
      <c r="D74" s="38"/>
      <c r="E74" s="32"/>
      <c r="F74" s="32"/>
      <c r="G74" s="32"/>
      <c r="H74" s="31"/>
      <c r="I74" s="39">
        <f>I128*I$83</f>
        <v>8440.871050383188</v>
      </c>
      <c r="J74" s="51">
        <f t="shared" si="44"/>
        <v>1984.8021734989177</v>
      </c>
      <c r="K74" s="40">
        <f>B74/B$76</f>
        <v>0.13085040721393409</v>
      </c>
      <c r="L74" s="22">
        <f t="shared" si="45"/>
        <v>0.13085040721393409</v>
      </c>
      <c r="M74" s="24">
        <f>J74/B$76</f>
        <v>9.0136338487689274E-2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-3394.782237404203</v>
      </c>
      <c r="AB74" s="156"/>
      <c r="AC74" s="147">
        <f>AC30*$I$83/4</f>
        <v>-3394.782237404203</v>
      </c>
      <c r="AD74" s="156"/>
      <c r="AE74" s="147">
        <f>AE30*$I$83/4</f>
        <v>-3394.782237404203</v>
      </c>
      <c r="AF74" s="156"/>
      <c r="AG74" s="147">
        <f>AG30*$I$83/4</f>
        <v>-3394.782237404203</v>
      </c>
      <c r="AH74" s="155"/>
      <c r="AI74" s="147">
        <f>SUM(AA74,AC74,AE74,AG74)</f>
        <v>-13579.128949616812</v>
      </c>
      <c r="AJ74" s="148">
        <f>(AA74+AC74)</f>
        <v>-6789.564474808406</v>
      </c>
      <c r="AK74" s="147">
        <f>(AE74+AG74)</f>
        <v>-6789.564474808406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22020</v>
      </c>
      <c r="C76" s="39"/>
      <c r="D76" s="38"/>
      <c r="E76" s="32"/>
      <c r="F76" s="32"/>
      <c r="G76" s="32"/>
      <c r="H76" s="31"/>
      <c r="I76" s="39">
        <f>I130*I$83</f>
        <v>22020</v>
      </c>
      <c r="J76" s="51">
        <f t="shared" si="44"/>
        <v>22020</v>
      </c>
      <c r="K76" s="40">
        <f>SUM(K70:K75)</f>
        <v>2.7694423970542377</v>
      </c>
      <c r="L76" s="22">
        <f>SUM(L70:L75)</f>
        <v>1.130850407213934</v>
      </c>
      <c r="M76" s="24">
        <f>SUM(M70:M75)</f>
        <v>1.0901363384876892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0</v>
      </c>
      <c r="AB76" s="137"/>
      <c r="AC76" s="153">
        <f>AC65</f>
        <v>0</v>
      </c>
      <c r="AD76" s="137"/>
      <c r="AE76" s="153">
        <f>AE65</f>
        <v>0</v>
      </c>
      <c r="AF76" s="137"/>
      <c r="AG76" s="153">
        <f>AG65</f>
        <v>0</v>
      </c>
      <c r="AH76" s="137"/>
      <c r="AI76" s="153">
        <f>SUM(AA76,AC76,AE76,AG76)</f>
        <v>0</v>
      </c>
      <c r="AJ76" s="154">
        <f>SUM(AA76,AC76)</f>
        <v>0</v>
      </c>
      <c r="AK76" s="154">
        <f>SUM(AE76,AG76)</f>
        <v>0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13978.666666666664</v>
      </c>
      <c r="J77" s="100">
        <f t="shared" si="44"/>
        <v>7522.5977897823977</v>
      </c>
      <c r="K77" s="40"/>
      <c r="L77" s="22">
        <f>-(L131*G$37*F$9/F$7)/B$130</f>
        <v>-0.6348168331819557</v>
      </c>
      <c r="M77" s="24">
        <f>-J77/B$76</f>
        <v>-0.34162569435887363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3394.782237404203</v>
      </c>
      <c r="AB77" s="112"/>
      <c r="AC77" s="111">
        <f>AC31*$I$83/4</f>
        <v>3394.782237404203</v>
      </c>
      <c r="AD77" s="112"/>
      <c r="AE77" s="111">
        <f>AE31*$I$83/4</f>
        <v>3782.4632996278774</v>
      </c>
      <c r="AF77" s="112"/>
      <c r="AG77" s="111">
        <f>AG31*$I$83/4</f>
        <v>3916.8066730850583</v>
      </c>
      <c r="AH77" s="110"/>
      <c r="AI77" s="154">
        <f>SUM(AA77,AC77,AE77,AG77)</f>
        <v>14488.834447521342</v>
      </c>
      <c r="AJ77" s="153">
        <f>SUM(AA77,AC77)</f>
        <v>6789.564474808406</v>
      </c>
      <c r="AK77" s="160">
        <f>SUM(AE77,AG77)</f>
        <v>7699.2699727129357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[1]Summ!C1037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-3394.782237404203</v>
      </c>
      <c r="AB79" s="112"/>
      <c r="AC79" s="112">
        <f>AA79-AA74+AC65-AC70</f>
        <v>-3394.782237404203</v>
      </c>
      <c r="AD79" s="112"/>
      <c r="AE79" s="112">
        <f>AC79-AC74+AE65-AE70</f>
        <v>-3394.782237404203</v>
      </c>
      <c r="AF79" s="112"/>
      <c r="AG79" s="112">
        <f>AE79-AE74+AG65-AG70</f>
        <v>-3394.782237404203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[1]Summ!C1039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6781.6399555139624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6781.6399555139624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1695.4099888784906</v>
      </c>
      <c r="AB83" s="112"/>
      <c r="AC83" s="165">
        <f>$I$83*AB82/4</f>
        <v>1695.4099888784906</v>
      </c>
      <c r="AD83" s="112"/>
      <c r="AE83" s="165">
        <f>$I$83*AD82/4</f>
        <v>1695.4099888784906</v>
      </c>
      <c r="AF83" s="112"/>
      <c r="AG83" s="165">
        <f>$I$83*AF82/4</f>
        <v>1695.4099888784906</v>
      </c>
      <c r="AH83" s="165">
        <f>SUM(AA83,AC83,AE83,AG83)</f>
        <v>6781.6399555139624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17059.8252222761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17059.8252222761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1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31">
        <f t="shared" si="49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</v>
      </c>
      <c r="C92" s="75">
        <f t="shared" si="51"/>
        <v>0</v>
      </c>
      <c r="D92" s="24">
        <f t="shared" si="52"/>
        <v>0</v>
      </c>
      <c r="H92" s="24">
        <f t="shared" si="53"/>
        <v>1</v>
      </c>
      <c r="I92" s="22">
        <f t="shared" si="54"/>
        <v>0</v>
      </c>
      <c r="J92" s="24">
        <f t="shared" si="55"/>
        <v>0</v>
      </c>
      <c r="K92" s="22">
        <f t="shared" si="56"/>
        <v>0</v>
      </c>
      <c r="L92" s="22">
        <f t="shared" si="57"/>
        <v>0</v>
      </c>
      <c r="M92" s="231">
        <f t="shared" si="49"/>
        <v>0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Chicken sales: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1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31">
        <f t="shared" si="49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Maize: kg produced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1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32">
        <f t="shared" si="49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Beans: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1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32">
        <f t="shared" si="49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Water melon: no. local meas (Bhece)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1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32">
        <f t="shared" si="49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Sweet poatato: no. local meas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1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32">
        <f t="shared" si="49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Groundnuts (dry): no. local meas</v>
      </c>
      <c r="B98" s="75">
        <f t="shared" si="51"/>
        <v>0</v>
      </c>
      <c r="C98" s="75">
        <f t="shared" si="51"/>
        <v>0</v>
      </c>
      <c r="D98" s="24">
        <f t="shared" si="52"/>
        <v>0</v>
      </c>
      <c r="H98" s="24">
        <f t="shared" si="53"/>
        <v>1</v>
      </c>
      <c r="I98" s="22">
        <f t="shared" si="54"/>
        <v>0</v>
      </c>
      <c r="J98" s="24">
        <f t="shared" si="55"/>
        <v>0</v>
      </c>
      <c r="K98" s="22">
        <f t="shared" si="56"/>
        <v>0</v>
      </c>
      <c r="L98" s="22">
        <f t="shared" si="57"/>
        <v>0</v>
      </c>
      <c r="M98" s="232">
        <f t="shared" si="49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Irish potato: type</v>
      </c>
      <c r="B99" s="75">
        <f t="shared" si="51"/>
        <v>0</v>
      </c>
      <c r="C99" s="75">
        <f t="shared" si="51"/>
        <v>0</v>
      </c>
      <c r="D99" s="24">
        <f t="shared" si="52"/>
        <v>0</v>
      </c>
      <c r="H99" s="24">
        <f t="shared" si="53"/>
        <v>1</v>
      </c>
      <c r="I99" s="22">
        <f t="shared" si="54"/>
        <v>0</v>
      </c>
      <c r="J99" s="24">
        <f t="shared" si="55"/>
        <v>0</v>
      </c>
      <c r="K99" s="22">
        <f t="shared" si="56"/>
        <v>0</v>
      </c>
      <c r="L99" s="22">
        <f t="shared" si="57"/>
        <v>0</v>
      </c>
      <c r="M99" s="232">
        <f t="shared" si="49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Yam: type</v>
      </c>
      <c r="B100" s="75">
        <f t="shared" si="51"/>
        <v>0</v>
      </c>
      <c r="C100" s="75">
        <f t="shared" si="51"/>
        <v>0</v>
      </c>
      <c r="D100" s="24">
        <f t="shared" si="52"/>
        <v>0</v>
      </c>
      <c r="H100" s="24">
        <f t="shared" si="53"/>
        <v>1</v>
      </c>
      <c r="I100" s="22">
        <f t="shared" si="54"/>
        <v>0</v>
      </c>
      <c r="J100" s="24">
        <f>IF(I$32&lt;=1+I131,I100,L100+J$33*(I100-L100))</f>
        <v>0</v>
      </c>
      <c r="K100" s="22">
        <f t="shared" si="56"/>
        <v>0</v>
      </c>
      <c r="L100" s="22">
        <f t="shared" si="57"/>
        <v>0</v>
      </c>
      <c r="M100" s="232">
        <f t="shared" si="49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Spinach (cash): kg produced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1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31">
        <f t="shared" si="49"/>
        <v>0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Tomatoes (cash): kg produced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1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32">
        <f t="shared" si="49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Cabbage (cash): kg produced</v>
      </c>
      <c r="B103" s="75">
        <f t="shared" si="51"/>
        <v>0</v>
      </c>
      <c r="C103" s="75">
        <f t="shared" si="51"/>
        <v>0</v>
      </c>
      <c r="D103" s="24">
        <f t="shared" si="52"/>
        <v>0</v>
      </c>
      <c r="H103" s="24">
        <f t="shared" si="53"/>
        <v>1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0</v>
      </c>
      <c r="L103" s="22">
        <f t="shared" si="57"/>
        <v>0</v>
      </c>
      <c r="M103" s="232">
        <f t="shared" si="49"/>
        <v>0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Agricultural cash income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1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32">
        <f t="shared" si="49"/>
        <v>0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Labour migration(formal employment): no. people per HH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1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32">
        <f t="shared" si="49"/>
        <v>0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Formal Employment (conservancies, etc.)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1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32">
        <f>(J106)</f>
        <v>0</v>
      </c>
      <c r="N106" s="233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>Self-employment -- see Data2</v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1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32">
        <f t="shared" ref="M107:M118" si="65">(J107)</f>
        <v>0</v>
      </c>
      <c r="N107" s="233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>Small business -- see Data2</v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1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32">
        <f t="shared" si="65"/>
        <v>0</v>
      </c>
      <c r="N108" s="233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>Social development -- see Data2</v>
      </c>
      <c r="B109" s="75">
        <f t="shared" si="51"/>
        <v>3.2470022213574095</v>
      </c>
      <c r="C109" s="75">
        <f t="shared" si="51"/>
        <v>0</v>
      </c>
      <c r="D109" s="24">
        <f t="shared" si="59"/>
        <v>3.2470022213574095</v>
      </c>
      <c r="H109" s="24">
        <f t="shared" si="60"/>
        <v>1</v>
      </c>
      <c r="I109" s="22">
        <f t="shared" si="61"/>
        <v>3.2470022213574095</v>
      </c>
      <c r="J109" s="24">
        <f t="shared" si="62"/>
        <v>3.2470022213574095</v>
      </c>
      <c r="K109" s="22">
        <f t="shared" si="63"/>
        <v>3.2470022213574095</v>
      </c>
      <c r="L109" s="22">
        <f t="shared" si="64"/>
        <v>3.2470022213574095</v>
      </c>
      <c r="M109" s="232">
        <f t="shared" si="65"/>
        <v>3.2470022213574095</v>
      </c>
      <c r="N109" s="233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>Public works -- see Data2</v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1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32">
        <f t="shared" si="65"/>
        <v>0</v>
      </c>
      <c r="N110" s="233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>Other income: e.g. Credit (cotton loans)</v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1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32">
        <f t="shared" si="65"/>
        <v>0</v>
      </c>
      <c r="N111" s="233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1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32">
        <f t="shared" si="65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1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32">
        <f t="shared" si="65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1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32">
        <f t="shared" si="65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1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32">
        <f t="shared" si="65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1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32">
        <f t="shared" si="65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1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32">
        <f t="shared" si="65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1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32">
        <f t="shared" si="65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3.2470022213574095</v>
      </c>
      <c r="C119" s="22">
        <f>SUM(C91:C118)</f>
        <v>0</v>
      </c>
      <c r="D119" s="24">
        <f>SUM(D91:D118)</f>
        <v>3.2470022213574095</v>
      </c>
      <c r="E119" s="22"/>
      <c r="F119" s="2"/>
      <c r="G119" s="2"/>
      <c r="H119" s="31"/>
      <c r="I119" s="22">
        <f>SUM(I91:I118)</f>
        <v>3.2470022213574095</v>
      </c>
      <c r="J119" s="24">
        <f>SUM(J91:J118)</f>
        <v>3.2470022213574095</v>
      </c>
      <c r="K119" s="22">
        <f>SUM(K91:K118)</f>
        <v>3.2470022213574095</v>
      </c>
      <c r="L119" s="22">
        <f>SUM(L91:L118)</f>
        <v>3.2470022213574095</v>
      </c>
      <c r="M119" s="57">
        <f t="shared" si="49"/>
        <v>3.2470022213574095</v>
      </c>
      <c r="N119" s="227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2.0023370510220024</v>
      </c>
      <c r="C124" s="2"/>
      <c r="D124" s="24"/>
      <c r="H124" s="96">
        <f>(E70*F70/G$37*F$7/F$9)</f>
        <v>1</v>
      </c>
      <c r="I124" s="29">
        <f>IF(SUMPRODUCT($B$124:$B124,$H$124:$H124)&lt;I$119,($B124*$H124),I$119)</f>
        <v>2.0023370510220024</v>
      </c>
      <c r="J124" s="241">
        <f>IF(SUMPRODUCT($B$124:$B124,$H$124:$H124)&lt;J$119,($B124*$H124),J$119)</f>
        <v>2.0023370510220024</v>
      </c>
      <c r="K124" s="29">
        <f>(B124)</f>
        <v>2.0023370510220024</v>
      </c>
      <c r="L124" s="29">
        <f>IF(SUMPRODUCT($B$124:$B124,$H$124:$H124)&lt;L$119,($B124*$H124),L$119)</f>
        <v>2.0023370510220024</v>
      </c>
      <c r="M124" s="244">
        <f t="shared" si="66"/>
        <v>2.0023370510220024</v>
      </c>
      <c r="N124" s="58"/>
      <c r="O124" s="174">
        <f>B124*H124</f>
        <v>2.0023370510220024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2.0612516674968866</v>
      </c>
      <c r="C125" s="2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1.244665170335407</v>
      </c>
      <c r="J125" s="241">
        <f>IF(SUMPRODUCT($B$124:$B125,$H$124:$H125)&lt;J$119,($B125*$H125),IF(SUMPRODUCT($B$124:$B124,$H$124:$H124)&lt;J$119,J$119-SUMPRODUCT($B$124:$B124,$H$124:$H124),0))</f>
        <v>1.244665170335407</v>
      </c>
      <c r="K125" s="29">
        <f>(B125)</f>
        <v>2.0612516674968866</v>
      </c>
      <c r="L125" s="29">
        <f>IF(SUMPRODUCT($B$124:$B125,$H$124:$H125)&lt;L$119,($B125*$H125),IF(SUMPRODUCT($B$124:$B124,$H$124:$H124)&lt;L$119,L$119-SUMPRODUCT($B$124:$B124,$H$124:$H124),0))</f>
        <v>1.244665170335407</v>
      </c>
      <c r="M125" s="244">
        <f t="shared" si="66"/>
        <v>1.244665170335407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4.0910458505603984</v>
      </c>
      <c r="C126" s="2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4.0910458505603984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0.41287948318804479</v>
      </c>
      <c r="C127" s="2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0.41287948318804479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66"/>
        <v>0</v>
      </c>
      <c r="N127" s="58"/>
      <c r="O127" s="174">
        <f>B127*H127</f>
        <v>0.41287948318804479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0.42487156288916561</v>
      </c>
      <c r="C128" s="2"/>
      <c r="D128" s="31"/>
      <c r="E128" s="2"/>
      <c r="F128" s="2"/>
      <c r="G128" s="2"/>
      <c r="H128" s="24"/>
      <c r="I128" s="29">
        <f>(I30)</f>
        <v>1.244665170335407</v>
      </c>
      <c r="J128" s="232">
        <f>(J30)</f>
        <v>0.29267289129455043</v>
      </c>
      <c r="K128" s="29">
        <f>(B128)</f>
        <v>0.42487156288916561</v>
      </c>
      <c r="L128" s="29">
        <f>IF(L124=L119,0,(L119-L124)/(B119-B124)*K128)</f>
        <v>0.42487156288916561</v>
      </c>
      <c r="M128" s="244">
        <f t="shared" si="66"/>
        <v>0.29267289129455043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3.2470022213574095</v>
      </c>
      <c r="C130" s="2"/>
      <c r="D130" s="31"/>
      <c r="E130" s="2"/>
      <c r="F130" s="2"/>
      <c r="G130" s="2"/>
      <c r="H130" s="24"/>
      <c r="I130" s="29">
        <f>(I119)</f>
        <v>3.2470022213574095</v>
      </c>
      <c r="J130" s="232">
        <f>(J119)</f>
        <v>3.2470022213574095</v>
      </c>
      <c r="K130" s="29">
        <f>(B130)</f>
        <v>3.2470022213574095</v>
      </c>
      <c r="L130" s="29">
        <f>(L119)</f>
        <v>3.2470022213574095</v>
      </c>
      <c r="M130" s="244">
        <f t="shared" si="66"/>
        <v>3.2470022213574095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2.0612516674968862</v>
      </c>
      <c r="J131" s="241">
        <f>IF(SUMPRODUCT($B124:$B125,$H124:$H125)&gt;(J119-J128),SUMPRODUCT($B124:$B125,$H124:$H125)+J128-J119,0)</f>
        <v>1.1092593884560302</v>
      </c>
      <c r="K131" s="29"/>
      <c r="L131" s="29">
        <f>IF(I131&lt;SUM(L126:L127),0,I131-(SUM(L126:L127)))</f>
        <v>2.0612516674968862</v>
      </c>
      <c r="M131" s="241">
        <f>IF(I131&lt;SUM(M126:M127),0,I131-(SUM(M126:M127)))</f>
        <v>2.0612516674968862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335" priority="81" operator="equal">
      <formula>16</formula>
    </cfRule>
    <cfRule type="cellIs" dxfId="334" priority="82" operator="equal">
      <formula>15</formula>
    </cfRule>
    <cfRule type="cellIs" dxfId="333" priority="83" operator="equal">
      <formula>14</formula>
    </cfRule>
    <cfRule type="cellIs" dxfId="332" priority="84" operator="equal">
      <formula>13</formula>
    </cfRule>
    <cfRule type="cellIs" dxfId="331" priority="85" operator="equal">
      <formula>12</formula>
    </cfRule>
    <cfRule type="cellIs" dxfId="330" priority="86" operator="equal">
      <formula>11</formula>
    </cfRule>
    <cfRule type="cellIs" dxfId="329" priority="87" operator="equal">
      <formula>10</formula>
    </cfRule>
    <cfRule type="cellIs" dxfId="328" priority="88" operator="equal">
      <formula>9</formula>
    </cfRule>
    <cfRule type="cellIs" dxfId="327" priority="89" operator="equal">
      <formula>8</formula>
    </cfRule>
    <cfRule type="cellIs" dxfId="326" priority="90" operator="equal">
      <formula>7</formula>
    </cfRule>
    <cfRule type="cellIs" dxfId="325" priority="91" operator="equal">
      <formula>6</formula>
    </cfRule>
    <cfRule type="cellIs" dxfId="324" priority="92" operator="equal">
      <formula>5</formula>
    </cfRule>
    <cfRule type="cellIs" dxfId="323" priority="93" operator="equal">
      <formula>4</formula>
    </cfRule>
    <cfRule type="cellIs" dxfId="322" priority="94" operator="equal">
      <formula>3</formula>
    </cfRule>
    <cfRule type="cellIs" dxfId="321" priority="95" operator="equal">
      <formula>2</formula>
    </cfRule>
    <cfRule type="cellIs" dxfId="320" priority="96" operator="equal">
      <formula>1</formula>
    </cfRule>
  </conditionalFormatting>
  <conditionalFormatting sqref="N29">
    <cfRule type="cellIs" dxfId="319" priority="65" operator="equal">
      <formula>16</formula>
    </cfRule>
    <cfRule type="cellIs" dxfId="318" priority="66" operator="equal">
      <formula>15</formula>
    </cfRule>
    <cfRule type="cellIs" dxfId="317" priority="67" operator="equal">
      <formula>14</formula>
    </cfRule>
    <cfRule type="cellIs" dxfId="316" priority="68" operator="equal">
      <formula>13</formula>
    </cfRule>
    <cfRule type="cellIs" dxfId="315" priority="69" operator="equal">
      <formula>12</formula>
    </cfRule>
    <cfRule type="cellIs" dxfId="314" priority="70" operator="equal">
      <formula>11</formula>
    </cfRule>
    <cfRule type="cellIs" dxfId="313" priority="71" operator="equal">
      <formula>10</formula>
    </cfRule>
    <cfRule type="cellIs" dxfId="312" priority="72" operator="equal">
      <formula>9</formula>
    </cfRule>
    <cfRule type="cellIs" dxfId="311" priority="73" operator="equal">
      <formula>8</formula>
    </cfRule>
    <cfRule type="cellIs" dxfId="310" priority="74" operator="equal">
      <formula>7</formula>
    </cfRule>
    <cfRule type="cellIs" dxfId="309" priority="75" operator="equal">
      <formula>6</formula>
    </cfRule>
    <cfRule type="cellIs" dxfId="308" priority="76" operator="equal">
      <formula>5</formula>
    </cfRule>
    <cfRule type="cellIs" dxfId="307" priority="77" operator="equal">
      <formula>4</formula>
    </cfRule>
    <cfRule type="cellIs" dxfId="306" priority="78" operator="equal">
      <formula>3</formula>
    </cfRule>
    <cfRule type="cellIs" dxfId="305" priority="79" operator="equal">
      <formula>2</formula>
    </cfRule>
    <cfRule type="cellIs" dxfId="304" priority="80" operator="equal">
      <formula>1</formula>
    </cfRule>
  </conditionalFormatting>
  <conditionalFormatting sqref="N113:N119">
    <cfRule type="cellIs" dxfId="303" priority="49" operator="equal">
      <formula>16</formula>
    </cfRule>
    <cfRule type="cellIs" dxfId="302" priority="50" operator="equal">
      <formula>15</formula>
    </cfRule>
    <cfRule type="cellIs" dxfId="301" priority="51" operator="equal">
      <formula>14</formula>
    </cfRule>
    <cfRule type="cellIs" dxfId="300" priority="52" operator="equal">
      <formula>13</formula>
    </cfRule>
    <cfRule type="cellIs" dxfId="299" priority="53" operator="equal">
      <formula>12</formula>
    </cfRule>
    <cfRule type="cellIs" dxfId="298" priority="54" operator="equal">
      <formula>11</formula>
    </cfRule>
    <cfRule type="cellIs" dxfId="297" priority="55" operator="equal">
      <formula>10</formula>
    </cfRule>
    <cfRule type="cellIs" dxfId="296" priority="56" operator="equal">
      <formula>9</formula>
    </cfRule>
    <cfRule type="cellIs" dxfId="295" priority="57" operator="equal">
      <formula>8</formula>
    </cfRule>
    <cfRule type="cellIs" dxfId="294" priority="58" operator="equal">
      <formula>7</formula>
    </cfRule>
    <cfRule type="cellIs" dxfId="293" priority="59" operator="equal">
      <formula>6</formula>
    </cfRule>
    <cfRule type="cellIs" dxfId="292" priority="60" operator="equal">
      <formula>5</formula>
    </cfRule>
    <cfRule type="cellIs" dxfId="291" priority="61" operator="equal">
      <formula>4</formula>
    </cfRule>
    <cfRule type="cellIs" dxfId="290" priority="62" operator="equal">
      <formula>3</formula>
    </cfRule>
    <cfRule type="cellIs" dxfId="289" priority="63" operator="equal">
      <formula>2</formula>
    </cfRule>
    <cfRule type="cellIs" dxfId="288" priority="64" operator="equal">
      <formula>1</formula>
    </cfRule>
  </conditionalFormatting>
  <conditionalFormatting sqref="N91:N104">
    <cfRule type="cellIs" dxfId="287" priority="33" operator="equal">
      <formula>16</formula>
    </cfRule>
    <cfRule type="cellIs" dxfId="286" priority="34" operator="equal">
      <formula>15</formula>
    </cfRule>
    <cfRule type="cellIs" dxfId="285" priority="35" operator="equal">
      <formula>14</formula>
    </cfRule>
    <cfRule type="cellIs" dxfId="284" priority="36" operator="equal">
      <formula>13</formula>
    </cfRule>
    <cfRule type="cellIs" dxfId="283" priority="37" operator="equal">
      <formula>12</formula>
    </cfRule>
    <cfRule type="cellIs" dxfId="282" priority="38" operator="equal">
      <formula>11</formula>
    </cfRule>
    <cfRule type="cellIs" dxfId="281" priority="39" operator="equal">
      <formula>10</formula>
    </cfRule>
    <cfRule type="cellIs" dxfId="280" priority="40" operator="equal">
      <formula>9</formula>
    </cfRule>
    <cfRule type="cellIs" dxfId="279" priority="41" operator="equal">
      <formula>8</formula>
    </cfRule>
    <cfRule type="cellIs" dxfId="278" priority="42" operator="equal">
      <formula>7</formula>
    </cfRule>
    <cfRule type="cellIs" dxfId="277" priority="43" operator="equal">
      <formula>6</formula>
    </cfRule>
    <cfRule type="cellIs" dxfId="276" priority="44" operator="equal">
      <formula>5</formula>
    </cfRule>
    <cfRule type="cellIs" dxfId="275" priority="45" operator="equal">
      <formula>4</formula>
    </cfRule>
    <cfRule type="cellIs" dxfId="274" priority="46" operator="equal">
      <formula>3</formula>
    </cfRule>
    <cfRule type="cellIs" dxfId="273" priority="47" operator="equal">
      <formula>2</formula>
    </cfRule>
    <cfRule type="cellIs" dxfId="272" priority="48" operator="equal">
      <formula>1</formula>
    </cfRule>
  </conditionalFormatting>
  <conditionalFormatting sqref="N105:N112">
    <cfRule type="cellIs" dxfId="271" priority="17" operator="equal">
      <formula>16</formula>
    </cfRule>
    <cfRule type="cellIs" dxfId="270" priority="18" operator="equal">
      <formula>15</formula>
    </cfRule>
    <cfRule type="cellIs" dxfId="269" priority="19" operator="equal">
      <formula>14</formula>
    </cfRule>
    <cfRule type="cellIs" dxfId="268" priority="20" operator="equal">
      <formula>13</formula>
    </cfRule>
    <cfRule type="cellIs" dxfId="267" priority="21" operator="equal">
      <formula>12</formula>
    </cfRule>
    <cfRule type="cellIs" dxfId="266" priority="22" operator="equal">
      <formula>11</formula>
    </cfRule>
    <cfRule type="cellIs" dxfId="265" priority="23" operator="equal">
      <formula>10</formula>
    </cfRule>
    <cfRule type="cellIs" dxfId="264" priority="24" operator="equal">
      <formula>9</formula>
    </cfRule>
    <cfRule type="cellIs" dxfId="263" priority="25" operator="equal">
      <formula>8</formula>
    </cfRule>
    <cfRule type="cellIs" dxfId="262" priority="26" operator="equal">
      <formula>7</formula>
    </cfRule>
    <cfRule type="cellIs" dxfId="261" priority="27" operator="equal">
      <formula>6</formula>
    </cfRule>
    <cfRule type="cellIs" dxfId="260" priority="28" operator="equal">
      <formula>5</formula>
    </cfRule>
    <cfRule type="cellIs" dxfId="259" priority="29" operator="equal">
      <formula>4</formula>
    </cfRule>
    <cfRule type="cellIs" dxfId="258" priority="30" operator="equal">
      <formula>3</formula>
    </cfRule>
    <cfRule type="cellIs" dxfId="257" priority="31" operator="equal">
      <formula>2</formula>
    </cfRule>
    <cfRule type="cellIs" dxfId="256" priority="32" operator="equal">
      <formula>1</formula>
    </cfRule>
  </conditionalFormatting>
  <conditionalFormatting sqref="N6:N28">
    <cfRule type="cellIs" dxfId="255" priority="1" operator="equal">
      <formula>16</formula>
    </cfRule>
    <cfRule type="cellIs" dxfId="254" priority="2" operator="equal">
      <formula>15</formula>
    </cfRule>
    <cfRule type="cellIs" dxfId="253" priority="3" operator="equal">
      <formula>14</formula>
    </cfRule>
    <cfRule type="cellIs" dxfId="252" priority="4" operator="equal">
      <formula>13</formula>
    </cfRule>
    <cfRule type="cellIs" dxfId="251" priority="5" operator="equal">
      <formula>12</formula>
    </cfRule>
    <cfRule type="cellIs" dxfId="250" priority="6" operator="equal">
      <formula>11</formula>
    </cfRule>
    <cfRule type="cellIs" dxfId="249" priority="7" operator="equal">
      <formula>10</formula>
    </cfRule>
    <cfRule type="cellIs" dxfId="248" priority="8" operator="equal">
      <formula>9</formula>
    </cfRule>
    <cfRule type="cellIs" dxfId="247" priority="9" operator="equal">
      <formula>8</formula>
    </cfRule>
    <cfRule type="cellIs" dxfId="246" priority="10" operator="equal">
      <formula>7</formula>
    </cfRule>
    <cfRule type="cellIs" dxfId="245" priority="11" operator="equal">
      <formula>6</formula>
    </cfRule>
    <cfRule type="cellIs" dxfId="244" priority="12" operator="equal">
      <formula>5</formula>
    </cfRule>
    <cfRule type="cellIs" dxfId="243" priority="13" operator="equal">
      <formula>4</formula>
    </cfRule>
    <cfRule type="cellIs" dxfId="242" priority="14" operator="equal">
      <formula>3</formula>
    </cfRule>
    <cfRule type="cellIs" dxfId="241" priority="15" operator="equal">
      <formula>2</formula>
    </cfRule>
    <cfRule type="cellIs" dxfId="24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G38" sqref="G3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ZACNI: 59106</v>
      </c>
      <c r="B1" s="251" t="str">
        <f>[1]WB!$A$2</f>
        <v>Coastal open access non-crop income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63" t="s">
        <v>105</v>
      </c>
      <c r="AA1" s="264"/>
      <c r="AB1" s="263" t="s">
        <v>106</v>
      </c>
      <c r="AC1" s="264"/>
      <c r="AD1" s="263" t="s">
        <v>107</v>
      </c>
      <c r="AE1" s="264"/>
      <c r="AF1" s="263" t="s">
        <v>108</v>
      </c>
      <c r="AG1" s="264"/>
      <c r="AH1" s="117"/>
      <c r="AI1" s="110"/>
      <c r="AJ1" s="200" t="str">
        <f>LEFT(Z1,4) &amp; MID(AB1,5,3)</f>
        <v>Apr-Sep</v>
      </c>
      <c r="AK1" s="20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61" t="s">
        <v>109</v>
      </c>
      <c r="AA2" s="265"/>
      <c r="AB2" s="261" t="s">
        <v>110</v>
      </c>
      <c r="AC2" s="265"/>
      <c r="AD2" s="261" t="s">
        <v>111</v>
      </c>
      <c r="AE2" s="265"/>
      <c r="AF2" s="261" t="s">
        <v>112</v>
      </c>
      <c r="AG2" s="265"/>
      <c r="AH2" s="117"/>
      <c r="AI2" s="110"/>
      <c r="AJ2" s="198" t="s">
        <v>113</v>
      </c>
      <c r="AK2" s="199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6">
        <f>IF([1]Summ!E1044="",0,[1]Summ!E1044)</f>
        <v>8.3437110834371116E-3</v>
      </c>
      <c r="C6" s="216">
        <f>IF([1]Summ!F1044="",0,[1]Summ!F1044)</f>
        <v>0</v>
      </c>
      <c r="D6" s="24">
        <f t="shared" ref="D6:D16" si="0">SUM(B6,C6)</f>
        <v>8.3437110834371116E-3</v>
      </c>
      <c r="E6" s="26"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8.3437110834371116E-3</v>
      </c>
      <c r="J6" s="24">
        <f t="shared" ref="J6:J13" si="3">IF(I$32&lt;=1+I$131,I6,B6*H6+J$33*(I6-B6*H6))</f>
        <v>8.3437110834371116E-3</v>
      </c>
      <c r="K6" s="22">
        <f t="shared" ref="K6:K31" si="4">B6</f>
        <v>8.3437110834371116E-3</v>
      </c>
      <c r="L6" s="22">
        <f t="shared" ref="L6:L29" si="5">IF(K6="","",K6*H6)</f>
        <v>8.3437110834371116E-3</v>
      </c>
      <c r="M6" s="228">
        <f t="shared" ref="M6:M31" si="6">J6</f>
        <v>8.3437110834371116E-3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3.3374844333748446E-2</v>
      </c>
      <c r="Z6" s="116">
        <v>0.17</v>
      </c>
      <c r="AA6" s="121">
        <f>$M6*Z6*4</f>
        <v>5.6737235367372366E-3</v>
      </c>
      <c r="AB6" s="116">
        <v>0.17</v>
      </c>
      <c r="AC6" s="121">
        <f t="shared" ref="AC6:AC29" si="7">$M6*AB6*4</f>
        <v>5.6737235367372366E-3</v>
      </c>
      <c r="AD6" s="116">
        <v>0.33</v>
      </c>
      <c r="AE6" s="121">
        <f t="shared" ref="AE6:AE29" si="8">$M6*AD6*4</f>
        <v>1.1013698630136988E-2</v>
      </c>
      <c r="AF6" s="122">
        <f>1-SUM(Z6,AB6,AD6)</f>
        <v>0.32999999999999996</v>
      </c>
      <c r="AG6" s="121">
        <f>$M6*AF6*4</f>
        <v>1.1013698630136987E-2</v>
      </c>
      <c r="AH6" s="123">
        <f>SUM(Z6,AB6,AD6,AF6)</f>
        <v>1</v>
      </c>
      <c r="AI6" s="184">
        <f>SUM(AA6,AC6,AE6,AG6)/4</f>
        <v>8.3437110834371116E-3</v>
      </c>
      <c r="AJ6" s="120">
        <f>(AA6+AC6)/2</f>
        <v>5.6737235367372366E-3</v>
      </c>
      <c r="AK6" s="119">
        <f>(AE6+AG6)/2</f>
        <v>1.1013698630136987E-2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Cows' milk - season 2</v>
      </c>
      <c r="B7" s="216">
        <f>IF([1]Summ!E1045="",0,[1]Summ!E1045)</f>
        <v>0</v>
      </c>
      <c r="C7" s="216">
        <f>IF([1]Summ!F1045="",0,[1]Summ!F1045)</f>
        <v>0</v>
      </c>
      <c r="D7" s="24">
        <f t="shared" si="0"/>
        <v>0</v>
      </c>
      <c r="E7" s="26">
        <v>1</v>
      </c>
      <c r="F7" s="27">
        <f>[1]Summ!$P$1</f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8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2371.3955683925333</v>
      </c>
      <c r="S7" s="226">
        <f>IF($B$81=0,0,(SUMIF($N$6:$N$28,$U7,L$6:L$28)+SUMIF($N$91:$N$118,$U7,L$91:L$118))*$B$83*$H$84*Poor!$B$81/$B$81)</f>
        <v>2371.3955683925333</v>
      </c>
      <c r="T7" s="226">
        <f>IF($B$81=0,0,(SUMIF($N$6:$N$28,$U7,M$6:M$28)+SUMIF($N$91:$N$118,$U7,M$91:M$118))*$B$83*$H$84*Poor!$B$81/$B$81)</f>
        <v>2693.2814058735867</v>
      </c>
      <c r="U7" s="227">
        <v>1</v>
      </c>
      <c r="V7" s="56"/>
      <c r="W7" s="115"/>
      <c r="X7" s="124"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Own meat</v>
      </c>
      <c r="B8" s="216">
        <f>IF([1]Summ!E1046="",0,[1]Summ!E1046)</f>
        <v>2.6171573396637608E-2</v>
      </c>
      <c r="C8" s="216">
        <f>IF([1]Summ!F1046="",0,[1]Summ!F1046)</f>
        <v>0</v>
      </c>
      <c r="D8" s="24">
        <f t="shared" si="0"/>
        <v>2.6171573396637608E-2</v>
      </c>
      <c r="E8" s="26">
        <v>1</v>
      </c>
      <c r="F8" s="22" t="s">
        <v>23</v>
      </c>
      <c r="H8" s="24">
        <f t="shared" si="1"/>
        <v>1</v>
      </c>
      <c r="I8" s="22">
        <f t="shared" si="2"/>
        <v>2.6171573396637608E-2</v>
      </c>
      <c r="J8" s="24">
        <f t="shared" si="3"/>
        <v>2.6171573396637608E-2</v>
      </c>
      <c r="K8" s="22">
        <f t="shared" si="4"/>
        <v>2.6171573396637608E-2</v>
      </c>
      <c r="L8" s="22">
        <f t="shared" si="5"/>
        <v>2.6171573396637608E-2</v>
      </c>
      <c r="M8" s="228">
        <f t="shared" si="6"/>
        <v>2.6171573396637608E-2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836</v>
      </c>
      <c r="S8" s="226">
        <f>IF($B$81=0,0,(SUMIF($N$6:$N$28,$U8,L$6:L$28)+SUMIF($N$91:$N$118,$U8,L$91:L$118))*$B$83*$H$84*Poor!$B$81/$B$81)</f>
        <v>836</v>
      </c>
      <c r="T8" s="226">
        <f>IF($B$81=0,0,(SUMIF($N$6:$N$28,$U8,M$6:M$28)+SUMIF($N$91:$N$118,$U8,M$91:M$118))*$B$83*$H$84*Poor!$B$81/$B$81)</f>
        <v>150</v>
      </c>
      <c r="U8" s="227">
        <v>2</v>
      </c>
      <c r="V8" s="185"/>
      <c r="W8" s="115"/>
      <c r="X8" s="124">
        <v>1</v>
      </c>
      <c r="Y8" s="184">
        <f t="shared" si="9"/>
        <v>0.10468629358655043</v>
      </c>
      <c r="Z8" s="125">
        <f>IF($Y8=0,0,AA8/$Y8)</f>
        <v>0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1</v>
      </c>
      <c r="AG8" s="121">
        <f t="shared" si="11"/>
        <v>0.10468629358655043</v>
      </c>
      <c r="AH8" s="123">
        <f t="shared" si="12"/>
        <v>1</v>
      </c>
      <c r="AI8" s="184">
        <f t="shared" si="13"/>
        <v>2.6171573396637608E-2</v>
      </c>
      <c r="AJ8" s="120">
        <f t="shared" si="14"/>
        <v>0</v>
      </c>
      <c r="AK8" s="119">
        <f t="shared" si="15"/>
        <v>5.2343146793275216E-2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Green cons - Season 1: no of months</v>
      </c>
      <c r="B9" s="216">
        <f>IF([1]Summ!E1047="",0,[1]Summ!E1047)</f>
        <v>4.2500000000000003E-2</v>
      </c>
      <c r="C9" s="216">
        <f>IF([1]Summ!F1047="",0,[1]Summ!F1047)</f>
        <v>0</v>
      </c>
      <c r="D9" s="24">
        <f t="shared" si="0"/>
        <v>4.2500000000000003E-2</v>
      </c>
      <c r="E9" s="26">
        <v>1</v>
      </c>
      <c r="F9" s="28"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8">
        <f t="shared" si="6"/>
        <v>4.2500000000000003E-2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234.07023230600569</v>
      </c>
      <c r="S9" s="226">
        <f>IF($B$81=0,0,(SUMIF($N$6:$N$28,$U9,L$6:L$28)+SUMIF($N$91:$N$118,$U9,L$91:L$118))*$B$83*$H$84*Poor!$B$81/$B$81)</f>
        <v>234.07023230600569</v>
      </c>
      <c r="T9" s="226">
        <f>IF($B$81=0,0,(SUMIF($N$6:$N$28,$U9,M$6:M$28)+SUMIF($N$91:$N$118,$U9,M$91:M$118))*$B$83*$H$84*Poor!$B$81/$B$81)</f>
        <v>234.07023230600569</v>
      </c>
      <c r="U9" s="227">
        <v>3</v>
      </c>
      <c r="V9" s="56"/>
      <c r="W9" s="115"/>
      <c r="X9" s="124">
        <v>1</v>
      </c>
      <c r="Y9" s="184">
        <f t="shared" si="9"/>
        <v>0.17</v>
      </c>
      <c r="Z9" s="125">
        <f>IF($Y9=0,0,AA9/$Y9)</f>
        <v>0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0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1</v>
      </c>
      <c r="AG9" s="121">
        <f t="shared" si="11"/>
        <v>0.17</v>
      </c>
      <c r="AH9" s="123">
        <f t="shared" si="12"/>
        <v>1</v>
      </c>
      <c r="AI9" s="184">
        <f t="shared" si="13"/>
        <v>4.2500000000000003E-2</v>
      </c>
      <c r="AJ9" s="120">
        <f t="shared" si="14"/>
        <v>0</v>
      </c>
      <c r="AK9" s="119">
        <f t="shared" si="15"/>
        <v>8.5000000000000006E-2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Maize: kg produced</v>
      </c>
      <c r="B10" s="216">
        <f>IF([1]Summ!E1048="",0,[1]Summ!E1048)</f>
        <v>8.8718578767123274E-2</v>
      </c>
      <c r="C10" s="216">
        <f>IF([1]Summ!F1048="",0,[1]Summ!F1048)</f>
        <v>0</v>
      </c>
      <c r="D10" s="24">
        <f t="shared" si="0"/>
        <v>8.8718578767123274E-2</v>
      </c>
      <c r="E10" s="26">
        <v>1</v>
      </c>
      <c r="H10" s="24">
        <f t="shared" si="1"/>
        <v>1</v>
      </c>
      <c r="I10" s="22">
        <f t="shared" si="2"/>
        <v>8.8718578767123274E-2</v>
      </c>
      <c r="J10" s="24">
        <f t="shared" si="3"/>
        <v>8.8718578767123274E-2</v>
      </c>
      <c r="K10" s="22">
        <f t="shared" si="4"/>
        <v>8.8718578767123274E-2</v>
      </c>
      <c r="L10" s="22">
        <f t="shared" si="5"/>
        <v>8.8718578767123274E-2</v>
      </c>
      <c r="M10" s="228">
        <f t="shared" si="6"/>
        <v>8.8718578767123274E-2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24">
        <v>1</v>
      </c>
      <c r="Y10" s="184">
        <f t="shared" si="9"/>
        <v>0.3548743150684931</v>
      </c>
      <c r="Z10" s="125">
        <f>IF($Y10=0,0,AA10/$Y10)</f>
        <v>0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1</v>
      </c>
      <c r="AG10" s="121">
        <f t="shared" si="11"/>
        <v>0.3548743150684931</v>
      </c>
      <c r="AH10" s="123">
        <f t="shared" si="12"/>
        <v>1</v>
      </c>
      <c r="AI10" s="184">
        <f t="shared" si="13"/>
        <v>8.8718578767123274E-2</v>
      </c>
      <c r="AJ10" s="120">
        <f t="shared" si="14"/>
        <v>0</v>
      </c>
      <c r="AK10" s="119">
        <f t="shared" si="15"/>
        <v>0.17743715753424655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>Sorghum: kg produced</v>
      </c>
      <c r="B11" s="216">
        <f>IF([1]Summ!E1049="",0,[1]Summ!E1049)</f>
        <v>0</v>
      </c>
      <c r="C11" s="216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500.00000000000006</v>
      </c>
      <c r="S11" s="226">
        <f>IF($B$81=0,0,(SUMIF($N$6:$N$28,$U11,L$6:L$28)+SUMIF($N$91:$N$118,$U11,L$91:L$118))*$B$83*$H$84*Poor!$B$81/$B$81)</f>
        <v>500.00000000000006</v>
      </c>
      <c r="T11" s="226">
        <f>IF($B$81=0,0,(SUMIF($N$6:$N$28,$U11,M$6:M$28)+SUMIF($N$91:$N$118,$U11,M$91:M$118))*$B$83*$H$84*Poor!$B$81/$B$81)</f>
        <v>500.00000000000006</v>
      </c>
      <c r="U11" s="227">
        <v>5</v>
      </c>
      <c r="V11" s="56"/>
      <c r="W11" s="115"/>
      <c r="X11" s="124"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>Beans: kg produced</v>
      </c>
      <c r="B12" s="216">
        <f>IF([1]Summ!E1050="",0,[1]Summ!E1050)</f>
        <v>8.2852887608966391E-2</v>
      </c>
      <c r="C12" s="216">
        <f>IF([1]Summ!F1050="",0,[1]Summ!F1050)</f>
        <v>0</v>
      </c>
      <c r="D12" s="24">
        <f t="shared" si="0"/>
        <v>8.2852887608966391E-2</v>
      </c>
      <c r="E12" s="26">
        <v>1</v>
      </c>
      <c r="H12" s="24">
        <f t="shared" si="1"/>
        <v>1</v>
      </c>
      <c r="I12" s="22">
        <f t="shared" si="2"/>
        <v>8.2852887608966391E-2</v>
      </c>
      <c r="J12" s="24">
        <f t="shared" si="3"/>
        <v>8.2852887608966391E-2</v>
      </c>
      <c r="K12" s="22">
        <f t="shared" si="4"/>
        <v>8.2852887608966391E-2</v>
      </c>
      <c r="L12" s="22">
        <f t="shared" si="5"/>
        <v>8.2852887608966391E-2</v>
      </c>
      <c r="M12" s="228">
        <f t="shared" si="6"/>
        <v>8.2852887608966391E-2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0.33141155043586557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0.22204573879202993</v>
      </c>
      <c r="AF12" s="122">
        <f>1-SUM(Z12,AB12,AD12)</f>
        <v>0.32999999999999996</v>
      </c>
      <c r="AG12" s="121">
        <f>$M12*AF12*4</f>
        <v>0.10936581164383562</v>
      </c>
      <c r="AH12" s="123">
        <f t="shared" si="12"/>
        <v>1</v>
      </c>
      <c r="AI12" s="184">
        <f t="shared" si="13"/>
        <v>8.2852887608966391E-2</v>
      </c>
      <c r="AJ12" s="120">
        <f t="shared" si="14"/>
        <v>0</v>
      </c>
      <c r="AK12" s="119">
        <f t="shared" si="15"/>
        <v>0.16570577521793278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>Cassava: no. local meas.</v>
      </c>
      <c r="B13" s="216">
        <f>IF([1]Summ!E1051="",0,[1]Summ!E1051)</f>
        <v>0</v>
      </c>
      <c r="C13" s="216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1622.4143646408841</v>
      </c>
      <c r="S13" s="226">
        <f>IF($B$81=0,0,(SUMIF($N$6:$N$28,$U13,L$6:L$28)+SUMIF($N$91:$N$118,$U13,L$91:L$118))*$B$83*$H$84*Poor!$B$81/$B$81)</f>
        <v>1622.4143646408841</v>
      </c>
      <c r="T13" s="226">
        <f>IF($B$81=0,0,(SUMIF($N$6:$N$28,$U13,M$6:M$28)+SUMIF($N$91:$N$118,$U13,M$91:M$118))*$B$83*$H$84*Poor!$B$81/$B$81)</f>
        <v>1622.4143646408841</v>
      </c>
      <c r="U13" s="227">
        <v>7</v>
      </c>
      <c r="V13" s="56"/>
      <c r="W13" s="110"/>
      <c r="X13" s="118"/>
      <c r="Y13" s="184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>Water melon: no. local meas (Bhece)</v>
      </c>
      <c r="B14" s="216">
        <f>IF([1]Summ!E1052="",0,[1]Summ!E1052)</f>
        <v>0</v>
      </c>
      <c r="C14" s="216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9">
        <f t="shared" si="6"/>
        <v>0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>Pumpkin: no. local meas</v>
      </c>
      <c r="B15" s="216">
        <f>IF([1]Summ!E1053="",0,[1]Summ!E1053)</f>
        <v>2.1996341843088418E-2</v>
      </c>
      <c r="C15" s="216">
        <f>IF([1]Summ!F1053="",0,[1]Summ!F1053)</f>
        <v>0</v>
      </c>
      <c r="D15" s="24">
        <f t="shared" si="0"/>
        <v>2.1996341843088418E-2</v>
      </c>
      <c r="E15" s="26">
        <v>1</v>
      </c>
      <c r="F15" s="22"/>
      <c r="H15" s="24">
        <f t="shared" si="1"/>
        <v>1</v>
      </c>
      <c r="I15" s="22">
        <f t="shared" si="2"/>
        <v>2.1996341843088418E-2</v>
      </c>
      <c r="J15" s="24">
        <f>IF(I$32&lt;=1+I131,I15,B15*H15+J$33*(I15-B15*H15))</f>
        <v>2.1996341843088418E-2</v>
      </c>
      <c r="K15" s="22">
        <f t="shared" si="4"/>
        <v>2.1996341843088418E-2</v>
      </c>
      <c r="L15" s="22">
        <f t="shared" si="5"/>
        <v>2.1996341843088418E-2</v>
      </c>
      <c r="M15" s="230">
        <f t="shared" si="6"/>
        <v>2.1996341843088418E-2</v>
      </c>
      <c r="N15" s="233">
        <v>1</v>
      </c>
      <c r="O15" s="2"/>
      <c r="P15" s="22"/>
      <c r="Q15" s="59" t="s">
        <v>127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8.7985367372353671E-2</v>
      </c>
      <c r="Z15" s="116">
        <v>0.25</v>
      </c>
      <c r="AA15" s="121">
        <f t="shared" si="16"/>
        <v>2.1996341843088418E-2</v>
      </c>
      <c r="AB15" s="116">
        <v>0.25</v>
      </c>
      <c r="AC15" s="121">
        <f t="shared" si="7"/>
        <v>2.1996341843088418E-2</v>
      </c>
      <c r="AD15" s="116">
        <v>0.25</v>
      </c>
      <c r="AE15" s="121">
        <f t="shared" si="8"/>
        <v>2.1996341843088418E-2</v>
      </c>
      <c r="AF15" s="122">
        <f t="shared" si="10"/>
        <v>0.25</v>
      </c>
      <c r="AG15" s="121">
        <f t="shared" si="11"/>
        <v>2.1996341843088418E-2</v>
      </c>
      <c r="AH15" s="123">
        <f t="shared" si="12"/>
        <v>1</v>
      </c>
      <c r="AI15" s="184">
        <f t="shared" si="13"/>
        <v>2.1996341843088418E-2</v>
      </c>
      <c r="AJ15" s="120">
        <f t="shared" si="14"/>
        <v>2.1996341843088418E-2</v>
      </c>
      <c r="AK15" s="119">
        <f t="shared" si="15"/>
        <v>2.1996341843088418E-2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>Sweet poatato: no. local meas</v>
      </c>
      <c r="B16" s="216">
        <f>IF([1]Summ!E1054="",0,[1]Summ!E1054)</f>
        <v>2.5988480697384807E-2</v>
      </c>
      <c r="C16" s="216">
        <f>IF([1]Summ!F1054="",0,[1]Summ!F1054)</f>
        <v>0</v>
      </c>
      <c r="D16" s="24">
        <f t="shared" si="0"/>
        <v>2.5988480697384807E-2</v>
      </c>
      <c r="E16" s="26">
        <v>1</v>
      </c>
      <c r="F16" s="22"/>
      <c r="H16" s="24">
        <f t="shared" si="1"/>
        <v>1</v>
      </c>
      <c r="I16" s="22">
        <f t="shared" si="2"/>
        <v>2.5988480697384807E-2</v>
      </c>
      <c r="J16" s="24">
        <f>IF(I$32&lt;=1+I131,I16,B16*H16+J$33*(I16-B16*H16))</f>
        <v>2.5988480697384807E-2</v>
      </c>
      <c r="K16" s="22">
        <f t="shared" si="4"/>
        <v>2.5988480697384807E-2</v>
      </c>
      <c r="L16" s="22">
        <f t="shared" si="5"/>
        <v>2.5988480697384807E-2</v>
      </c>
      <c r="M16" s="228">
        <f t="shared" si="6"/>
        <v>2.5988480697384807E-2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0.10395392278953923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0.10395392278953923</v>
      </c>
      <c r="AH16" s="123">
        <f t="shared" si="12"/>
        <v>1</v>
      </c>
      <c r="AI16" s="184">
        <f t="shared" si="13"/>
        <v>2.5988480697384807E-2</v>
      </c>
      <c r="AJ16" s="120">
        <f t="shared" si="14"/>
        <v>0</v>
      </c>
      <c r="AK16" s="119">
        <f t="shared" si="15"/>
        <v>5.1976961394769615E-2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>Groundnuts (dry): no. local meas</v>
      </c>
      <c r="B17" s="216">
        <f>IF([1]Summ!E1055="",0,[1]Summ!E1055)</f>
        <v>5.849071699875466E-2</v>
      </c>
      <c r="C17" s="216">
        <f>IF([1]Summ!F1055="",0,[1]Summ!F1055)</f>
        <v>4.7169933063511846E-2</v>
      </c>
      <c r="D17" s="24">
        <f>SUM(B17,C17)</f>
        <v>0.10566065006226651</v>
      </c>
      <c r="E17" s="26">
        <v>1</v>
      </c>
      <c r="F17" s="22"/>
      <c r="H17" s="24">
        <f t="shared" si="1"/>
        <v>1</v>
      </c>
      <c r="I17" s="22">
        <f t="shared" si="2"/>
        <v>0.10566065006226651</v>
      </c>
      <c r="J17" s="24">
        <f t="shared" ref="J17:J25" si="17">IF(I$32&lt;=1+I131,I17,B17*H17+J$33*(I17-B17*H17))</f>
        <v>0.10566065006226651</v>
      </c>
      <c r="K17" s="22">
        <f t="shared" si="4"/>
        <v>5.849071699875466E-2</v>
      </c>
      <c r="L17" s="22">
        <f t="shared" si="5"/>
        <v>5.849071699875466E-2</v>
      </c>
      <c r="M17" s="229">
        <f t="shared" si="6"/>
        <v>0.10566065006226651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0.42264260024906602</v>
      </c>
      <c r="Z17" s="116">
        <v>0.29409999999999997</v>
      </c>
      <c r="AA17" s="121">
        <f t="shared" si="16"/>
        <v>0.12429918873325031</v>
      </c>
      <c r="AB17" s="116">
        <v>0.17649999999999999</v>
      </c>
      <c r="AC17" s="121">
        <f t="shared" si="7"/>
        <v>7.4596418943960144E-2</v>
      </c>
      <c r="AD17" s="116">
        <v>0.23530000000000001</v>
      </c>
      <c r="AE17" s="121">
        <f t="shared" si="8"/>
        <v>9.9447803838605242E-2</v>
      </c>
      <c r="AF17" s="122">
        <f t="shared" si="10"/>
        <v>0.29410000000000003</v>
      </c>
      <c r="AG17" s="121">
        <f t="shared" si="11"/>
        <v>0.12429918873325033</v>
      </c>
      <c r="AH17" s="123">
        <f t="shared" si="12"/>
        <v>1</v>
      </c>
      <c r="AI17" s="184">
        <f t="shared" si="13"/>
        <v>0.10566065006226649</v>
      </c>
      <c r="AJ17" s="120">
        <f t="shared" si="14"/>
        <v>9.9447803838605228E-2</v>
      </c>
      <c r="AK17" s="119">
        <f t="shared" si="15"/>
        <v>0.11187349628592778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>Irish potato: type</v>
      </c>
      <c r="B18" s="216">
        <f>IF([1]Summ!E1056="",0,[1]Summ!E1056)</f>
        <v>8.3094645080946453E-3</v>
      </c>
      <c r="C18" s="216">
        <f>IF([1]Summ!F1056="",0,[1]Summ!F1056)</f>
        <v>2.1995641344956414E-3</v>
      </c>
      <c r="D18" s="24">
        <f t="shared" ref="D18:D20" si="18">SUM(B18,C18)</f>
        <v>1.0509028642590287E-2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1.0509028642590287E-2</v>
      </c>
      <c r="J18" s="24">
        <f t="shared" si="17"/>
        <v>8.6038379534143922E-3</v>
      </c>
      <c r="K18" s="22">
        <f t="shared" ref="K18:K20" si="21">B18</f>
        <v>8.3094645080946453E-3</v>
      </c>
      <c r="L18" s="22">
        <f t="shared" ref="L18:L20" si="22">IF(K18="","",K18*H18)</f>
        <v>8.3094645080946453E-3</v>
      </c>
      <c r="M18" s="229">
        <f t="shared" ref="M18:M20" si="23">J18</f>
        <v>8.6038379534143922E-3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807.33808994213837</v>
      </c>
      <c r="S18" s="226">
        <f>IF($B$81=0,0,(SUMIF($N$6:$N$28,$U18,L$6:L$28)+SUMIF($N$91:$N$118,$U18,L$91:L$118))*$B$83*$H$84*Poor!$B$81/$B$81)</f>
        <v>807.33808994213837</v>
      </c>
      <c r="T18" s="226">
        <f>IF($B$81=0,0,(SUMIF($N$6:$N$28,$U18,M$6:M$28)+SUMIF($N$91:$N$118,$U18,M$91:M$118))*$B$83*$H$84*Poor!$B$81/$B$81)</f>
        <v>807.33808994213837</v>
      </c>
      <c r="U18" s="227">
        <v>12</v>
      </c>
      <c r="V18" s="56"/>
      <c r="W18" s="110"/>
      <c r="X18" s="118"/>
      <c r="Y18" s="184">
        <f t="shared" ref="Y18:Y20" si="24">M18*4</f>
        <v>3.4415351813657569E-2</v>
      </c>
      <c r="Z18" s="116">
        <v>1.2941</v>
      </c>
      <c r="AA18" s="121">
        <f t="shared" ref="AA18:AA20" si="25">$M18*Z18*4</f>
        <v>4.4536906782054263E-2</v>
      </c>
      <c r="AB18" s="116">
        <v>1.1765000000000001</v>
      </c>
      <c r="AC18" s="121">
        <f t="shared" ref="AC18:AC20" si="26">$M18*AB18*4</f>
        <v>4.0489661408768134E-2</v>
      </c>
      <c r="AD18" s="116">
        <v>1.2353000000000001</v>
      </c>
      <c r="AE18" s="121">
        <f t="shared" ref="AE18:AE20" si="27">$M18*AD18*4</f>
        <v>4.2513284095411198E-2</v>
      </c>
      <c r="AF18" s="122">
        <f t="shared" ref="AF18:AF20" si="28">1-SUM(Z18,AB18,AD18)</f>
        <v>-2.7059000000000002</v>
      </c>
      <c r="AG18" s="121">
        <f t="shared" ref="AG18:AG20" si="29">$M18*AF18*4</f>
        <v>-9.3124500472576019E-2</v>
      </c>
      <c r="AH18" s="123">
        <f t="shared" ref="AH18:AH20" si="30">SUM(Z18,AB18,AD18,AF18)</f>
        <v>1</v>
      </c>
      <c r="AI18" s="184">
        <f t="shared" ref="AI18:AI20" si="31">SUM(AA18,AC18,AE18,AG18)/4</f>
        <v>8.6038379534143956E-3</v>
      </c>
      <c r="AJ18" s="120">
        <f t="shared" ref="AJ18:AJ20" si="32">(AA18+AC18)/2</f>
        <v>4.2513284095411198E-2</v>
      </c>
      <c r="AK18" s="119">
        <f t="shared" ref="AK18:AK20" si="33">(AE18+AG18)/2</f>
        <v>-2.530560818858241E-2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>Yam: type</v>
      </c>
      <c r="B19" s="216">
        <f>IF([1]Summ!E1057="",0,[1]Summ!E1057)</f>
        <v>2.082230697384807E-2</v>
      </c>
      <c r="C19" s="216">
        <f>IF([1]Summ!F1057="",0,[1]Summ!F1057)</f>
        <v>0</v>
      </c>
      <c r="D19" s="24">
        <f t="shared" si="18"/>
        <v>2.082230697384807E-2</v>
      </c>
      <c r="E19" s="26">
        <v>1</v>
      </c>
      <c r="F19" s="22"/>
      <c r="H19" s="24">
        <f t="shared" si="19"/>
        <v>1</v>
      </c>
      <c r="I19" s="22">
        <f t="shared" si="20"/>
        <v>2.082230697384807E-2</v>
      </c>
      <c r="J19" s="24">
        <f t="shared" si="17"/>
        <v>2.082230697384807E-2</v>
      </c>
      <c r="K19" s="22">
        <f t="shared" si="21"/>
        <v>2.082230697384807E-2</v>
      </c>
      <c r="L19" s="22">
        <f t="shared" si="22"/>
        <v>2.082230697384807E-2</v>
      </c>
      <c r="M19" s="229">
        <f t="shared" si="23"/>
        <v>2.082230697384807E-2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0</v>
      </c>
      <c r="S19" s="226">
        <f>IF($B$81=0,0,(SUMIF($N$6:$N$28,$U19,L$6:L$28)+SUMIF($N$91:$N$118,$U19,L$91:L$118))*$B$83*$H$84*Poor!$B$81/$B$81)</f>
        <v>0</v>
      </c>
      <c r="T19" s="226">
        <f>IF($B$81=0,0,(SUMIF($N$6:$N$28,$U19,M$6:M$28)+SUMIF($N$91:$N$118,$U19,M$91:M$118))*$B$83*$H$84*Poor!$B$81/$B$81)</f>
        <v>0</v>
      </c>
      <c r="U19" s="227">
        <v>13</v>
      </c>
      <c r="V19" s="56"/>
      <c r="W19" s="110"/>
      <c r="X19" s="118"/>
      <c r="Y19" s="184">
        <f t="shared" si="24"/>
        <v>8.3289227895392282E-2</v>
      </c>
      <c r="Z19" s="116">
        <v>2.2940999999999998</v>
      </c>
      <c r="AA19" s="121">
        <f t="shared" si="25"/>
        <v>0.19107381771481941</v>
      </c>
      <c r="AB19" s="116">
        <v>2.1764999999999999</v>
      </c>
      <c r="AC19" s="121">
        <f t="shared" si="26"/>
        <v>0.1812790045143213</v>
      </c>
      <c r="AD19" s="116">
        <v>2.2353000000000001</v>
      </c>
      <c r="AE19" s="121">
        <f t="shared" si="27"/>
        <v>0.18617641111457037</v>
      </c>
      <c r="AF19" s="122">
        <f t="shared" si="28"/>
        <v>-5.7058999999999997</v>
      </c>
      <c r="AG19" s="121">
        <f t="shared" si="29"/>
        <v>-0.47524000544831879</v>
      </c>
      <c r="AH19" s="123">
        <f t="shared" si="30"/>
        <v>1</v>
      </c>
      <c r="AI19" s="184">
        <f t="shared" si="31"/>
        <v>2.082230697384807E-2</v>
      </c>
      <c r="AJ19" s="120">
        <f t="shared" si="32"/>
        <v>0.18617641111457034</v>
      </c>
      <c r="AK19" s="119">
        <f t="shared" si="33"/>
        <v>-0.1445317971668742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>FISHING -- see worksheet Data 3</v>
      </c>
      <c r="B20" s="216">
        <f>IF([1]Summ!E1058="",0,[1]Summ!E1058)</f>
        <v>0</v>
      </c>
      <c r="C20" s="216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22020</v>
      </c>
      <c r="S20" s="226">
        <f>IF($B$81=0,0,(SUMIF($N$6:$N$28,$U20,L$6:L$28)+SUMIF($N$91:$N$118,$U20,L$91:L$118))*$B$83*$H$84*Poor!$B$81/$B$81)</f>
        <v>22020</v>
      </c>
      <c r="T20" s="226">
        <f>IF($B$81=0,0,(SUMIF($N$6:$N$28,$U20,M$6:M$28)+SUMIF($N$91:$N$118,$U20,M$91:M$118))*$B$83*$H$84*Poor!$B$81/$B$81)</f>
        <v>22020</v>
      </c>
      <c r="U20" s="227">
        <v>14</v>
      </c>
      <c r="V20" s="56"/>
      <c r="W20" s="110"/>
      <c r="X20" s="118"/>
      <c r="Y20" s="184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4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>Labour: Land clearing, construction, herding, slaughtering</v>
      </c>
      <c r="B21" s="216">
        <f>IF([1]Summ!E1059="",0,[1]Summ!E1059)</f>
        <v>5.6779890410958905E-2</v>
      </c>
      <c r="C21" s="216">
        <f>IF([1]Summ!F1059="",0,[1]Summ!F1059)</f>
        <v>0</v>
      </c>
      <c r="D21" s="24">
        <f t="shared" ref="D21:D25" si="34">SUM(B21,C21)</f>
        <v>5.6779890410958905E-2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5.6779890410958905E-2</v>
      </c>
      <c r="J21" s="24">
        <f t="shared" si="17"/>
        <v>5.6779890410958905E-2</v>
      </c>
      <c r="K21" s="22">
        <f t="shared" ref="K21:K25" si="37">B21</f>
        <v>5.6779890410958905E-2</v>
      </c>
      <c r="L21" s="22">
        <f t="shared" ref="L21:L25" si="38">IF(K21="","",K21*H21)</f>
        <v>5.6779890410958905E-2</v>
      </c>
      <c r="M21" s="229">
        <f t="shared" ref="M21:M25" si="39">J21</f>
        <v>5.6779890410958905E-2</v>
      </c>
      <c r="N21" s="233">
        <v>7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>
        <f t="shared" ref="Y21:Y25" si="40">M21*4</f>
        <v>0.22711956164383562</v>
      </c>
      <c r="Z21" s="116">
        <v>4.2941000000000003</v>
      </c>
      <c r="AA21" s="121">
        <f t="shared" ref="AA21:AA25" si="41">$M21*Z21*4</f>
        <v>0.97527410965479455</v>
      </c>
      <c r="AB21" s="116">
        <v>4.1764999999999999</v>
      </c>
      <c r="AC21" s="121">
        <f t="shared" ref="AC21:AC25" si="42">$M21*AB21*4</f>
        <v>0.94856484920547945</v>
      </c>
      <c r="AD21" s="116">
        <v>4.2352999999999996</v>
      </c>
      <c r="AE21" s="121">
        <f t="shared" ref="AE21:AE25" si="43">$M21*AD21*4</f>
        <v>0.96191947943013689</v>
      </c>
      <c r="AF21" s="122">
        <f t="shared" ref="AF21:AF25" si="44">1-SUM(Z21,AB21,AD21)</f>
        <v>-11.7059</v>
      </c>
      <c r="AG21" s="121">
        <f t="shared" ref="AG21:AG25" si="45">$M21*AF21*4</f>
        <v>-2.6586388766465752</v>
      </c>
      <c r="AH21" s="123">
        <f t="shared" ref="AH21:AH25" si="46">SUM(Z21,AB21,AD21,AF21)</f>
        <v>1</v>
      </c>
      <c r="AI21" s="184">
        <f t="shared" ref="AI21:AI25" si="47">SUM(AA21,AC21,AE21,AG21)/4</f>
        <v>5.6779890410958989E-2</v>
      </c>
      <c r="AJ21" s="120">
        <f t="shared" ref="AJ21:AJ25" si="48">(AA21+AC21)/2</f>
        <v>0.961919479430137</v>
      </c>
      <c r="AK21" s="119">
        <f t="shared" ref="AK21:AK25" si="49">(AE21+AG21)/2</f>
        <v>-0.84835969860821914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>Labour: Weeding</v>
      </c>
      <c r="B22" s="216">
        <f>IF([1]Summ!E1060="",0,[1]Summ!E1060)</f>
        <v>1.8926630136986301E-2</v>
      </c>
      <c r="C22" s="216">
        <f>IF([1]Summ!F1060="",0,[1]Summ!F1060)</f>
        <v>0</v>
      </c>
      <c r="D22" s="24">
        <f t="shared" si="34"/>
        <v>1.8926630136986301E-2</v>
      </c>
      <c r="E22" s="26">
        <v>1</v>
      </c>
      <c r="F22" s="22"/>
      <c r="H22" s="24">
        <f t="shared" si="35"/>
        <v>1</v>
      </c>
      <c r="I22" s="22">
        <f t="shared" si="36"/>
        <v>1.8926630136986301E-2</v>
      </c>
      <c r="J22" s="24">
        <f t="shared" si="17"/>
        <v>1.8926630136986301E-2</v>
      </c>
      <c r="K22" s="22">
        <f t="shared" si="37"/>
        <v>1.8926630136986301E-2</v>
      </c>
      <c r="L22" s="22">
        <f t="shared" si="38"/>
        <v>1.8926630136986301E-2</v>
      </c>
      <c r="M22" s="229">
        <f t="shared" si="39"/>
        <v>1.8926630136986301E-2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>
        <f t="shared" si="40"/>
        <v>7.5706520547945202E-2</v>
      </c>
      <c r="Z22" s="116">
        <v>5.2941000000000003</v>
      </c>
      <c r="AA22" s="121">
        <f t="shared" si="41"/>
        <v>0.40079789043287672</v>
      </c>
      <c r="AB22" s="116">
        <v>5.1764999999999999</v>
      </c>
      <c r="AC22" s="121">
        <f t="shared" si="42"/>
        <v>0.39189480361643836</v>
      </c>
      <c r="AD22" s="116">
        <v>5.2352999999999996</v>
      </c>
      <c r="AE22" s="121">
        <f t="shared" si="43"/>
        <v>0.39634634702465749</v>
      </c>
      <c r="AF22" s="122">
        <f t="shared" si="44"/>
        <v>-14.7059</v>
      </c>
      <c r="AG22" s="121">
        <f t="shared" si="45"/>
        <v>-1.1133325205260274</v>
      </c>
      <c r="AH22" s="123">
        <f t="shared" si="46"/>
        <v>1</v>
      </c>
      <c r="AI22" s="184">
        <f t="shared" si="47"/>
        <v>1.8926630136986311E-2</v>
      </c>
      <c r="AJ22" s="120">
        <f t="shared" si="48"/>
        <v>0.39634634702465754</v>
      </c>
      <c r="AK22" s="119">
        <f t="shared" si="49"/>
        <v>-0.35849308675068492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>Gifts/remittances: cereal</v>
      </c>
      <c r="B23" s="216">
        <f>IF([1]Summ!E1061="",0,[1]Summ!E1061)</f>
        <v>0</v>
      </c>
      <c r="C23" s="216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9">
        <f t="shared" si="39"/>
        <v>0</v>
      </c>
      <c r="N23" s="233">
        <v>13</v>
      </c>
      <c r="O23" s="2"/>
      <c r="P23" s="22"/>
      <c r="Q23" s="171" t="s">
        <v>100</v>
      </c>
      <c r="R23" s="179">
        <f>SUM(R7:R22)</f>
        <v>28391.218255281561</v>
      </c>
      <c r="S23" s="179">
        <f>SUM(S7:S22)</f>
        <v>28391.218255281561</v>
      </c>
      <c r="T23" s="179">
        <f>SUM(T7:T22)</f>
        <v>28027.104092762616</v>
      </c>
      <c r="U23" s="56"/>
      <c r="V23" s="56"/>
      <c r="W23" s="110"/>
      <c r="X23" s="118"/>
      <c r="Y23" s="184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4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>Gifts/remittances: Other</v>
      </c>
      <c r="B24" s="216">
        <f>IF([1]Summ!E1062="",0,[1]Summ!E1062)</f>
        <v>0</v>
      </c>
      <c r="C24" s="216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9">
        <f t="shared" si="39"/>
        <v>0</v>
      </c>
      <c r="N24" s="233">
        <v>13</v>
      </c>
      <c r="O24" s="2"/>
      <c r="P24" s="22"/>
      <c r="Q24" s="59" t="s">
        <v>137</v>
      </c>
      <c r="R24" s="41">
        <f>IF($B$81=0,0,($B$124*$H$124)+1-($D$29*$H$29)-($D$28*$H$28))*$I$83*Poor!$B$81/$B$81</f>
        <v>17059.8252222761</v>
      </c>
      <c r="S24" s="41">
        <f>IF($B$81=0,0,($B$124*($H$124)+1-($D$29*$H$29)-($D$28*$H$28))*$I$83*Poor!$B$81/$B$81)</f>
        <v>17059.8252222761</v>
      </c>
      <c r="T24" s="41">
        <f>IF($B$81=0,0,($B$124*($H$124)+1-($D$29*$H$29)-($D$28*$H$28))*$I$83*Poor!$B$81/$B$81)</f>
        <v>17059.8252222761</v>
      </c>
      <c r="U24" s="56"/>
      <c r="V24" s="56"/>
      <c r="W24" s="110"/>
      <c r="X24" s="118"/>
      <c r="Y24" s="184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4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6">
        <f>IF([1]Summ!E1063="",0,[1]Summ!E1063)</f>
        <v>0</v>
      </c>
      <c r="C25" s="216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9">
        <f t="shared" si="39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31038.491888942768</v>
      </c>
      <c r="S25" s="41">
        <f>IF($B$81=0,0,($B$124*$H$124)+($B$125*$H$125*$H$84)+1-($D$29*$H$29)-($D$28*$H$28))*$I$83*Poor!$B$81/$B$81</f>
        <v>31038.491888942768</v>
      </c>
      <c r="T25" s="41">
        <f>IF($B$81=0,0,($B$124*$H$124)+($B$125*$H$125*$H$84)+1-($D$29*$H$29)-($D$28*$H$28))*$I$83*Poor!$B$81/$B$81</f>
        <v>31038.491888942768</v>
      </c>
      <c r="U25" s="56"/>
      <c r="V25" s="56"/>
      <c r="W25" s="110"/>
      <c r="X25" s="118"/>
      <c r="Y25" s="184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4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6">
        <f>IF([1]Summ!E1064="",0,[1]Summ!E1064)</f>
        <v>0.11904761904761904</v>
      </c>
      <c r="C26" s="216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58782.491888942779</v>
      </c>
      <c r="S26" s="41">
        <f>IF($B$81=0,0,($B$124*$H$124)+($B$125*$H$125*$H$84)+($B$126*$H$126*$H$84)+1-($D$29*$H$29)-($D$28*$H$28))*$I$83*Poor!$B$81/$B$81</f>
        <v>58782.491888942779</v>
      </c>
      <c r="T26" s="41">
        <f>IF($B$81=0,0,($B$124*$H$124)+($B$125*$H$125*$H$84)+($B$126*$H$126*$H$84)+1-($D$29*$H$29)-($D$28*$H$28))*$I$83*Poor!$B$81/$B$81</f>
        <v>58782.491888942779</v>
      </c>
      <c r="U26" s="56"/>
      <c r="V26" s="56"/>
      <c r="W26" s="110"/>
      <c r="X26" s="118"/>
      <c r="Y26" s="184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6">
        <f>IF([1]Summ!E1065="",0,[1]Summ!E1065)</f>
        <v>3.314115504358655E-2</v>
      </c>
      <c r="C27" s="216">
        <f>IF([1]Summ!F1065="",0,[1]Summ!F1065)</f>
        <v>-3.314115504358655E-2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0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62522.491888942786</v>
      </c>
      <c r="S27" s="41">
        <f>IF($B$81=0,0,($B$124*$H$124)+($B$125*$H$125*$H$84)+($B$126*$H$126*$H$84)+($B$127*$H$127*$H$84)+1-($D$29*$H$29)-($D$28*$H$28))*$I$83*Poor!$B$81/$B$81</f>
        <v>62522.491888942786</v>
      </c>
      <c r="T27" s="41">
        <f>IF($B$81=0,0,($B$124*$H$124)+($B$125*$H$125*$H$84)+($B$126*$H$126*$H$84)+($B$127*$H$127*$H$84)+1-($D$29*$H$29)-($D$28*$H$28))*$I$83*Poor!$B$81/$B$81</f>
        <v>62522.491888942786</v>
      </c>
      <c r="U27" s="56"/>
      <c r="V27" s="56"/>
      <c r="W27" s="110"/>
      <c r="X27" s="118"/>
      <c r="Y27" s="184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4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6">
        <f>IF([1]Summ!E1066="",0,[1]Summ!E1066)</f>
        <v>6.7650971357409703E-2</v>
      </c>
      <c r="C28" s="216">
        <f>IF([1]Summ!F1066="",0,[1]Summ!F1066)</f>
        <v>-6.7650971357409703E-2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0</v>
      </c>
      <c r="N28" s="233"/>
      <c r="O28" s="2"/>
      <c r="P28" s="22"/>
      <c r="V28" s="56"/>
      <c r="W28" s="110"/>
      <c r="X28" s="118"/>
      <c r="Y28" s="184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4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6">
        <f>IF([1]Summ!E1067="",0,[1]Summ!E1067)</f>
        <v>0.28783272384806979</v>
      </c>
      <c r="C29" s="216">
        <f>IF([1]Summ!F1067="",0,[1]Summ!F1067)</f>
        <v>0.19891439108402972</v>
      </c>
      <c r="D29" s="24">
        <f>SUM(B29,C29)</f>
        <v>0.48674711493209954</v>
      </c>
      <c r="E29" s="26"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0.48674711493209954</v>
      </c>
      <c r="K29" s="22">
        <f t="shared" si="4"/>
        <v>0.28783272384806979</v>
      </c>
      <c r="L29" s="22">
        <f t="shared" si="5"/>
        <v>0.28783272384806979</v>
      </c>
      <c r="M29" s="228">
        <f t="shared" si="6"/>
        <v>0.48674711493209954</v>
      </c>
      <c r="N29" s="233"/>
      <c r="P29" s="22"/>
      <c r="V29" s="56"/>
      <c r="W29" s="110"/>
      <c r="X29" s="118"/>
      <c r="Y29" s="184">
        <f t="shared" si="9"/>
        <v>1.9469884597283982</v>
      </c>
      <c r="Z29" s="116">
        <v>0.25</v>
      </c>
      <c r="AA29" s="121">
        <f t="shared" si="16"/>
        <v>0.48674711493209954</v>
      </c>
      <c r="AB29" s="116">
        <v>0.25</v>
      </c>
      <c r="AC29" s="121">
        <f t="shared" si="7"/>
        <v>0.48674711493209954</v>
      </c>
      <c r="AD29" s="116">
        <v>0.25</v>
      </c>
      <c r="AE29" s="121">
        <f t="shared" si="8"/>
        <v>0.48674711493209954</v>
      </c>
      <c r="AF29" s="122">
        <f t="shared" si="10"/>
        <v>0.25</v>
      </c>
      <c r="AG29" s="121">
        <f t="shared" si="11"/>
        <v>0.48674711493209954</v>
      </c>
      <c r="AH29" s="123">
        <f t="shared" si="12"/>
        <v>1</v>
      </c>
      <c r="AI29" s="184">
        <f t="shared" si="13"/>
        <v>0.48674711493209954</v>
      </c>
      <c r="AJ29" s="120">
        <f t="shared" si="14"/>
        <v>0.48674711493209954</v>
      </c>
      <c r="AK29" s="119">
        <f t="shared" si="15"/>
        <v>0.48674711493209954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6">
        <f>IF([1]Summ!E1068="",0,[1]Summ!E1068)</f>
        <v>0.41895699097135741</v>
      </c>
      <c r="C30" s="103"/>
      <c r="D30" s="24">
        <f>(D119-B124)</f>
        <v>1.5040419599524681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1.5040419599524681</v>
      </c>
      <c r="J30" s="235">
        <f>IF(I$32&lt;=$B$32,I30,$B$32-SUM(J6:J29))</f>
        <v>0.27337041977949239</v>
      </c>
      <c r="K30" s="22">
        <f t="shared" si="4"/>
        <v>0.41895699097135741</v>
      </c>
      <c r="L30" s="22">
        <f>IF(L124=L119,0,IF(K30="",0,(L119-L124)/(B119-B124)*K30))</f>
        <v>0.41895699097135741</v>
      </c>
      <c r="M30" s="175">
        <f t="shared" si="6"/>
        <v>0.27337041977949239</v>
      </c>
      <c r="N30" s="166" t="s">
        <v>86</v>
      </c>
      <c r="O30" s="2"/>
      <c r="P30" s="22"/>
      <c r="Q30" s="238" t="s">
        <v>141</v>
      </c>
      <c r="R30" s="238">
        <f t="shared" ref="R30:T33" si="50">IF(R24&gt;R$23,R24-R$23,0)</f>
        <v>0</v>
      </c>
      <c r="S30" s="238">
        <f t="shared" si="50"/>
        <v>0</v>
      </c>
      <c r="T30" s="238">
        <f t="shared" si="50"/>
        <v>0</v>
      </c>
      <c r="V30" s="56"/>
      <c r="W30" s="110"/>
      <c r="X30" s="118"/>
      <c r="Y30" s="184">
        <f>M30*4</f>
        <v>1.0934816791179696</v>
      </c>
      <c r="Z30" s="122">
        <f>IF($Y30=0,0,AA30/($Y$30))</f>
        <v>-1.2523728004130537</v>
      </c>
      <c r="AA30" s="188">
        <f>IF(AA79*4/$I$83+SUM(AA6:AA29)&lt;1,AA79*4/$I$83,1-SUM(AA6:AA29))</f>
        <v>-1.3694467126773398</v>
      </c>
      <c r="AB30" s="122">
        <f>IF($Y30=0,0,AC30/($Y$30))</f>
        <v>-1.1616925654146855</v>
      </c>
      <c r="AC30" s="188">
        <f>IF(AC79*4/$I$83+SUM(AC6:AC29)&lt;1,AC79*4/$I$83,1-SUM(AC6:AC29))</f>
        <v>-1.2702895370485119</v>
      </c>
      <c r="AD30" s="122">
        <f>IF($Y30=0,0,AE30/($Y$30))</f>
        <v>-1.4149792065985138</v>
      </c>
      <c r="AE30" s="188">
        <f>IF(AE79*4/$I$83+SUM(AE6:AE29)&lt;1,AE79*4/$I$83,1-SUM(AE6:AE29))</f>
        <v>-1.5472538387483552</v>
      </c>
      <c r="AF30" s="122">
        <f>IF($Y30=0,0,AG30/($Y$30))</f>
        <v>3.4151021165998032</v>
      </c>
      <c r="AG30" s="188">
        <f>IF(AG79*4/$I$83+SUM(AG6:AG29)&lt;1,AG79*4/$I$83,1-SUM(AG6:AG29))</f>
        <v>3.7343515968188847</v>
      </c>
      <c r="AH30" s="123">
        <f t="shared" si="12"/>
        <v>-0.41394245582644951</v>
      </c>
      <c r="AI30" s="184">
        <f t="shared" si="13"/>
        <v>-0.11315962291383064</v>
      </c>
      <c r="AJ30" s="120">
        <f t="shared" si="14"/>
        <v>-1.3198681248629258</v>
      </c>
      <c r="AK30" s="119">
        <f t="shared" si="15"/>
        <v>1.0935488790352648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-0.3865300426933227</v>
      </c>
      <c r="M31" s="178">
        <f t="shared" si="6"/>
        <v>0</v>
      </c>
      <c r="N31" s="167">
        <f>M31*I83</f>
        <v>0</v>
      </c>
      <c r="P31" s="22"/>
      <c r="Q31" s="242" t="s">
        <v>142</v>
      </c>
      <c r="R31" s="238">
        <f t="shared" si="50"/>
        <v>2647.273633661207</v>
      </c>
      <c r="S31" s="238">
        <f t="shared" si="50"/>
        <v>2647.273633661207</v>
      </c>
      <c r="T31" s="238">
        <f t="shared" si="50"/>
        <v>3011.3877961801518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1.3865300426933227</v>
      </c>
      <c r="C32" s="29">
        <f>SUM(C6:C31)</f>
        <v>0.14749176188104096</v>
      </c>
      <c r="D32" s="24">
        <f>SUM(D6:D30)</f>
        <v>2.6191067735554743</v>
      </c>
      <c r="E32" s="2"/>
      <c r="F32" s="2"/>
      <c r="H32" s="17"/>
      <c r="I32" s="22">
        <f>SUM(I6:I30)</f>
        <v>2.6191067735554743</v>
      </c>
      <c r="J32" s="17"/>
      <c r="L32" s="22">
        <f>SUM(L6:L30)</f>
        <v>1.3865300426933227</v>
      </c>
      <c r="M32" s="23"/>
      <c r="N32" s="56"/>
      <c r="O32" s="2"/>
      <c r="P32" s="22"/>
      <c r="Q32" s="238" t="s">
        <v>143</v>
      </c>
      <c r="R32" s="238">
        <f t="shared" si="50"/>
        <v>30391.273633661218</v>
      </c>
      <c r="S32" s="238">
        <f t="shared" si="50"/>
        <v>30391.273633661218</v>
      </c>
      <c r="T32" s="238">
        <f t="shared" si="50"/>
        <v>30755.387796180163</v>
      </c>
      <c r="V32" s="56"/>
      <c r="W32" s="110"/>
      <c r="X32" s="118"/>
      <c r="Y32" s="115">
        <f>SUM(Y6:Y31)</f>
        <v>5.5461201707732908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0.99999999999999956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0.13383262652045685</v>
      </c>
      <c r="K33" s="14"/>
      <c r="L33" s="11"/>
      <c r="M33" s="30"/>
      <c r="N33" s="168" t="s">
        <v>87</v>
      </c>
      <c r="O33" s="2"/>
      <c r="P33" s="2"/>
      <c r="Q33" s="242" t="s">
        <v>144</v>
      </c>
      <c r="R33" s="238">
        <f t="shared" si="50"/>
        <v>34131.273633661229</v>
      </c>
      <c r="S33" s="238">
        <f t="shared" si="50"/>
        <v>34131.273633661229</v>
      </c>
      <c r="T33" s="238">
        <f t="shared" si="50"/>
        <v>34495.38779618017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5632.695377715705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5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41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7">
        <f>IF([1]Summ!E1072="",0,[1]Summ!E1072)</f>
        <v>0</v>
      </c>
      <c r="C37" s="217">
        <f>IF([1]Summ!F1072="",0,[1]Summ!F1072)</f>
        <v>0</v>
      </c>
      <c r="D37" s="38">
        <f>SUM(B37,C37)</f>
        <v>0</v>
      </c>
      <c r="E37" s="237">
        <v>1</v>
      </c>
      <c r="F37" s="26">
        <v>1</v>
      </c>
      <c r="G37" s="26">
        <v>1</v>
      </c>
      <c r="H37" s="24">
        <f t="shared" ref="H37:H49" si="51">(E37*F37)</f>
        <v>1</v>
      </c>
      <c r="I37" s="39">
        <f t="shared" ref="I37:I49" si="52">D37*H37</f>
        <v>0</v>
      </c>
      <c r="J37" s="38">
        <f t="shared" ref="J37:J49" si="53">J91*I$83</f>
        <v>0</v>
      </c>
      <c r="K37" s="40">
        <f t="shared" ref="K37:K49" si="54">(B37/B$65)</f>
        <v>0</v>
      </c>
      <c r="L37" s="22">
        <f t="shared" ref="L37:L49" si="55">(K37*H37)</f>
        <v>0</v>
      </c>
      <c r="M37" s="24">
        <f t="shared" ref="M37:M49" si="56">J37/B$65</f>
        <v>0</v>
      </c>
      <c r="N37" s="2"/>
      <c r="O37" s="2"/>
      <c r="Q37" s="2"/>
      <c r="R37" s="180">
        <v>28391</v>
      </c>
      <c r="S37" s="180">
        <v>32156</v>
      </c>
      <c r="T37" s="22">
        <f>S37/R37</f>
        <v>1.1326124476066359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7">
        <f>IF([1]Summ!E1073="",0,[1]Summ!E1073)</f>
        <v>500</v>
      </c>
      <c r="C38" s="217">
        <f>IF([1]Summ!F1073="",0,[1]Summ!F1073)</f>
        <v>0</v>
      </c>
      <c r="D38" s="38">
        <f t="shared" ref="D38:D47" si="58">SUM(B38,C38)</f>
        <v>500</v>
      </c>
      <c r="E38" s="26">
        <v>1</v>
      </c>
      <c r="F38" s="26">
        <v>1</v>
      </c>
      <c r="G38" s="22">
        <f t="shared" ref="G38:G64" si="59">(G$37)</f>
        <v>1</v>
      </c>
      <c r="H38" s="24">
        <f t="shared" si="51"/>
        <v>1</v>
      </c>
      <c r="I38" s="39">
        <f t="shared" si="52"/>
        <v>500</v>
      </c>
      <c r="J38" s="38">
        <f t="shared" si="53"/>
        <v>500.00000000000006</v>
      </c>
      <c r="K38" s="40">
        <f t="shared" si="54"/>
        <v>2.0437359493153485E-2</v>
      </c>
      <c r="L38" s="22">
        <f t="shared" si="55"/>
        <v>2.0437359493153485E-2</v>
      </c>
      <c r="M38" s="24">
        <f t="shared" si="56"/>
        <v>2.0437359493153485E-2</v>
      </c>
      <c r="N38" s="2"/>
      <c r="O38" s="2"/>
      <c r="P38" s="2"/>
      <c r="Q38" s="59"/>
      <c r="R38" s="180">
        <v>17060</v>
      </c>
      <c r="S38" s="180">
        <v>19322</v>
      </c>
      <c r="T38" s="22">
        <f t="shared" ref="T38:T41" si="60">S38/R38</f>
        <v>1.132590855803048</v>
      </c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1</v>
      </c>
      <c r="AG38" s="147">
        <f t="shared" ref="AG38:AG64" si="61">$J38*AF38</f>
        <v>500.00000000000006</v>
      </c>
      <c r="AH38" s="123">
        <f t="shared" ref="AH38:AI58" si="62">SUM(Z38,AB38,AD38,AF38)</f>
        <v>1</v>
      </c>
      <c r="AI38" s="112">
        <f t="shared" si="62"/>
        <v>500.00000000000006</v>
      </c>
      <c r="AJ38" s="148">
        <f t="shared" ref="AJ38:AJ64" si="63">(AA38+AC38)</f>
        <v>0</v>
      </c>
      <c r="AK38" s="147">
        <f t="shared" ref="AK38:AK64" si="64">(AE38+AG38)</f>
        <v>500.00000000000006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Chicken sales: no. sold</v>
      </c>
      <c r="B39" s="217">
        <f>IF([1]Summ!E1074="",0,[1]Summ!E1074)</f>
        <v>0</v>
      </c>
      <c r="C39" s="217">
        <f>IF([1]Summ!F1074="",0,[1]Summ!F1074)</f>
        <v>0</v>
      </c>
      <c r="D39" s="38">
        <f t="shared" si="58"/>
        <v>0</v>
      </c>
      <c r="E39" s="26">
        <v>1</v>
      </c>
      <c r="F39" s="26">
        <v>1</v>
      </c>
      <c r="G39" s="22">
        <f t="shared" si="59"/>
        <v>1</v>
      </c>
      <c r="H39" s="24">
        <f t="shared" si="51"/>
        <v>1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180">
        <v>31038</v>
      </c>
      <c r="S39" s="180">
        <v>35155</v>
      </c>
      <c r="T39" s="22">
        <f t="shared" si="60"/>
        <v>1.1326438559185514</v>
      </c>
      <c r="U39" s="56"/>
      <c r="V39" s="56"/>
      <c r="W39" s="115"/>
      <c r="X39" s="118">
        <v>1</v>
      </c>
      <c r="Y39" s="110"/>
      <c r="Z39" s="122">
        <f>Z8</f>
        <v>0</v>
      </c>
      <c r="AA39" s="147">
        <f t="shared" ref="AA39:AA64" si="65">$J39*Z39</f>
        <v>0</v>
      </c>
      <c r="AB39" s="122">
        <f>AB8</f>
        <v>0</v>
      </c>
      <c r="AC39" s="147">
        <f t="shared" ref="AC39:AC64" si="66">$J39*AB39</f>
        <v>0</v>
      </c>
      <c r="AD39" s="122">
        <f>AD8</f>
        <v>0</v>
      </c>
      <c r="AE39" s="147">
        <f t="shared" ref="AE39:AE64" si="67">$J39*AD39</f>
        <v>0</v>
      </c>
      <c r="AF39" s="122">
        <f t="shared" si="57"/>
        <v>1</v>
      </c>
      <c r="AG39" s="147">
        <f t="shared" si="61"/>
        <v>0</v>
      </c>
      <c r="AH39" s="123">
        <f t="shared" si="62"/>
        <v>1</v>
      </c>
      <c r="AI39" s="112">
        <f t="shared" si="62"/>
        <v>0</v>
      </c>
      <c r="AJ39" s="148">
        <f t="shared" si="63"/>
        <v>0</v>
      </c>
      <c r="AK39" s="147">
        <f t="shared" si="64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Maize: kg produced</v>
      </c>
      <c r="B40" s="217">
        <f>IF([1]Summ!E1075="",0,[1]Summ!E1075)</f>
        <v>0</v>
      </c>
      <c r="C40" s="217">
        <f>IF([1]Summ!F1075="",0,[1]Summ!F1075)</f>
        <v>0</v>
      </c>
      <c r="D40" s="38">
        <f t="shared" si="58"/>
        <v>0</v>
      </c>
      <c r="E40" s="75">
        <f>E10</f>
        <v>1</v>
      </c>
      <c r="F40" s="26">
        <v>1</v>
      </c>
      <c r="G40" s="22">
        <f t="shared" si="59"/>
        <v>1</v>
      </c>
      <c r="H40" s="24">
        <f t="shared" si="51"/>
        <v>1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6"/>
      <c r="R40" s="180">
        <v>58782</v>
      </c>
      <c r="S40" s="180">
        <v>66578</v>
      </c>
      <c r="T40" s="22">
        <f t="shared" si="60"/>
        <v>1.1326256336973903</v>
      </c>
      <c r="U40" s="56"/>
      <c r="V40" s="56"/>
      <c r="W40" s="115"/>
      <c r="X40" s="118">
        <v>1</v>
      </c>
      <c r="Y40" s="110"/>
      <c r="Z40" s="122">
        <f>Z9</f>
        <v>0</v>
      </c>
      <c r="AA40" s="147">
        <f t="shared" si="65"/>
        <v>0</v>
      </c>
      <c r="AB40" s="122">
        <f>AB9</f>
        <v>0</v>
      </c>
      <c r="AC40" s="147">
        <f t="shared" si="66"/>
        <v>0</v>
      </c>
      <c r="AD40" s="122">
        <f>AD9</f>
        <v>0</v>
      </c>
      <c r="AE40" s="147">
        <f t="shared" si="67"/>
        <v>0</v>
      </c>
      <c r="AF40" s="122">
        <f t="shared" si="57"/>
        <v>1</v>
      </c>
      <c r="AG40" s="147">
        <f t="shared" si="61"/>
        <v>0</v>
      </c>
      <c r="AH40" s="123">
        <f t="shared" si="62"/>
        <v>1</v>
      </c>
      <c r="AI40" s="112">
        <f t="shared" si="62"/>
        <v>0</v>
      </c>
      <c r="AJ40" s="148">
        <f t="shared" si="63"/>
        <v>0</v>
      </c>
      <c r="AK40" s="147">
        <f t="shared" si="64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Beans: kg produced</v>
      </c>
      <c r="B41" s="217">
        <f>IF([1]Summ!E1076="",0,[1]Summ!E1076)</f>
        <v>0</v>
      </c>
      <c r="C41" s="217">
        <f>IF([1]Summ!F1076="",0,[1]Summ!F1076)</f>
        <v>0</v>
      </c>
      <c r="D41" s="38">
        <f t="shared" si="58"/>
        <v>0</v>
      </c>
      <c r="E41" s="75">
        <f>E12</f>
        <v>1</v>
      </c>
      <c r="F41" s="26">
        <v>1</v>
      </c>
      <c r="G41" s="22">
        <f t="shared" si="59"/>
        <v>1</v>
      </c>
      <c r="H41" s="24">
        <f t="shared" si="51"/>
        <v>1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180">
        <v>62522</v>
      </c>
      <c r="S41" s="180">
        <v>70814</v>
      </c>
      <c r="T41" s="224">
        <f t="shared" si="60"/>
        <v>1.1326253158888071</v>
      </c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5"/>
        <v>0</v>
      </c>
      <c r="AB41" s="122">
        <f>AB11</f>
        <v>0</v>
      </c>
      <c r="AC41" s="147">
        <f t="shared" si="66"/>
        <v>0</v>
      </c>
      <c r="AD41" s="122">
        <f>AD11</f>
        <v>0</v>
      </c>
      <c r="AE41" s="147">
        <f t="shared" si="67"/>
        <v>0</v>
      </c>
      <c r="AF41" s="122">
        <f t="shared" si="57"/>
        <v>1</v>
      </c>
      <c r="AG41" s="147">
        <f t="shared" si="61"/>
        <v>0</v>
      </c>
      <c r="AH41" s="123">
        <f t="shared" si="62"/>
        <v>1</v>
      </c>
      <c r="AI41" s="112">
        <f t="shared" si="62"/>
        <v>0</v>
      </c>
      <c r="AJ41" s="148">
        <f t="shared" si="63"/>
        <v>0</v>
      </c>
      <c r="AK41" s="147">
        <f t="shared" si="64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Water melon: no. local meas (Bhece)</v>
      </c>
      <c r="B42" s="217">
        <f>IF([1]Summ!E1077="",0,[1]Summ!E1077)</f>
        <v>0</v>
      </c>
      <c r="C42" s="217">
        <f>IF([1]Summ!F1077="",0,[1]Summ!F1077)</f>
        <v>0</v>
      </c>
      <c r="D42" s="38">
        <f t="shared" si="58"/>
        <v>0</v>
      </c>
      <c r="E42" s="75">
        <f>E14</f>
        <v>1</v>
      </c>
      <c r="F42" s="26">
        <v>1</v>
      </c>
      <c r="G42" s="22">
        <f t="shared" si="59"/>
        <v>1</v>
      </c>
      <c r="H42" s="24">
        <f t="shared" si="51"/>
        <v>1</v>
      </c>
      <c r="I42" s="39">
        <f t="shared" si="52"/>
        <v>0</v>
      </c>
      <c r="J42" s="38">
        <f t="shared" si="53"/>
        <v>0</v>
      </c>
      <c r="K42" s="40">
        <f t="shared" si="54"/>
        <v>0</v>
      </c>
      <c r="L42" s="22">
        <f t="shared" si="55"/>
        <v>0</v>
      </c>
      <c r="M42" s="24">
        <f t="shared" si="56"/>
        <v>0</v>
      </c>
      <c r="N42" s="2"/>
      <c r="O42" s="2"/>
      <c r="P42" s="56"/>
      <c r="Q42" s="41"/>
      <c r="R42" s="41"/>
      <c r="S42" s="247"/>
      <c r="T42" s="247"/>
      <c r="U42" s="56"/>
      <c r="V42" s="56"/>
      <c r="W42" s="115"/>
      <c r="X42" s="118"/>
      <c r="Y42" s="110"/>
      <c r="Z42" s="116">
        <v>0.25</v>
      </c>
      <c r="AA42" s="147">
        <f t="shared" si="65"/>
        <v>0</v>
      </c>
      <c r="AB42" s="116">
        <v>0</v>
      </c>
      <c r="AC42" s="147">
        <f t="shared" si="66"/>
        <v>0</v>
      </c>
      <c r="AD42" s="116">
        <v>0.5</v>
      </c>
      <c r="AE42" s="147">
        <f t="shared" si="67"/>
        <v>0</v>
      </c>
      <c r="AF42" s="122">
        <f t="shared" si="57"/>
        <v>0.25</v>
      </c>
      <c r="AG42" s="147">
        <f t="shared" si="61"/>
        <v>0</v>
      </c>
      <c r="AH42" s="123">
        <f t="shared" si="62"/>
        <v>1</v>
      </c>
      <c r="AI42" s="112">
        <f t="shared" si="62"/>
        <v>0</v>
      </c>
      <c r="AJ42" s="148">
        <f t="shared" si="63"/>
        <v>0</v>
      </c>
      <c r="AK42" s="147">
        <f t="shared" si="64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Sweet poatato: no. local meas</v>
      </c>
      <c r="B43" s="217">
        <f>IF([1]Summ!E1078="",0,[1]Summ!E1078)</f>
        <v>0</v>
      </c>
      <c r="C43" s="217">
        <f>IF([1]Summ!F1078="",0,[1]Summ!F1078)</f>
        <v>0</v>
      </c>
      <c r="D43" s="38">
        <f t="shared" si="58"/>
        <v>0</v>
      </c>
      <c r="E43" s="75">
        <f>E16</f>
        <v>1</v>
      </c>
      <c r="F43" s="26">
        <v>1</v>
      </c>
      <c r="G43" s="22">
        <f t="shared" si="59"/>
        <v>1</v>
      </c>
      <c r="H43" s="24">
        <f t="shared" si="51"/>
        <v>1</v>
      </c>
      <c r="I43" s="39">
        <f t="shared" si="52"/>
        <v>0</v>
      </c>
      <c r="J43" s="38">
        <f t="shared" si="53"/>
        <v>0</v>
      </c>
      <c r="K43" s="40">
        <f t="shared" si="54"/>
        <v>0</v>
      </c>
      <c r="L43" s="22">
        <f t="shared" si="55"/>
        <v>0</v>
      </c>
      <c r="M43" s="24">
        <f t="shared" si="56"/>
        <v>0</v>
      </c>
      <c r="N43" s="2"/>
      <c r="O43" s="2"/>
      <c r="P43" s="59"/>
      <c r="Q43" s="41"/>
      <c r="R43" s="41"/>
      <c r="S43" s="225"/>
      <c r="T43" s="225"/>
      <c r="U43" s="56"/>
      <c r="V43" s="56"/>
      <c r="W43" s="115"/>
      <c r="X43" s="118"/>
      <c r="Y43" s="110"/>
      <c r="Z43" s="116">
        <v>0.25</v>
      </c>
      <c r="AA43" s="147">
        <f t="shared" si="65"/>
        <v>0</v>
      </c>
      <c r="AB43" s="116">
        <v>0.25</v>
      </c>
      <c r="AC43" s="147">
        <f t="shared" si="66"/>
        <v>0</v>
      </c>
      <c r="AD43" s="116">
        <v>0.25</v>
      </c>
      <c r="AE43" s="147">
        <f t="shared" si="67"/>
        <v>0</v>
      </c>
      <c r="AF43" s="122">
        <f t="shared" si="57"/>
        <v>0.25</v>
      </c>
      <c r="AG43" s="147">
        <f t="shared" si="61"/>
        <v>0</v>
      </c>
      <c r="AH43" s="123">
        <f t="shared" si="62"/>
        <v>1</v>
      </c>
      <c r="AI43" s="112">
        <f t="shared" si="62"/>
        <v>0</v>
      </c>
      <c r="AJ43" s="148">
        <f t="shared" si="63"/>
        <v>0</v>
      </c>
      <c r="AK43" s="147">
        <f t="shared" si="64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Groundnuts (dry): no. local meas</v>
      </c>
      <c r="B44" s="217">
        <f>IF([1]Summ!E1079="",0,[1]Summ!E1079)</f>
        <v>650</v>
      </c>
      <c r="C44" s="217">
        <f>IF([1]Summ!F1079="",0,[1]Summ!F1079)</f>
        <v>-650</v>
      </c>
      <c r="D44" s="38">
        <f t="shared" si="58"/>
        <v>0</v>
      </c>
      <c r="E44" s="75">
        <f>E17</f>
        <v>1</v>
      </c>
      <c r="F44" s="26">
        <v>1</v>
      </c>
      <c r="G44" s="22">
        <f t="shared" si="59"/>
        <v>1</v>
      </c>
      <c r="H44" s="24">
        <f t="shared" si="51"/>
        <v>1</v>
      </c>
      <c r="I44" s="39">
        <f t="shared" si="52"/>
        <v>0</v>
      </c>
      <c r="J44" s="38">
        <f t="shared" si="53"/>
        <v>0</v>
      </c>
      <c r="K44" s="40">
        <f t="shared" si="54"/>
        <v>2.6568567341099528E-2</v>
      </c>
      <c r="L44" s="22">
        <f t="shared" si="55"/>
        <v>2.6568567341099528E-2</v>
      </c>
      <c r="M44" s="24">
        <f t="shared" si="56"/>
        <v>0</v>
      </c>
      <c r="N44" s="2"/>
      <c r="O44" s="2"/>
      <c r="P44" s="2"/>
      <c r="Q44" s="41"/>
      <c r="R44" s="41"/>
      <c r="S44" s="224"/>
      <c r="T44" s="224"/>
      <c r="U44" s="56"/>
      <c r="V44" s="56"/>
      <c r="W44" s="117"/>
      <c r="X44" s="118"/>
      <c r="Y44" s="110"/>
      <c r="Z44" s="116">
        <v>0.25</v>
      </c>
      <c r="AA44" s="147">
        <f t="shared" si="65"/>
        <v>0</v>
      </c>
      <c r="AB44" s="116">
        <v>0.25</v>
      </c>
      <c r="AC44" s="147">
        <f t="shared" si="66"/>
        <v>0</v>
      </c>
      <c r="AD44" s="116">
        <v>0.25</v>
      </c>
      <c r="AE44" s="147">
        <f t="shared" si="67"/>
        <v>0</v>
      </c>
      <c r="AF44" s="122">
        <f t="shared" si="57"/>
        <v>0.25</v>
      </c>
      <c r="AG44" s="147">
        <f t="shared" si="61"/>
        <v>0</v>
      </c>
      <c r="AH44" s="123">
        <f t="shared" si="62"/>
        <v>1</v>
      </c>
      <c r="AI44" s="112">
        <f t="shared" si="62"/>
        <v>0</v>
      </c>
      <c r="AJ44" s="148">
        <f t="shared" si="63"/>
        <v>0</v>
      </c>
      <c r="AK44" s="147">
        <f t="shared" si="64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Irish potato: type</v>
      </c>
      <c r="B45" s="217">
        <f>IF([1]Summ!E1080="",0,[1]Summ!E1080)</f>
        <v>36</v>
      </c>
      <c r="C45" s="217">
        <f>IF([1]Summ!F1080="",0,[1]Summ!F1080)</f>
        <v>-36</v>
      </c>
      <c r="D45" s="38">
        <f t="shared" si="58"/>
        <v>0</v>
      </c>
      <c r="E45" s="75">
        <f>E18</f>
        <v>1</v>
      </c>
      <c r="F45" s="26">
        <v>1</v>
      </c>
      <c r="G45" s="22">
        <f t="shared" si="59"/>
        <v>1</v>
      </c>
      <c r="H45" s="24">
        <f t="shared" si="51"/>
        <v>1</v>
      </c>
      <c r="I45" s="39">
        <f t="shared" si="52"/>
        <v>0</v>
      </c>
      <c r="J45" s="38">
        <f t="shared" si="53"/>
        <v>0</v>
      </c>
      <c r="K45" s="40">
        <f t="shared" si="54"/>
        <v>1.4714898835070508E-3</v>
      </c>
      <c r="L45" s="22">
        <f t="shared" si="55"/>
        <v>1.4714898835070508E-3</v>
      </c>
      <c r="M45" s="24">
        <f t="shared" si="56"/>
        <v>0</v>
      </c>
      <c r="N45" s="2"/>
      <c r="O45" s="2"/>
      <c r="P45" s="56"/>
      <c r="Q45" s="41"/>
      <c r="R45" s="41"/>
      <c r="U45" s="56"/>
      <c r="V45" s="56"/>
      <c r="W45" s="110"/>
      <c r="X45" s="118"/>
      <c r="Y45" s="110"/>
      <c r="Z45" s="116">
        <v>0.25</v>
      </c>
      <c r="AA45" s="147">
        <f t="shared" si="65"/>
        <v>0</v>
      </c>
      <c r="AB45" s="116">
        <v>0.25</v>
      </c>
      <c r="AC45" s="147">
        <f t="shared" si="66"/>
        <v>0</v>
      </c>
      <c r="AD45" s="116">
        <v>0.25</v>
      </c>
      <c r="AE45" s="147">
        <f t="shared" si="67"/>
        <v>0</v>
      </c>
      <c r="AF45" s="122">
        <f t="shared" si="57"/>
        <v>0.25</v>
      </c>
      <c r="AG45" s="147">
        <f t="shared" si="61"/>
        <v>0</v>
      </c>
      <c r="AH45" s="123">
        <f t="shared" si="62"/>
        <v>1</v>
      </c>
      <c r="AI45" s="112">
        <f t="shared" si="62"/>
        <v>0</v>
      </c>
      <c r="AJ45" s="148">
        <f t="shared" si="63"/>
        <v>0</v>
      </c>
      <c r="AK45" s="147">
        <f t="shared" si="64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Yam: type</v>
      </c>
      <c r="B46" s="217">
        <f>IF([1]Summ!E1081="",0,[1]Summ!E1081)</f>
        <v>0</v>
      </c>
      <c r="C46" s="217">
        <f>IF([1]Summ!F1081="",0,[1]Summ!F1081)</f>
        <v>0</v>
      </c>
      <c r="D46" s="38">
        <f t="shared" si="58"/>
        <v>0</v>
      </c>
      <c r="E46" s="75">
        <f>E19</f>
        <v>1</v>
      </c>
      <c r="F46" s="26">
        <v>1</v>
      </c>
      <c r="G46" s="22">
        <f t="shared" si="59"/>
        <v>1</v>
      </c>
      <c r="H46" s="24">
        <f t="shared" si="51"/>
        <v>1</v>
      </c>
      <c r="I46" s="39">
        <f t="shared" si="52"/>
        <v>0</v>
      </c>
      <c r="J46" s="38">
        <f t="shared" si="53"/>
        <v>0</v>
      </c>
      <c r="K46" s="40">
        <f t="shared" si="54"/>
        <v>0</v>
      </c>
      <c r="L46" s="22">
        <f t="shared" si="55"/>
        <v>0</v>
      </c>
      <c r="M46" s="24">
        <f t="shared" si="56"/>
        <v>0</v>
      </c>
      <c r="N46" s="2"/>
      <c r="O46" s="2"/>
      <c r="P46" s="2"/>
      <c r="U46" s="56"/>
      <c r="V46" s="56"/>
      <c r="W46" s="110"/>
      <c r="X46" s="118"/>
      <c r="Y46" s="110"/>
      <c r="Z46" s="116">
        <v>0.25</v>
      </c>
      <c r="AA46" s="147">
        <f t="shared" si="65"/>
        <v>0</v>
      </c>
      <c r="AB46" s="116">
        <v>0.25</v>
      </c>
      <c r="AC46" s="147">
        <f t="shared" si="66"/>
        <v>0</v>
      </c>
      <c r="AD46" s="116">
        <v>0.25</v>
      </c>
      <c r="AE46" s="147">
        <f t="shared" si="67"/>
        <v>0</v>
      </c>
      <c r="AF46" s="122">
        <f t="shared" si="57"/>
        <v>0.25</v>
      </c>
      <c r="AG46" s="147">
        <f t="shared" si="61"/>
        <v>0</v>
      </c>
      <c r="AH46" s="123">
        <f t="shared" si="62"/>
        <v>1</v>
      </c>
      <c r="AI46" s="112">
        <f t="shared" si="62"/>
        <v>0</v>
      </c>
      <c r="AJ46" s="148">
        <f t="shared" si="63"/>
        <v>0</v>
      </c>
      <c r="AK46" s="147">
        <f t="shared" si="64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Spinach (cash): kg produced</v>
      </c>
      <c r="B47" s="217">
        <f>IF([1]Summ!E1082="",0,[1]Summ!E1082)</f>
        <v>150</v>
      </c>
      <c r="C47" s="217">
        <f>IF([1]Summ!F1082="",0,[1]Summ!F1082)</f>
        <v>0</v>
      </c>
      <c r="D47" s="38">
        <f t="shared" si="58"/>
        <v>150</v>
      </c>
      <c r="E47" s="26">
        <v>1</v>
      </c>
      <c r="F47" s="26">
        <v>1</v>
      </c>
      <c r="G47" s="22">
        <f t="shared" si="59"/>
        <v>1</v>
      </c>
      <c r="H47" s="24">
        <f t="shared" si="51"/>
        <v>1</v>
      </c>
      <c r="I47" s="39">
        <f t="shared" si="52"/>
        <v>150</v>
      </c>
      <c r="J47" s="38">
        <f t="shared" si="53"/>
        <v>150</v>
      </c>
      <c r="K47" s="40">
        <f t="shared" si="54"/>
        <v>6.1312078479460455E-3</v>
      </c>
      <c r="L47" s="22">
        <f t="shared" si="55"/>
        <v>6.1312078479460455E-3</v>
      </c>
      <c r="M47" s="24">
        <f t="shared" si="56"/>
        <v>6.1312078479460455E-3</v>
      </c>
      <c r="N47" s="2"/>
      <c r="O47" s="2"/>
      <c r="P47" s="59"/>
      <c r="Q47" s="249"/>
      <c r="R47" s="249"/>
      <c r="U47" s="56"/>
      <c r="V47" s="56"/>
      <c r="W47" s="110"/>
      <c r="X47" s="118"/>
      <c r="Y47" s="110"/>
      <c r="Z47" s="116">
        <v>0.25</v>
      </c>
      <c r="AA47" s="147">
        <f t="shared" si="65"/>
        <v>37.5</v>
      </c>
      <c r="AB47" s="116">
        <v>0.25</v>
      </c>
      <c r="AC47" s="147">
        <f t="shared" si="66"/>
        <v>37.5</v>
      </c>
      <c r="AD47" s="116">
        <v>0.25</v>
      </c>
      <c r="AE47" s="147">
        <f t="shared" si="67"/>
        <v>37.5</v>
      </c>
      <c r="AF47" s="122">
        <f t="shared" si="57"/>
        <v>0.25</v>
      </c>
      <c r="AG47" s="147">
        <f t="shared" si="61"/>
        <v>37.5</v>
      </c>
      <c r="AH47" s="123">
        <f t="shared" si="62"/>
        <v>1</v>
      </c>
      <c r="AI47" s="112">
        <f t="shared" si="62"/>
        <v>150</v>
      </c>
      <c r="AJ47" s="148">
        <f t="shared" si="63"/>
        <v>75</v>
      </c>
      <c r="AK47" s="147">
        <f t="shared" si="64"/>
        <v>75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Tomatoes (cash): kg produced</v>
      </c>
      <c r="B48" s="217">
        <f>IF([1]Summ!E1083="",0,[1]Summ!E1083)</f>
        <v>0</v>
      </c>
      <c r="C48" s="217">
        <f>IF([1]Summ!F1083="",0,[1]Summ!F1083)</f>
        <v>0</v>
      </c>
      <c r="D48" s="38">
        <f>SUM(B48,C48)</f>
        <v>0</v>
      </c>
      <c r="E48" s="26">
        <v>1</v>
      </c>
      <c r="F48" s="26">
        <v>1</v>
      </c>
      <c r="G48" s="22">
        <f t="shared" si="59"/>
        <v>1</v>
      </c>
      <c r="H48" s="24">
        <f t="shared" si="51"/>
        <v>1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49"/>
      <c r="R48" s="249"/>
      <c r="U48" s="56"/>
      <c r="V48" s="56"/>
      <c r="W48" s="110"/>
      <c r="X48" s="118"/>
      <c r="Y48" s="110"/>
      <c r="Z48" s="116">
        <v>0.25</v>
      </c>
      <c r="AA48" s="147">
        <f t="shared" si="65"/>
        <v>0</v>
      </c>
      <c r="AB48" s="116">
        <v>0.25</v>
      </c>
      <c r="AC48" s="147">
        <f t="shared" si="66"/>
        <v>0</v>
      </c>
      <c r="AD48" s="116">
        <v>0.25</v>
      </c>
      <c r="AE48" s="147">
        <f t="shared" si="67"/>
        <v>0</v>
      </c>
      <c r="AF48" s="122">
        <f t="shared" si="57"/>
        <v>0.25</v>
      </c>
      <c r="AG48" s="147">
        <f t="shared" si="61"/>
        <v>0</v>
      </c>
      <c r="AH48" s="123">
        <f t="shared" si="62"/>
        <v>1</v>
      </c>
      <c r="AI48" s="112">
        <f t="shared" si="62"/>
        <v>0</v>
      </c>
      <c r="AJ48" s="148">
        <f t="shared" si="63"/>
        <v>0</v>
      </c>
      <c r="AK48" s="147">
        <f t="shared" si="64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Cabbage (cash): kg produced</v>
      </c>
      <c r="B49" s="217">
        <f>IF([1]Summ!E1084="",0,[1]Summ!E1084)</f>
        <v>0</v>
      </c>
      <c r="C49" s="217">
        <f>IF([1]Summ!F1084="",0,[1]Summ!F1084)</f>
        <v>0</v>
      </c>
      <c r="D49" s="38">
        <f t="shared" ref="D49:D64" si="68">SUM(B49,C49)</f>
        <v>0</v>
      </c>
      <c r="E49" s="26">
        <v>1</v>
      </c>
      <c r="F49" s="26">
        <v>1</v>
      </c>
      <c r="G49" s="22">
        <f t="shared" si="59"/>
        <v>1</v>
      </c>
      <c r="H49" s="24">
        <f t="shared" si="51"/>
        <v>1</v>
      </c>
      <c r="I49" s="39">
        <f t="shared" si="52"/>
        <v>0</v>
      </c>
      <c r="J49" s="38">
        <f t="shared" si="53"/>
        <v>0</v>
      </c>
      <c r="K49" s="40">
        <f t="shared" si="54"/>
        <v>0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56"/>
      <c r="R49" s="56"/>
      <c r="S49" s="56"/>
      <c r="T49" s="56"/>
      <c r="U49" s="56"/>
      <c r="V49" s="56"/>
      <c r="W49" s="110"/>
      <c r="X49" s="118"/>
      <c r="Y49" s="110"/>
      <c r="Z49" s="116">
        <v>0.25</v>
      </c>
      <c r="AA49" s="147">
        <f t="shared" si="65"/>
        <v>0</v>
      </c>
      <c r="AB49" s="116">
        <v>0.25</v>
      </c>
      <c r="AC49" s="147">
        <f t="shared" si="66"/>
        <v>0</v>
      </c>
      <c r="AD49" s="116">
        <v>0.25</v>
      </c>
      <c r="AE49" s="147">
        <f t="shared" si="67"/>
        <v>0</v>
      </c>
      <c r="AF49" s="122">
        <f t="shared" si="57"/>
        <v>0.25</v>
      </c>
      <c r="AG49" s="147">
        <f t="shared" si="61"/>
        <v>0</v>
      </c>
      <c r="AH49" s="123">
        <f t="shared" si="62"/>
        <v>1</v>
      </c>
      <c r="AI49" s="112">
        <f t="shared" si="62"/>
        <v>0</v>
      </c>
      <c r="AJ49" s="148">
        <f t="shared" si="63"/>
        <v>0</v>
      </c>
      <c r="AK49" s="147">
        <f t="shared" si="64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Agricultural cash income -- see Data2</v>
      </c>
      <c r="B50" s="217">
        <f>IF([1]Summ!E1085="",0,[1]Summ!E1085)</f>
        <v>1109</v>
      </c>
      <c r="C50" s="217">
        <f>IF([1]Summ!F1085="",0,[1]Summ!F1085)</f>
        <v>0</v>
      </c>
      <c r="D50" s="38">
        <f t="shared" si="68"/>
        <v>1109</v>
      </c>
      <c r="E50" s="26">
        <v>1</v>
      </c>
      <c r="F50" s="26">
        <v>1</v>
      </c>
      <c r="G50" s="22">
        <f t="shared" si="59"/>
        <v>1</v>
      </c>
      <c r="H50" s="24">
        <f t="shared" ref="H50:H64" si="69">(E50*F50)</f>
        <v>1</v>
      </c>
      <c r="I50" s="39">
        <f t="shared" ref="I50:I64" si="70">D50*H50</f>
        <v>1109</v>
      </c>
      <c r="J50" s="38">
        <f t="shared" ref="J50:J64" si="71">J104*I$83</f>
        <v>1109</v>
      </c>
      <c r="K50" s="40">
        <f t="shared" ref="K50:K64" si="72">(B50/B$65)</f>
        <v>4.533006335581443E-2</v>
      </c>
      <c r="L50" s="22">
        <f t="shared" ref="L50:L64" si="73">(K50*H50)</f>
        <v>4.533006335581443E-2</v>
      </c>
      <c r="M50" s="24">
        <f t="shared" ref="M50:M64" si="74">J50/B$65</f>
        <v>4.533006335581443E-2</v>
      </c>
      <c r="N50" s="2"/>
      <c r="P50" s="64"/>
      <c r="Q50" s="41"/>
      <c r="R50" s="248"/>
      <c r="S50" s="41"/>
      <c r="T50" s="56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Labour migration(formal employment): no. people per HH</v>
      </c>
      <c r="B51" s="217">
        <f>IF([1]Summ!E1086="",0,[1]Summ!E1086)</f>
        <v>0</v>
      </c>
      <c r="C51" s="217">
        <f>IF([1]Summ!F1086="",0,[1]Summ!F1086)</f>
        <v>0</v>
      </c>
      <c r="D51" s="38">
        <f t="shared" si="68"/>
        <v>0</v>
      </c>
      <c r="E51" s="26">
        <v>1</v>
      </c>
      <c r="F51" s="26">
        <v>1</v>
      </c>
      <c r="G51" s="22">
        <f t="shared" si="59"/>
        <v>1</v>
      </c>
      <c r="H51" s="24">
        <f t="shared" si="69"/>
        <v>1</v>
      </c>
      <c r="I51" s="39">
        <f t="shared" si="70"/>
        <v>0</v>
      </c>
      <c r="J51" s="38">
        <f t="shared" si="71"/>
        <v>0</v>
      </c>
      <c r="K51" s="40">
        <f t="shared" si="72"/>
        <v>0</v>
      </c>
      <c r="L51" s="22">
        <f t="shared" si="73"/>
        <v>0</v>
      </c>
      <c r="M51" s="24">
        <f t="shared" si="74"/>
        <v>0</v>
      </c>
      <c r="N51" s="2"/>
      <c r="O51" s="2"/>
      <c r="P51" s="59"/>
      <c r="Q51" s="41"/>
      <c r="R51" s="250"/>
      <c r="S51" s="41"/>
      <c r="T51" s="56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Formal Employment (conservancies, etc.)</v>
      </c>
      <c r="B52" s="217">
        <f>IF([1]Summ!E1087="",0,[1]Summ!E1087)</f>
        <v>0</v>
      </c>
      <c r="C52" s="217">
        <f>IF([1]Summ!F1087="",0,[1]Summ!F1087)</f>
        <v>0</v>
      </c>
      <c r="D52" s="38">
        <f t="shared" si="68"/>
        <v>0</v>
      </c>
      <c r="E52" s="26">
        <v>1</v>
      </c>
      <c r="F52" s="26">
        <v>1</v>
      </c>
      <c r="G52" s="22">
        <f t="shared" si="59"/>
        <v>1</v>
      </c>
      <c r="H52" s="24">
        <f t="shared" si="69"/>
        <v>1</v>
      </c>
      <c r="I52" s="39">
        <f t="shared" si="70"/>
        <v>0</v>
      </c>
      <c r="J52" s="38">
        <f t="shared" si="71"/>
        <v>0</v>
      </c>
      <c r="K52" s="40">
        <f t="shared" si="72"/>
        <v>0</v>
      </c>
      <c r="L52" s="22">
        <f t="shared" si="73"/>
        <v>0</v>
      </c>
      <c r="M52" s="24">
        <f t="shared" si="74"/>
        <v>0</v>
      </c>
      <c r="N52" s="2"/>
      <c r="O52" s="2"/>
      <c r="P52" s="59"/>
      <c r="Q52" s="41"/>
      <c r="R52" s="248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>Self-employment -- see Data2</v>
      </c>
      <c r="B53" s="217">
        <f>IF([1]Summ!E1088="",0,[1]Summ!E1088)</f>
        <v>0</v>
      </c>
      <c r="C53" s="217">
        <f>IF([1]Summ!F1088="",0,[1]Summ!F1088)</f>
        <v>0</v>
      </c>
      <c r="D53" s="38">
        <f t="shared" si="68"/>
        <v>0</v>
      </c>
      <c r="E53" s="26">
        <v>1</v>
      </c>
      <c r="F53" s="26">
        <v>1</v>
      </c>
      <c r="G53" s="22">
        <f t="shared" si="59"/>
        <v>1</v>
      </c>
      <c r="H53" s="24">
        <f t="shared" si="69"/>
        <v>1</v>
      </c>
      <c r="I53" s="39">
        <f t="shared" si="70"/>
        <v>0</v>
      </c>
      <c r="J53" s="38">
        <f t="shared" si="71"/>
        <v>0</v>
      </c>
      <c r="K53" s="40">
        <f t="shared" si="72"/>
        <v>0</v>
      </c>
      <c r="L53" s="22">
        <f t="shared" si="73"/>
        <v>0</v>
      </c>
      <c r="M53" s="24">
        <f t="shared" si="74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>Small business -- see Data2</v>
      </c>
      <c r="B54" s="217">
        <f>IF([1]Summ!E1089="",0,[1]Summ!E1089)</f>
        <v>0</v>
      </c>
      <c r="C54" s="217">
        <f>IF([1]Summ!F1089="",0,[1]Summ!F1089)</f>
        <v>0</v>
      </c>
      <c r="D54" s="38">
        <f t="shared" si="68"/>
        <v>0</v>
      </c>
      <c r="E54" s="26">
        <v>1</v>
      </c>
      <c r="F54" s="26">
        <v>1</v>
      </c>
      <c r="G54" s="22">
        <f t="shared" si="59"/>
        <v>1</v>
      </c>
      <c r="H54" s="24">
        <f t="shared" si="69"/>
        <v>1</v>
      </c>
      <c r="I54" s="39">
        <f t="shared" si="70"/>
        <v>0</v>
      </c>
      <c r="J54" s="38">
        <f t="shared" si="71"/>
        <v>0</v>
      </c>
      <c r="K54" s="40">
        <f t="shared" si="72"/>
        <v>0</v>
      </c>
      <c r="L54" s="22">
        <f t="shared" si="73"/>
        <v>0</v>
      </c>
      <c r="M54" s="24">
        <f t="shared" si="74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>Social development -- see Data2</v>
      </c>
      <c r="B55" s="217">
        <f>IF([1]Summ!E1090="",0,[1]Summ!E1090)</f>
        <v>22020</v>
      </c>
      <c r="C55" s="217">
        <f>IF([1]Summ!F1090="",0,[1]Summ!F1090)</f>
        <v>0</v>
      </c>
      <c r="D55" s="38">
        <f t="shared" si="68"/>
        <v>22020</v>
      </c>
      <c r="E55" s="26">
        <v>1</v>
      </c>
      <c r="F55" s="26">
        <v>1</v>
      </c>
      <c r="G55" s="22">
        <f t="shared" si="59"/>
        <v>1</v>
      </c>
      <c r="H55" s="24">
        <f t="shared" si="69"/>
        <v>1</v>
      </c>
      <c r="I55" s="39">
        <f t="shared" si="70"/>
        <v>22020</v>
      </c>
      <c r="J55" s="38">
        <f t="shared" si="71"/>
        <v>22020</v>
      </c>
      <c r="K55" s="40">
        <f t="shared" si="72"/>
        <v>0.9000613120784795</v>
      </c>
      <c r="L55" s="22">
        <f t="shared" si="73"/>
        <v>0.9000613120784795</v>
      </c>
      <c r="M55" s="24">
        <f t="shared" si="74"/>
        <v>0.9000613120784795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5"/>
        <v>5505</v>
      </c>
      <c r="AB55" s="116">
        <v>0.25</v>
      </c>
      <c r="AC55" s="147">
        <f t="shared" si="66"/>
        <v>5505</v>
      </c>
      <c r="AD55" s="116">
        <v>0.25</v>
      </c>
      <c r="AE55" s="147">
        <f t="shared" si="67"/>
        <v>5505</v>
      </c>
      <c r="AF55" s="122">
        <f t="shared" si="57"/>
        <v>0.25</v>
      </c>
      <c r="AG55" s="147">
        <f t="shared" si="61"/>
        <v>5505</v>
      </c>
      <c r="AH55" s="123">
        <f t="shared" si="62"/>
        <v>1</v>
      </c>
      <c r="AI55" s="112">
        <f t="shared" si="62"/>
        <v>22020</v>
      </c>
      <c r="AJ55" s="148">
        <f t="shared" si="63"/>
        <v>11010</v>
      </c>
      <c r="AK55" s="147">
        <f t="shared" si="64"/>
        <v>11010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>Public works -- see Data2</v>
      </c>
      <c r="B56" s="217">
        <f>IF([1]Summ!E1091="",0,[1]Summ!E1091)</f>
        <v>0</v>
      </c>
      <c r="C56" s="217">
        <f>IF([1]Summ!F1091="",0,[1]Summ!F1091)</f>
        <v>0</v>
      </c>
      <c r="D56" s="38">
        <f t="shared" si="68"/>
        <v>0</v>
      </c>
      <c r="E56" s="26">
        <v>1</v>
      </c>
      <c r="F56" s="26">
        <v>1</v>
      </c>
      <c r="G56" s="22">
        <f t="shared" si="59"/>
        <v>1</v>
      </c>
      <c r="H56" s="24">
        <f t="shared" si="69"/>
        <v>1</v>
      </c>
      <c r="I56" s="39">
        <f t="shared" si="70"/>
        <v>0</v>
      </c>
      <c r="J56" s="38">
        <f t="shared" si="71"/>
        <v>0</v>
      </c>
      <c r="K56" s="40">
        <f t="shared" si="72"/>
        <v>0</v>
      </c>
      <c r="L56" s="22">
        <f t="shared" si="73"/>
        <v>0</v>
      </c>
      <c r="M56" s="24">
        <f t="shared" si="74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5"/>
        <v>0</v>
      </c>
      <c r="AB56" s="116">
        <v>0.25</v>
      </c>
      <c r="AC56" s="147">
        <f t="shared" si="66"/>
        <v>0</v>
      </c>
      <c r="AD56" s="116">
        <v>0.25</v>
      </c>
      <c r="AE56" s="147">
        <f t="shared" si="67"/>
        <v>0</v>
      </c>
      <c r="AF56" s="122">
        <f t="shared" si="57"/>
        <v>0.25</v>
      </c>
      <c r="AG56" s="147">
        <f t="shared" si="61"/>
        <v>0</v>
      </c>
      <c r="AH56" s="123">
        <f t="shared" si="62"/>
        <v>1</v>
      </c>
      <c r="AI56" s="112">
        <f t="shared" si="62"/>
        <v>0</v>
      </c>
      <c r="AJ56" s="148">
        <f t="shared" si="63"/>
        <v>0</v>
      </c>
      <c r="AK56" s="147">
        <f t="shared" si="64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>Other income: e.g. Credit (cotton loans)</v>
      </c>
      <c r="B57" s="217">
        <f>IF([1]Summ!E1092="",0,[1]Summ!E1092)</f>
        <v>0</v>
      </c>
      <c r="C57" s="217">
        <f>IF([1]Summ!F1092="",0,[1]Summ!F1092)</f>
        <v>0</v>
      </c>
      <c r="D57" s="38">
        <f t="shared" si="68"/>
        <v>0</v>
      </c>
      <c r="E57" s="26">
        <v>1</v>
      </c>
      <c r="F57" s="26">
        <v>1</v>
      </c>
      <c r="G57" s="22">
        <f t="shared" si="59"/>
        <v>1</v>
      </c>
      <c r="H57" s="24">
        <f t="shared" si="69"/>
        <v>1</v>
      </c>
      <c r="I57" s="39">
        <f t="shared" si="70"/>
        <v>0</v>
      </c>
      <c r="J57" s="38">
        <f t="shared" si="71"/>
        <v>0</v>
      </c>
      <c r="K57" s="40">
        <f t="shared" si="72"/>
        <v>0</v>
      </c>
      <c r="L57" s="22">
        <f t="shared" si="73"/>
        <v>0</v>
      </c>
      <c r="M57" s="24">
        <f t="shared" si="74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5"/>
        <v>0</v>
      </c>
      <c r="AB57" s="116">
        <v>0.25</v>
      </c>
      <c r="AC57" s="147">
        <f t="shared" si="66"/>
        <v>0</v>
      </c>
      <c r="AD57" s="116">
        <v>0.25</v>
      </c>
      <c r="AE57" s="147">
        <f t="shared" si="67"/>
        <v>0</v>
      </c>
      <c r="AF57" s="122">
        <f t="shared" si="57"/>
        <v>0.25</v>
      </c>
      <c r="AG57" s="147">
        <f t="shared" si="61"/>
        <v>0</v>
      </c>
      <c r="AH57" s="123">
        <f t="shared" si="62"/>
        <v>1</v>
      </c>
      <c r="AI57" s="112">
        <f t="shared" si="62"/>
        <v>0</v>
      </c>
      <c r="AJ57" s="148">
        <f t="shared" si="63"/>
        <v>0</v>
      </c>
      <c r="AK57" s="147">
        <f t="shared" si="64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7">
        <f>IF([1]Summ!E1093="",0,[1]Summ!E1093)</f>
        <v>0</v>
      </c>
      <c r="C58" s="217">
        <f>IF([1]Summ!F1093="",0,[1]Summ!F1093)</f>
        <v>0</v>
      </c>
      <c r="D58" s="38">
        <f t="shared" si="68"/>
        <v>0</v>
      </c>
      <c r="E58" s="26">
        <v>1</v>
      </c>
      <c r="F58" s="26">
        <v>1</v>
      </c>
      <c r="G58" s="22">
        <f t="shared" si="59"/>
        <v>1</v>
      </c>
      <c r="H58" s="24">
        <f t="shared" si="69"/>
        <v>1</v>
      </c>
      <c r="I58" s="39">
        <f t="shared" si="70"/>
        <v>0</v>
      </c>
      <c r="J58" s="38">
        <f t="shared" si="71"/>
        <v>0</v>
      </c>
      <c r="K58" s="40">
        <f t="shared" si="72"/>
        <v>0</v>
      </c>
      <c r="L58" s="22">
        <f t="shared" si="73"/>
        <v>0</v>
      </c>
      <c r="M58" s="24">
        <f t="shared" si="74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5"/>
        <v>0</v>
      </c>
      <c r="AB58" s="116">
        <v>0.25</v>
      </c>
      <c r="AC58" s="147">
        <f t="shared" si="66"/>
        <v>0</v>
      </c>
      <c r="AD58" s="116">
        <v>0.25</v>
      </c>
      <c r="AE58" s="147">
        <f t="shared" si="67"/>
        <v>0</v>
      </c>
      <c r="AF58" s="122">
        <f t="shared" si="57"/>
        <v>0.25</v>
      </c>
      <c r="AG58" s="147">
        <f t="shared" si="61"/>
        <v>0</v>
      </c>
      <c r="AH58" s="123">
        <f t="shared" si="62"/>
        <v>1</v>
      </c>
      <c r="AI58" s="112">
        <f t="shared" si="62"/>
        <v>0</v>
      </c>
      <c r="AJ58" s="148">
        <f t="shared" si="63"/>
        <v>0</v>
      </c>
      <c r="AK58" s="147">
        <f t="shared" si="64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7">
        <f>IF([1]Summ!E1094="",0,[1]Summ!E1094)</f>
        <v>0</v>
      </c>
      <c r="C59" s="217">
        <f>IF([1]Summ!F1094="",0,[1]Summ!F1094)</f>
        <v>0</v>
      </c>
      <c r="D59" s="38">
        <f t="shared" si="68"/>
        <v>0</v>
      </c>
      <c r="E59" s="26">
        <v>1</v>
      </c>
      <c r="F59" s="26">
        <v>1</v>
      </c>
      <c r="G59" s="22">
        <f t="shared" si="59"/>
        <v>1</v>
      </c>
      <c r="H59" s="24">
        <f t="shared" si="69"/>
        <v>1</v>
      </c>
      <c r="I59" s="39">
        <f t="shared" si="70"/>
        <v>0</v>
      </c>
      <c r="J59" s="38">
        <f t="shared" si="71"/>
        <v>0</v>
      </c>
      <c r="K59" s="40">
        <f t="shared" si="72"/>
        <v>0</v>
      </c>
      <c r="L59" s="22">
        <f t="shared" si="73"/>
        <v>0</v>
      </c>
      <c r="M59" s="24">
        <f t="shared" si="74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5"/>
        <v>0</v>
      </c>
      <c r="AB59" s="116">
        <v>0.25</v>
      </c>
      <c r="AC59" s="147">
        <f t="shared" si="66"/>
        <v>0</v>
      </c>
      <c r="AD59" s="116">
        <v>0.25</v>
      </c>
      <c r="AE59" s="147">
        <f t="shared" si="67"/>
        <v>0</v>
      </c>
      <c r="AF59" s="122">
        <f t="shared" si="57"/>
        <v>0.25</v>
      </c>
      <c r="AG59" s="147">
        <f t="shared" si="61"/>
        <v>0</v>
      </c>
      <c r="AH59" s="123">
        <f t="shared" ref="AH59:AI64" si="75">SUM(Z59,AB59,AD59,AF59)</f>
        <v>1</v>
      </c>
      <c r="AI59" s="112">
        <f t="shared" si="75"/>
        <v>0</v>
      </c>
      <c r="AJ59" s="148">
        <f t="shared" si="63"/>
        <v>0</v>
      </c>
      <c r="AK59" s="147">
        <f t="shared" si="64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7">
        <f>IF([1]Summ!E1095="",0,[1]Summ!E1095)</f>
        <v>0</v>
      </c>
      <c r="C60" s="217">
        <f>IF([1]Summ!F1095="",0,[1]Summ!F1095)</f>
        <v>0</v>
      </c>
      <c r="D60" s="38">
        <f t="shared" si="68"/>
        <v>0</v>
      </c>
      <c r="E60" s="26">
        <v>1</v>
      </c>
      <c r="F60" s="26">
        <v>1</v>
      </c>
      <c r="G60" s="22">
        <f t="shared" si="59"/>
        <v>1</v>
      </c>
      <c r="H60" s="24">
        <f t="shared" si="69"/>
        <v>1</v>
      </c>
      <c r="I60" s="39">
        <f t="shared" si="70"/>
        <v>0</v>
      </c>
      <c r="J60" s="38">
        <f t="shared" si="71"/>
        <v>0</v>
      </c>
      <c r="K60" s="40">
        <f t="shared" si="72"/>
        <v>0</v>
      </c>
      <c r="L60" s="22">
        <f t="shared" si="73"/>
        <v>0</v>
      </c>
      <c r="M60" s="24">
        <f t="shared" si="74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5"/>
        <v>0</v>
      </c>
      <c r="AB60" s="116">
        <v>0.25</v>
      </c>
      <c r="AC60" s="147">
        <f t="shared" si="66"/>
        <v>0</v>
      </c>
      <c r="AD60" s="116">
        <v>0.25</v>
      </c>
      <c r="AE60" s="147">
        <f t="shared" si="67"/>
        <v>0</v>
      </c>
      <c r="AF60" s="122">
        <f t="shared" si="57"/>
        <v>0.25</v>
      </c>
      <c r="AG60" s="147">
        <f t="shared" si="61"/>
        <v>0</v>
      </c>
      <c r="AH60" s="123">
        <f t="shared" si="75"/>
        <v>1</v>
      </c>
      <c r="AI60" s="112">
        <f t="shared" si="75"/>
        <v>0</v>
      </c>
      <c r="AJ60" s="148">
        <f t="shared" si="63"/>
        <v>0</v>
      </c>
      <c r="AK60" s="147">
        <f t="shared" si="64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7">
        <f>IF([1]Summ!E1096="",0,[1]Summ!E1096)</f>
        <v>0</v>
      </c>
      <c r="C61" s="217">
        <f>IF([1]Summ!F1096="",0,[1]Summ!F1096)</f>
        <v>0</v>
      </c>
      <c r="D61" s="38">
        <f t="shared" si="68"/>
        <v>0</v>
      </c>
      <c r="E61" s="26">
        <v>1</v>
      </c>
      <c r="F61" s="26">
        <v>1</v>
      </c>
      <c r="G61" s="22">
        <f t="shared" si="59"/>
        <v>1</v>
      </c>
      <c r="H61" s="24">
        <f t="shared" si="69"/>
        <v>1</v>
      </c>
      <c r="I61" s="39">
        <f t="shared" si="70"/>
        <v>0</v>
      </c>
      <c r="J61" s="38">
        <f t="shared" si="71"/>
        <v>0</v>
      </c>
      <c r="K61" s="40">
        <f t="shared" si="72"/>
        <v>0</v>
      </c>
      <c r="L61" s="22">
        <f t="shared" si="73"/>
        <v>0</v>
      </c>
      <c r="M61" s="24">
        <f t="shared" si="74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5"/>
        <v>0</v>
      </c>
      <c r="AB61" s="116">
        <v>0.25</v>
      </c>
      <c r="AC61" s="147">
        <f t="shared" si="66"/>
        <v>0</v>
      </c>
      <c r="AD61" s="116">
        <v>0.25</v>
      </c>
      <c r="AE61" s="147">
        <f t="shared" si="67"/>
        <v>0</v>
      </c>
      <c r="AF61" s="122">
        <f t="shared" si="57"/>
        <v>0.25</v>
      </c>
      <c r="AG61" s="147">
        <f t="shared" si="61"/>
        <v>0</v>
      </c>
      <c r="AH61" s="123">
        <f t="shared" si="75"/>
        <v>1</v>
      </c>
      <c r="AI61" s="112">
        <f t="shared" si="75"/>
        <v>0</v>
      </c>
      <c r="AJ61" s="148">
        <f t="shared" si="63"/>
        <v>0</v>
      </c>
      <c r="AK61" s="147">
        <f t="shared" si="64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7">
        <f>IF([1]Summ!E1097="",0,[1]Summ!E1097)</f>
        <v>0</v>
      </c>
      <c r="C62" s="217">
        <f>IF([1]Summ!F1097="",0,[1]Summ!F1097)</f>
        <v>0</v>
      </c>
      <c r="D62" s="38">
        <f t="shared" si="68"/>
        <v>0</v>
      </c>
      <c r="E62" s="26">
        <v>1</v>
      </c>
      <c r="F62" s="26">
        <v>1</v>
      </c>
      <c r="G62" s="22">
        <f t="shared" si="59"/>
        <v>1</v>
      </c>
      <c r="H62" s="24">
        <f t="shared" si="69"/>
        <v>1</v>
      </c>
      <c r="I62" s="39">
        <f t="shared" si="70"/>
        <v>0</v>
      </c>
      <c r="J62" s="38">
        <f t="shared" si="71"/>
        <v>0</v>
      </c>
      <c r="K62" s="40">
        <f t="shared" si="72"/>
        <v>0</v>
      </c>
      <c r="L62" s="22">
        <f t="shared" si="73"/>
        <v>0</v>
      </c>
      <c r="M62" s="24">
        <f t="shared" si="74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5"/>
        <v>0</v>
      </c>
      <c r="AB62" s="116">
        <v>0.25</v>
      </c>
      <c r="AC62" s="147">
        <f t="shared" si="66"/>
        <v>0</v>
      </c>
      <c r="AD62" s="116">
        <v>0.25</v>
      </c>
      <c r="AE62" s="147">
        <f t="shared" si="67"/>
        <v>0</v>
      </c>
      <c r="AF62" s="122">
        <f t="shared" si="57"/>
        <v>0.25</v>
      </c>
      <c r="AG62" s="147">
        <f t="shared" si="61"/>
        <v>0</v>
      </c>
      <c r="AH62" s="123">
        <f t="shared" si="75"/>
        <v>1</v>
      </c>
      <c r="AI62" s="112">
        <f t="shared" si="75"/>
        <v>0</v>
      </c>
      <c r="AJ62" s="148">
        <f t="shared" si="63"/>
        <v>0</v>
      </c>
      <c r="AK62" s="147">
        <f t="shared" si="64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7">
        <f>IF([1]Summ!E1098="",0,[1]Summ!E1098)</f>
        <v>0</v>
      </c>
      <c r="C63" s="217">
        <f>IF([1]Summ!F1098="",0,[1]Summ!F1098)</f>
        <v>0</v>
      </c>
      <c r="D63" s="38">
        <f t="shared" si="68"/>
        <v>0</v>
      </c>
      <c r="E63" s="26">
        <v>1</v>
      </c>
      <c r="F63" s="26">
        <v>1</v>
      </c>
      <c r="G63" s="22">
        <f t="shared" si="59"/>
        <v>1</v>
      </c>
      <c r="H63" s="24">
        <f t="shared" si="69"/>
        <v>1</v>
      </c>
      <c r="I63" s="39">
        <f t="shared" si="70"/>
        <v>0</v>
      </c>
      <c r="J63" s="38">
        <f t="shared" si="71"/>
        <v>0</v>
      </c>
      <c r="K63" s="40">
        <f t="shared" si="72"/>
        <v>0</v>
      </c>
      <c r="L63" s="22">
        <f t="shared" si="73"/>
        <v>0</v>
      </c>
      <c r="M63" s="24">
        <f t="shared" si="74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5"/>
        <v>0</v>
      </c>
      <c r="AB63" s="116">
        <v>0.25</v>
      </c>
      <c r="AC63" s="147">
        <f t="shared" si="66"/>
        <v>0</v>
      </c>
      <c r="AD63" s="116">
        <v>0.25</v>
      </c>
      <c r="AE63" s="147">
        <f t="shared" si="67"/>
        <v>0</v>
      </c>
      <c r="AF63" s="122">
        <f t="shared" si="57"/>
        <v>0.25</v>
      </c>
      <c r="AG63" s="147">
        <f t="shared" si="61"/>
        <v>0</v>
      </c>
      <c r="AH63" s="123">
        <f t="shared" si="75"/>
        <v>1</v>
      </c>
      <c r="AI63" s="112">
        <f t="shared" si="75"/>
        <v>0</v>
      </c>
      <c r="AJ63" s="148">
        <f t="shared" si="63"/>
        <v>0</v>
      </c>
      <c r="AK63" s="147">
        <f t="shared" si="64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7">
        <f>IF([1]Summ!E1099="",0,[1]Summ!E1099)</f>
        <v>0</v>
      </c>
      <c r="C64" s="217">
        <f>IF([1]Summ!F1099="",0,[1]Summ!F1099)</f>
        <v>0</v>
      </c>
      <c r="D64" s="38">
        <f t="shared" si="68"/>
        <v>0</v>
      </c>
      <c r="E64" s="26">
        <v>1</v>
      </c>
      <c r="F64" s="26">
        <v>1</v>
      </c>
      <c r="G64" s="22">
        <f t="shared" si="59"/>
        <v>1</v>
      </c>
      <c r="H64" s="24">
        <f t="shared" si="69"/>
        <v>1</v>
      </c>
      <c r="I64" s="39">
        <f t="shared" si="70"/>
        <v>0</v>
      </c>
      <c r="J64" s="38">
        <f t="shared" si="71"/>
        <v>0</v>
      </c>
      <c r="K64" s="40">
        <f t="shared" si="72"/>
        <v>0</v>
      </c>
      <c r="L64" s="22">
        <f t="shared" si="73"/>
        <v>0</v>
      </c>
      <c r="M64" s="24">
        <f t="shared" si="74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5"/>
        <v>0</v>
      </c>
      <c r="AB64" s="116">
        <v>0.25</v>
      </c>
      <c r="AC64" s="149">
        <f t="shared" si="66"/>
        <v>0</v>
      </c>
      <c r="AD64" s="116">
        <v>0.25</v>
      </c>
      <c r="AE64" s="149">
        <f t="shared" si="67"/>
        <v>0</v>
      </c>
      <c r="AF64" s="150">
        <f t="shared" si="57"/>
        <v>0.25</v>
      </c>
      <c r="AG64" s="149">
        <f t="shared" si="61"/>
        <v>0</v>
      </c>
      <c r="AH64" s="123">
        <f t="shared" si="75"/>
        <v>1</v>
      </c>
      <c r="AI64" s="112">
        <f t="shared" si="75"/>
        <v>0</v>
      </c>
      <c r="AJ64" s="151">
        <f t="shared" si="63"/>
        <v>0</v>
      </c>
      <c r="AK64" s="149">
        <f t="shared" si="64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24465</v>
      </c>
      <c r="C65" s="41">
        <f>SUM(C37:C64)</f>
        <v>-686</v>
      </c>
      <c r="D65" s="42">
        <f>SUM(D37:D64)</f>
        <v>23779</v>
      </c>
      <c r="E65" s="32"/>
      <c r="F65" s="32"/>
      <c r="G65" s="32"/>
      <c r="H65" s="31"/>
      <c r="I65" s="39">
        <f>SUM(I37:I64)</f>
        <v>23779</v>
      </c>
      <c r="J65" s="39">
        <f>SUM(J37:J64)</f>
        <v>23779</v>
      </c>
      <c r="K65" s="40">
        <f>SUM(K37:K64)</f>
        <v>1</v>
      </c>
      <c r="L65" s="22">
        <f>SUM(L37:L64)</f>
        <v>1</v>
      </c>
      <c r="M65" s="24">
        <f>SUM(M37:M64)</f>
        <v>0.97195994277539344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5542.5</v>
      </c>
      <c r="AB65" s="137"/>
      <c r="AC65" s="153">
        <f>SUM(AC37:AC64)</f>
        <v>5542.5</v>
      </c>
      <c r="AD65" s="137"/>
      <c r="AE65" s="153">
        <f>SUM(AE37:AE64)</f>
        <v>5542.5</v>
      </c>
      <c r="AF65" s="137"/>
      <c r="AG65" s="153">
        <f>SUM(AG37:AG64)</f>
        <v>6042.5</v>
      </c>
      <c r="AH65" s="137"/>
      <c r="AI65" s="153">
        <f>SUM(AI37:AI64)</f>
        <v>22670</v>
      </c>
      <c r="AJ65" s="153">
        <f>SUM(AJ37:AJ64)</f>
        <v>11085</v>
      </c>
      <c r="AK65" s="153">
        <f>SUM(AK37:AK64)</f>
        <v>11585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13579.12894961681</v>
      </c>
      <c r="C70" s="46"/>
      <c r="D70" s="38"/>
      <c r="E70" s="26">
        <v>1</v>
      </c>
      <c r="F70" s="26">
        <v>1</v>
      </c>
      <c r="G70" s="22"/>
      <c r="H70" s="24">
        <f>(E70*F70)</f>
        <v>1</v>
      </c>
      <c r="I70" s="39">
        <f>I124*I$83</f>
        <v>13579.128949616812</v>
      </c>
      <c r="J70" s="51">
        <f t="shared" ref="J70:J77" si="76">J124*I$83</f>
        <v>13579.128949616812</v>
      </c>
      <c r="K70" s="40">
        <f>B70/B$76</f>
        <v>0.55504307989441282</v>
      </c>
      <c r="L70" s="22">
        <f t="shared" ref="L70:L75" si="77">(L124*G$37*F$9/F$7)/B$130</f>
        <v>0.55504307989441282</v>
      </c>
      <c r="M70" s="24">
        <f>J70/B$76</f>
        <v>0.55504307989441293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3394.782237404203</v>
      </c>
      <c r="AB70" s="116">
        <v>0.25</v>
      </c>
      <c r="AC70" s="147">
        <f>$J70*AB70</f>
        <v>3394.782237404203</v>
      </c>
      <c r="AD70" s="116">
        <v>0.25</v>
      </c>
      <c r="AE70" s="147">
        <f>$J70*AD70</f>
        <v>3394.782237404203</v>
      </c>
      <c r="AF70" s="122">
        <f>1-SUM(Z70,AB70,AD70)</f>
        <v>0.25</v>
      </c>
      <c r="AG70" s="147">
        <f>$J70*AF70</f>
        <v>3394.782237404203</v>
      </c>
      <c r="AH70" s="155">
        <f>SUM(Z70,AB70,AD70,AF70)</f>
        <v>1</v>
      </c>
      <c r="AI70" s="147">
        <f>SUM(AA70,AC70,AE70,AG70)</f>
        <v>13579.128949616812</v>
      </c>
      <c r="AJ70" s="148">
        <f>(AA70+AC70)</f>
        <v>6789.564474808406</v>
      </c>
      <c r="AK70" s="147">
        <f>(AE70+AG70)</f>
        <v>6789.564474808406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13978.666666666668</v>
      </c>
      <c r="C71" s="46"/>
      <c r="D71" s="38"/>
      <c r="E71" s="26">
        <v>1</v>
      </c>
      <c r="F71" s="26">
        <v>1</v>
      </c>
      <c r="G71" s="22"/>
      <c r="H71" s="24">
        <f t="shared" ref="H71:H72" si="78">(E71*F71)</f>
        <v>1</v>
      </c>
      <c r="I71" s="39">
        <f>I125*I$83</f>
        <v>10199.871050383188</v>
      </c>
      <c r="J71" s="51">
        <f t="shared" si="76"/>
        <v>10199.871050383188</v>
      </c>
      <c r="K71" s="40">
        <f t="shared" ref="K71:K72" si="79">B71/B$76</f>
        <v>0.57137407180325639</v>
      </c>
      <c r="L71" s="22">
        <f t="shared" si="77"/>
        <v>0.44495692010558713</v>
      </c>
      <c r="M71" s="24">
        <f t="shared" ref="M71:M72" si="80">J71/B$76</f>
        <v>0.41691686288098051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</v>
      </c>
      <c r="G72" s="22"/>
      <c r="H72" s="24">
        <f t="shared" si="78"/>
        <v>1</v>
      </c>
      <c r="I72" s="39">
        <f>I126*I$83</f>
        <v>0</v>
      </c>
      <c r="J72" s="51">
        <f t="shared" si="76"/>
        <v>0</v>
      </c>
      <c r="K72" s="40">
        <f t="shared" si="79"/>
        <v>1.1340282035561005</v>
      </c>
      <c r="L72" s="22">
        <f t="shared" si="77"/>
        <v>0</v>
      </c>
      <c r="M72" s="24">
        <f t="shared" si="80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3740</v>
      </c>
      <c r="C73" s="46"/>
      <c r="D73" s="38"/>
      <c r="E73" s="26">
        <v>1</v>
      </c>
      <c r="F73" s="26">
        <v>1</v>
      </c>
      <c r="G73" s="22"/>
      <c r="H73" s="24">
        <f>(E73*F73)</f>
        <v>1</v>
      </c>
      <c r="I73" s="39">
        <f>I127*I$83</f>
        <v>0</v>
      </c>
      <c r="J73" s="51">
        <f t="shared" si="76"/>
        <v>0</v>
      </c>
      <c r="K73" s="40">
        <f>B73/B$76</f>
        <v>0.15287144900878807</v>
      </c>
      <c r="L73" s="22">
        <f t="shared" si="77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336.59999999999997</v>
      </c>
      <c r="AB73" s="116">
        <v>0.09</v>
      </c>
      <c r="AC73" s="147">
        <f>$H$73*$B$73*AB73</f>
        <v>336.59999999999997</v>
      </c>
      <c r="AD73" s="116">
        <v>0.23</v>
      </c>
      <c r="AE73" s="147">
        <f>$H$73*$B$73*AD73</f>
        <v>860.2</v>
      </c>
      <c r="AF73" s="122">
        <f>1-SUM(Z73,AB73,AD73)</f>
        <v>0.59</v>
      </c>
      <c r="AG73" s="147">
        <f>$H$73*$B$73*AF73</f>
        <v>2206.6</v>
      </c>
      <c r="AH73" s="155">
        <f>SUM(Z73,AB73,AD73,AF73)</f>
        <v>1</v>
      </c>
      <c r="AI73" s="147">
        <f>SUM(AA73,AC73,AE73,AG73)</f>
        <v>3740</v>
      </c>
      <c r="AJ73" s="148">
        <f>(AA73+AC73)</f>
        <v>673.19999999999993</v>
      </c>
      <c r="AK73" s="147">
        <f>(AE73+AG73)</f>
        <v>3066.8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2841.2154696132598</v>
      </c>
      <c r="C74" s="46"/>
      <c r="D74" s="38"/>
      <c r="E74" s="32"/>
      <c r="F74" s="32"/>
      <c r="G74" s="32"/>
      <c r="H74" s="31"/>
      <c r="I74" s="39">
        <f>I128*I$83</f>
        <v>10199.871050383188</v>
      </c>
      <c r="J74" s="51">
        <f t="shared" si="76"/>
        <v>1853.89976143223</v>
      </c>
      <c r="K74" s="40">
        <f>B74/B$76</f>
        <v>0.11613388389999019</v>
      </c>
      <c r="L74" s="22">
        <f t="shared" si="77"/>
        <v>0.11613388389999017</v>
      </c>
      <c r="M74" s="24">
        <f>J74/B$76</f>
        <v>7.5777631777323926E-2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-2321.773635909974</v>
      </c>
      <c r="AB74" s="156"/>
      <c r="AC74" s="147">
        <f>AC30*$I$83/4</f>
        <v>-2153.6615698798805</v>
      </c>
      <c r="AD74" s="156"/>
      <c r="AE74" s="147">
        <f>AE30*$I$83/4</f>
        <v>-2623.2296135445508</v>
      </c>
      <c r="AF74" s="156"/>
      <c r="AG74" s="147">
        <f>AG30*$I$83/4</f>
        <v>6331.2569992310791</v>
      </c>
      <c r="AH74" s="155"/>
      <c r="AI74" s="147">
        <f>SUM(AA74,AC74,AE74,AG74)</f>
        <v>-767.40782010332532</v>
      </c>
      <c r="AJ74" s="148">
        <f>(AA74+AC74)</f>
        <v>-4475.4352057898541</v>
      </c>
      <c r="AK74" s="147">
        <f>(AE74+AG74)</f>
        <v>3708.0273856865283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6"/>
        <v>0</v>
      </c>
      <c r="K75" s="40">
        <f>B75/B$76</f>
        <v>0</v>
      </c>
      <c r="L75" s="22">
        <f t="shared" si="77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4469.491398505771</v>
      </c>
      <c r="AB75" s="158"/>
      <c r="AC75" s="149">
        <f>AA75+AC65-SUM(AC70,AC74)</f>
        <v>8770.870730981449</v>
      </c>
      <c r="AD75" s="158"/>
      <c r="AE75" s="149">
        <f>AC75+AE65-SUM(AE70,AE74)</f>
        <v>13541.818107121797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9858.2788704865125</v>
      </c>
      <c r="AJ75" s="151">
        <f>AJ76-SUM(AJ70,AJ74)</f>
        <v>8770.870730981449</v>
      </c>
      <c r="AK75" s="149">
        <f>AJ75+AK76-SUM(AK70,AK74)</f>
        <v>9858.2788704865143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24465</v>
      </c>
      <c r="C76" s="46"/>
      <c r="D76" s="38"/>
      <c r="E76" s="32"/>
      <c r="F76" s="32"/>
      <c r="G76" s="32"/>
      <c r="H76" s="31"/>
      <c r="I76" s="39">
        <f>I130*I$83</f>
        <v>23779</v>
      </c>
      <c r="J76" s="51">
        <f t="shared" si="76"/>
        <v>23779</v>
      </c>
      <c r="K76" s="40">
        <f>SUM(K70:K75)</f>
        <v>2.5294506881625476</v>
      </c>
      <c r="L76" s="22">
        <f>SUM(L70:L75)</f>
        <v>1.1161338838999901</v>
      </c>
      <c r="M76" s="24">
        <f>SUM(M70:M75)</f>
        <v>1.0477375745527173</v>
      </c>
      <c r="O76" s="2"/>
      <c r="P76" s="2"/>
      <c r="Q76" s="56"/>
      <c r="R76" s="56"/>
      <c r="S76" s="56"/>
      <c r="T76" s="56"/>
      <c r="U76" s="56"/>
      <c r="V76" s="56"/>
      <c r="W76" s="110"/>
      <c r="X76" s="190"/>
      <c r="Y76" s="190"/>
      <c r="Z76" s="137"/>
      <c r="AA76" s="154">
        <f>AA65</f>
        <v>5542.5</v>
      </c>
      <c r="AB76" s="137"/>
      <c r="AC76" s="153">
        <f>AC65</f>
        <v>5542.5</v>
      </c>
      <c r="AD76" s="137"/>
      <c r="AE76" s="153">
        <f>AE65</f>
        <v>5542.5</v>
      </c>
      <c r="AF76" s="137"/>
      <c r="AG76" s="153">
        <f>AG65</f>
        <v>6042.5</v>
      </c>
      <c r="AH76" s="137"/>
      <c r="AI76" s="153">
        <f>SUM(AA76,AC76,AE76,AG76)</f>
        <v>22670</v>
      </c>
      <c r="AJ76" s="154">
        <f>SUM(AA76,AC76)</f>
        <v>11085</v>
      </c>
      <c r="AK76" s="154">
        <f>SUM(AE76,AG76)</f>
        <v>11585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13978.666666666664</v>
      </c>
      <c r="J77" s="100">
        <f t="shared" si="76"/>
        <v>5632.695377715705</v>
      </c>
      <c r="K77" s="40"/>
      <c r="L77" s="22">
        <f>-(L131*G$37*F$9/F$7)/B$130</f>
        <v>-0.57137407180325617</v>
      </c>
      <c r="M77" s="24">
        <f>-J77/B$76</f>
        <v>-0.23023484069959962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4469.491398505771</v>
      </c>
      <c r="AD78" s="112"/>
      <c r="AE78" s="112">
        <f>AC75</f>
        <v>8770.870730981449</v>
      </c>
      <c r="AF78" s="112"/>
      <c r="AG78" s="112">
        <f>AE75</f>
        <v>13541.818107121797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34" t="str">
        <f>[1]Summ!E1037</f>
        <v>maize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2147.717762595797</v>
      </c>
      <c r="AB79" s="112"/>
      <c r="AC79" s="112">
        <f>AA79-AA74+AC65-AC70</f>
        <v>6617.2091611015694</v>
      </c>
      <c r="AD79" s="112"/>
      <c r="AE79" s="112">
        <f>AC79-AC74+AE65-AE70</f>
        <v>10918.588493577246</v>
      </c>
      <c r="AF79" s="112"/>
      <c r="AG79" s="112">
        <f>AE79-AE74+AG65-AG70</f>
        <v>16189.535869717596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0.58061985920496251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34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4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6781.6399555139624</v>
      </c>
      <c r="C83" s="46"/>
      <c r="D83" s="38"/>
      <c r="E83" s="32"/>
      <c r="F83" s="32"/>
      <c r="G83" s="32"/>
      <c r="H83" s="24">
        <f>G$37*F$9/F$7</f>
        <v>1</v>
      </c>
      <c r="I83" s="39">
        <f xml:space="preserve"> B83*H83</f>
        <v>6781.6399555139624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1695.4099888784906</v>
      </c>
      <c r="AB83" s="112"/>
      <c r="AC83" s="165">
        <f>$I$83*AB82/4</f>
        <v>1695.4099888784906</v>
      </c>
      <c r="AD83" s="112"/>
      <c r="AE83" s="165">
        <f>$I$83*AD82/4</f>
        <v>1695.4099888784906</v>
      </c>
      <c r="AF83" s="112"/>
      <c r="AG83" s="165">
        <f>$I$83*AF82/4</f>
        <v>1695.4099888784906</v>
      </c>
      <c r="AH83" s="165">
        <f>SUM(AA83,AC83,AE83,AG83)</f>
        <v>6781.6399555139624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17059.8252222761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17059.8252222761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6"/>
      <c r="AB87" s="186"/>
      <c r="AC87" s="186"/>
      <c r="AD87" s="186"/>
      <c r="AE87" s="186"/>
      <c r="AF87" s="186"/>
      <c r="AG87" s="186"/>
      <c r="AH87" s="187"/>
      <c r="AI87" s="189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1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1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2">IF(B37="","",(B37/$B$83))</f>
        <v>0</v>
      </c>
      <c r="C91" s="60">
        <f t="shared" si="82"/>
        <v>0</v>
      </c>
      <c r="D91" s="24">
        <f>SUM(B91,C91)</f>
        <v>0</v>
      </c>
      <c r="H91" s="24">
        <f>(E37*F37/G37*F$7/F$9)</f>
        <v>1</v>
      </c>
      <c r="I91" s="22">
        <f t="shared" ref="I91" si="83">(D91*H91)</f>
        <v>0</v>
      </c>
      <c r="J91" s="24">
        <f>IF(I$32&lt;=1+I$131,I91,L91+J$33*(I91-L91))</f>
        <v>0</v>
      </c>
      <c r="K91" s="22">
        <f t="shared" ref="K91" si="84">IF(B91="",0,B91)</f>
        <v>0</v>
      </c>
      <c r="L91" s="22">
        <f t="shared" ref="L91" si="85">(K91*H91)</f>
        <v>0</v>
      </c>
      <c r="M91" s="231">
        <f t="shared" si="81"/>
        <v>0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6">IF(A38="","",A38)</f>
        <v>Goat sales - local: no. sold</v>
      </c>
      <c r="B92" s="60">
        <f t="shared" si="82"/>
        <v>7.3728479140722294E-2</v>
      </c>
      <c r="C92" s="60">
        <f t="shared" si="82"/>
        <v>0</v>
      </c>
      <c r="D92" s="24">
        <f t="shared" ref="D92:D118" si="87">SUM(B92,C92)</f>
        <v>7.3728479140722294E-2</v>
      </c>
      <c r="H92" s="24">
        <f t="shared" ref="H92:H118" si="88">(E38*F38/G38*F$7/F$9)</f>
        <v>1</v>
      </c>
      <c r="I92" s="22">
        <f t="shared" ref="I92:I118" si="89">(D92*H92)</f>
        <v>7.3728479140722294E-2</v>
      </c>
      <c r="J92" s="24">
        <f t="shared" ref="J92:J118" si="90">IF(I$32&lt;=1+I$131,I92,L92+J$33*(I92-L92))</f>
        <v>7.3728479140722294E-2</v>
      </c>
      <c r="K92" s="22">
        <f t="shared" ref="K92:K118" si="91">IF(B92="",0,B92)</f>
        <v>7.3728479140722294E-2</v>
      </c>
      <c r="L92" s="22">
        <f t="shared" ref="L92:L118" si="92">(K92*H92)</f>
        <v>7.3728479140722294E-2</v>
      </c>
      <c r="M92" s="231">
        <f t="shared" ref="M92:M118" si="93">(J92)</f>
        <v>7.3728479140722294E-2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6"/>
        <v>Chicken sales: no. sold</v>
      </c>
      <c r="B93" s="60">
        <f t="shared" si="82"/>
        <v>0</v>
      </c>
      <c r="C93" s="60">
        <f t="shared" si="82"/>
        <v>0</v>
      </c>
      <c r="D93" s="24">
        <f t="shared" si="87"/>
        <v>0</v>
      </c>
      <c r="H93" s="24">
        <f t="shared" si="88"/>
        <v>1</v>
      </c>
      <c r="I93" s="22">
        <f t="shared" si="89"/>
        <v>0</v>
      </c>
      <c r="J93" s="24">
        <f t="shared" si="90"/>
        <v>0</v>
      </c>
      <c r="K93" s="22">
        <f t="shared" si="91"/>
        <v>0</v>
      </c>
      <c r="L93" s="22">
        <f t="shared" si="92"/>
        <v>0</v>
      </c>
      <c r="M93" s="231">
        <f t="shared" si="93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6"/>
        <v>Maize: kg produced</v>
      </c>
      <c r="B94" s="60">
        <f t="shared" si="82"/>
        <v>0</v>
      </c>
      <c r="C94" s="60">
        <f t="shared" si="82"/>
        <v>0</v>
      </c>
      <c r="D94" s="24">
        <f t="shared" si="87"/>
        <v>0</v>
      </c>
      <c r="H94" s="24">
        <f t="shared" si="88"/>
        <v>1</v>
      </c>
      <c r="I94" s="22">
        <f t="shared" si="89"/>
        <v>0</v>
      </c>
      <c r="J94" s="24">
        <f t="shared" si="90"/>
        <v>0</v>
      </c>
      <c r="K94" s="22">
        <f t="shared" si="91"/>
        <v>0</v>
      </c>
      <c r="L94" s="22">
        <f t="shared" si="92"/>
        <v>0</v>
      </c>
      <c r="M94" s="231">
        <f t="shared" si="93"/>
        <v>0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6"/>
        <v>Beans: kg produced</v>
      </c>
      <c r="B95" s="60">
        <f t="shared" si="82"/>
        <v>0</v>
      </c>
      <c r="C95" s="60">
        <f t="shared" si="82"/>
        <v>0</v>
      </c>
      <c r="D95" s="24">
        <f t="shared" si="87"/>
        <v>0</v>
      </c>
      <c r="H95" s="24">
        <f t="shared" si="88"/>
        <v>1</v>
      </c>
      <c r="I95" s="22">
        <f t="shared" si="89"/>
        <v>0</v>
      </c>
      <c r="J95" s="24">
        <f t="shared" si="90"/>
        <v>0</v>
      </c>
      <c r="K95" s="22">
        <f t="shared" si="91"/>
        <v>0</v>
      </c>
      <c r="L95" s="22">
        <f t="shared" si="92"/>
        <v>0</v>
      </c>
      <c r="M95" s="231">
        <f t="shared" si="93"/>
        <v>0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6"/>
        <v>Water melon: no. local meas (Bhece)</v>
      </c>
      <c r="B96" s="60">
        <f t="shared" si="82"/>
        <v>0</v>
      </c>
      <c r="C96" s="60">
        <f t="shared" si="82"/>
        <v>0</v>
      </c>
      <c r="D96" s="24">
        <f t="shared" si="87"/>
        <v>0</v>
      </c>
      <c r="H96" s="24">
        <f t="shared" si="88"/>
        <v>1</v>
      </c>
      <c r="I96" s="22">
        <f t="shared" si="89"/>
        <v>0</v>
      </c>
      <c r="J96" s="24">
        <f t="shared" si="90"/>
        <v>0</v>
      </c>
      <c r="K96" s="22">
        <f t="shared" si="91"/>
        <v>0</v>
      </c>
      <c r="L96" s="22">
        <f t="shared" si="92"/>
        <v>0</v>
      </c>
      <c r="M96" s="231">
        <f t="shared" si="93"/>
        <v>0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6"/>
        <v>Sweet poatato: no. local meas</v>
      </c>
      <c r="B97" s="60">
        <f t="shared" si="82"/>
        <v>0</v>
      </c>
      <c r="C97" s="60">
        <f t="shared" si="82"/>
        <v>0</v>
      </c>
      <c r="D97" s="24">
        <f t="shared" si="87"/>
        <v>0</v>
      </c>
      <c r="H97" s="24">
        <f t="shared" si="88"/>
        <v>1</v>
      </c>
      <c r="I97" s="22">
        <f t="shared" si="89"/>
        <v>0</v>
      </c>
      <c r="J97" s="24">
        <f t="shared" si="90"/>
        <v>0</v>
      </c>
      <c r="K97" s="22">
        <f t="shared" si="91"/>
        <v>0</v>
      </c>
      <c r="L97" s="22">
        <f t="shared" si="92"/>
        <v>0</v>
      </c>
      <c r="M97" s="231">
        <f t="shared" si="93"/>
        <v>0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6"/>
        <v>Groundnuts (dry): no. local meas</v>
      </c>
      <c r="B98" s="60">
        <f t="shared" si="82"/>
        <v>9.5847022882938976E-2</v>
      </c>
      <c r="C98" s="60">
        <f t="shared" si="82"/>
        <v>-9.5847022882938976E-2</v>
      </c>
      <c r="D98" s="24">
        <f t="shared" si="87"/>
        <v>0</v>
      </c>
      <c r="H98" s="24">
        <f t="shared" si="88"/>
        <v>1</v>
      </c>
      <c r="I98" s="22">
        <f t="shared" si="89"/>
        <v>0</v>
      </c>
      <c r="J98" s="24">
        <f t="shared" si="90"/>
        <v>0</v>
      </c>
      <c r="K98" s="22">
        <f t="shared" si="91"/>
        <v>9.5847022882938976E-2</v>
      </c>
      <c r="L98" s="22">
        <f t="shared" si="92"/>
        <v>9.5847022882938976E-2</v>
      </c>
      <c r="M98" s="231">
        <f t="shared" si="93"/>
        <v>0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6"/>
        <v>Irish potato: type</v>
      </c>
      <c r="B99" s="60">
        <f t="shared" si="82"/>
        <v>5.3084504981320045E-3</v>
      </c>
      <c r="C99" s="60">
        <f t="shared" si="82"/>
        <v>-5.3084504981320045E-3</v>
      </c>
      <c r="D99" s="24">
        <f t="shared" si="87"/>
        <v>0</v>
      </c>
      <c r="H99" s="24">
        <f t="shared" si="88"/>
        <v>1</v>
      </c>
      <c r="I99" s="22">
        <f t="shared" si="89"/>
        <v>0</v>
      </c>
      <c r="J99" s="24">
        <f t="shared" si="90"/>
        <v>0</v>
      </c>
      <c r="K99" s="22">
        <f t="shared" si="91"/>
        <v>5.3084504981320045E-3</v>
      </c>
      <c r="L99" s="22">
        <f t="shared" si="92"/>
        <v>5.3084504981320045E-3</v>
      </c>
      <c r="M99" s="231">
        <f t="shared" si="93"/>
        <v>0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6"/>
        <v>Yam: type</v>
      </c>
      <c r="B100" s="60">
        <f t="shared" si="82"/>
        <v>0</v>
      </c>
      <c r="C100" s="60">
        <f t="shared" si="82"/>
        <v>0</v>
      </c>
      <c r="D100" s="24">
        <f t="shared" si="87"/>
        <v>0</v>
      </c>
      <c r="H100" s="24">
        <f t="shared" si="88"/>
        <v>1</v>
      </c>
      <c r="I100" s="22">
        <f t="shared" si="89"/>
        <v>0</v>
      </c>
      <c r="J100" s="24">
        <f t="shared" si="90"/>
        <v>0</v>
      </c>
      <c r="K100" s="22">
        <f t="shared" si="91"/>
        <v>0</v>
      </c>
      <c r="L100" s="22">
        <f t="shared" si="92"/>
        <v>0</v>
      </c>
      <c r="M100" s="231">
        <f t="shared" si="93"/>
        <v>0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6"/>
        <v>Spinach (cash): kg produced</v>
      </c>
      <c r="B101" s="60">
        <f t="shared" si="82"/>
        <v>2.2118543742216685E-2</v>
      </c>
      <c r="C101" s="60">
        <f t="shared" si="82"/>
        <v>0</v>
      </c>
      <c r="D101" s="24">
        <f t="shared" si="87"/>
        <v>2.2118543742216685E-2</v>
      </c>
      <c r="H101" s="24">
        <f t="shared" si="88"/>
        <v>1</v>
      </c>
      <c r="I101" s="22">
        <f t="shared" si="89"/>
        <v>2.2118543742216685E-2</v>
      </c>
      <c r="J101" s="24">
        <f t="shared" si="90"/>
        <v>2.2118543742216685E-2</v>
      </c>
      <c r="K101" s="22">
        <f t="shared" si="91"/>
        <v>2.2118543742216685E-2</v>
      </c>
      <c r="L101" s="22">
        <f t="shared" si="92"/>
        <v>2.2118543742216685E-2</v>
      </c>
      <c r="M101" s="231">
        <f t="shared" si="93"/>
        <v>2.2118543742216685E-2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6"/>
        <v>Tomatoes (cash): kg produced</v>
      </c>
      <c r="B102" s="60">
        <f t="shared" si="82"/>
        <v>0</v>
      </c>
      <c r="C102" s="60">
        <f t="shared" si="82"/>
        <v>0</v>
      </c>
      <c r="D102" s="24">
        <f t="shared" si="87"/>
        <v>0</v>
      </c>
      <c r="H102" s="24">
        <f t="shared" si="88"/>
        <v>1</v>
      </c>
      <c r="I102" s="22">
        <f t="shared" si="89"/>
        <v>0</v>
      </c>
      <c r="J102" s="24">
        <f t="shared" si="90"/>
        <v>0</v>
      </c>
      <c r="K102" s="22">
        <f t="shared" si="91"/>
        <v>0</v>
      </c>
      <c r="L102" s="22">
        <f t="shared" si="92"/>
        <v>0</v>
      </c>
      <c r="M102" s="231">
        <f t="shared" si="93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6"/>
        <v>Cabbage (cash): kg produced</v>
      </c>
      <c r="B103" s="60">
        <f t="shared" si="82"/>
        <v>0</v>
      </c>
      <c r="C103" s="60">
        <f t="shared" si="82"/>
        <v>0</v>
      </c>
      <c r="D103" s="24">
        <f t="shared" si="87"/>
        <v>0</v>
      </c>
      <c r="H103" s="24">
        <f t="shared" si="88"/>
        <v>1</v>
      </c>
      <c r="I103" s="22">
        <f t="shared" si="89"/>
        <v>0</v>
      </c>
      <c r="J103" s="24">
        <f t="shared" si="90"/>
        <v>0</v>
      </c>
      <c r="K103" s="22">
        <f t="shared" si="91"/>
        <v>0</v>
      </c>
      <c r="L103" s="22">
        <f t="shared" si="92"/>
        <v>0</v>
      </c>
      <c r="M103" s="231">
        <f t="shared" si="93"/>
        <v>0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6"/>
        <v>Agricultural cash income -- see Data2</v>
      </c>
      <c r="B104" s="60">
        <f t="shared" si="82"/>
        <v>0.16352976673412203</v>
      </c>
      <c r="C104" s="60">
        <f t="shared" si="82"/>
        <v>0</v>
      </c>
      <c r="D104" s="24">
        <f t="shared" si="87"/>
        <v>0.16352976673412203</v>
      </c>
      <c r="H104" s="24">
        <f t="shared" si="88"/>
        <v>1</v>
      </c>
      <c r="I104" s="22">
        <f t="shared" si="89"/>
        <v>0.16352976673412203</v>
      </c>
      <c r="J104" s="24">
        <f t="shared" si="90"/>
        <v>0.16352976673412203</v>
      </c>
      <c r="K104" s="22">
        <f t="shared" si="91"/>
        <v>0.16352976673412203</v>
      </c>
      <c r="L104" s="22">
        <f t="shared" si="92"/>
        <v>0.16352976673412203</v>
      </c>
      <c r="M104" s="231">
        <f t="shared" si="93"/>
        <v>0.16352976673412203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6"/>
        <v>Labour migration(formal employment): no. people per HH</v>
      </c>
      <c r="B105" s="60">
        <f t="shared" si="82"/>
        <v>0</v>
      </c>
      <c r="C105" s="60">
        <f t="shared" si="82"/>
        <v>0</v>
      </c>
      <c r="D105" s="24">
        <f t="shared" si="87"/>
        <v>0</v>
      </c>
      <c r="H105" s="24">
        <f t="shared" si="88"/>
        <v>1</v>
      </c>
      <c r="I105" s="22">
        <f t="shared" si="89"/>
        <v>0</v>
      </c>
      <c r="J105" s="24">
        <f t="shared" si="90"/>
        <v>0</v>
      </c>
      <c r="K105" s="22">
        <f t="shared" si="91"/>
        <v>0</v>
      </c>
      <c r="L105" s="22">
        <f t="shared" si="92"/>
        <v>0</v>
      </c>
      <c r="M105" s="231">
        <f t="shared" si="93"/>
        <v>0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6"/>
        <v>Formal Employment (conservancies, etc.)</v>
      </c>
      <c r="B106" s="60">
        <f t="shared" si="82"/>
        <v>0</v>
      </c>
      <c r="C106" s="60">
        <f t="shared" si="82"/>
        <v>0</v>
      </c>
      <c r="D106" s="24">
        <f t="shared" si="87"/>
        <v>0</v>
      </c>
      <c r="H106" s="24">
        <f t="shared" si="88"/>
        <v>1</v>
      </c>
      <c r="I106" s="22">
        <f t="shared" si="89"/>
        <v>0</v>
      </c>
      <c r="J106" s="24">
        <f t="shared" si="90"/>
        <v>0</v>
      </c>
      <c r="K106" s="22">
        <f t="shared" si="91"/>
        <v>0</v>
      </c>
      <c r="L106" s="22">
        <f t="shared" si="92"/>
        <v>0</v>
      </c>
      <c r="M106" s="231">
        <f t="shared" si="93"/>
        <v>0</v>
      </c>
      <c r="N106" s="233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6"/>
        <v>Self-employment -- see Data2</v>
      </c>
      <c r="B107" s="60">
        <f t="shared" si="82"/>
        <v>0</v>
      </c>
      <c r="C107" s="60">
        <f t="shared" si="82"/>
        <v>0</v>
      </c>
      <c r="D107" s="24">
        <f t="shared" si="87"/>
        <v>0</v>
      </c>
      <c r="H107" s="24">
        <f t="shared" si="88"/>
        <v>1</v>
      </c>
      <c r="I107" s="22">
        <f t="shared" si="89"/>
        <v>0</v>
      </c>
      <c r="J107" s="24">
        <f t="shared" si="90"/>
        <v>0</v>
      </c>
      <c r="K107" s="22">
        <f t="shared" si="91"/>
        <v>0</v>
      </c>
      <c r="L107" s="22">
        <f t="shared" si="92"/>
        <v>0</v>
      </c>
      <c r="M107" s="231">
        <f t="shared" si="93"/>
        <v>0</v>
      </c>
      <c r="N107" s="233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6"/>
        <v>Small business -- see Data2</v>
      </c>
      <c r="B108" s="60">
        <f t="shared" si="82"/>
        <v>0</v>
      </c>
      <c r="C108" s="60">
        <f t="shared" si="82"/>
        <v>0</v>
      </c>
      <c r="D108" s="24">
        <f t="shared" si="87"/>
        <v>0</v>
      </c>
      <c r="H108" s="24">
        <f t="shared" si="88"/>
        <v>1</v>
      </c>
      <c r="I108" s="22">
        <f t="shared" si="89"/>
        <v>0</v>
      </c>
      <c r="J108" s="24">
        <f t="shared" si="90"/>
        <v>0</v>
      </c>
      <c r="K108" s="22">
        <f t="shared" si="91"/>
        <v>0</v>
      </c>
      <c r="L108" s="22">
        <f t="shared" si="92"/>
        <v>0</v>
      </c>
      <c r="M108" s="231">
        <f t="shared" si="93"/>
        <v>0</v>
      </c>
      <c r="N108" s="233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6"/>
        <v>Social development -- see Data2</v>
      </c>
      <c r="B109" s="60">
        <f t="shared" si="82"/>
        <v>3.2470022213574095</v>
      </c>
      <c r="C109" s="60">
        <f t="shared" si="82"/>
        <v>0</v>
      </c>
      <c r="D109" s="24">
        <f t="shared" si="87"/>
        <v>3.2470022213574095</v>
      </c>
      <c r="H109" s="24">
        <f t="shared" si="88"/>
        <v>1</v>
      </c>
      <c r="I109" s="22">
        <f t="shared" si="89"/>
        <v>3.2470022213574095</v>
      </c>
      <c r="J109" s="24">
        <f t="shared" si="90"/>
        <v>3.2470022213574095</v>
      </c>
      <c r="K109" s="22">
        <f t="shared" si="91"/>
        <v>3.2470022213574095</v>
      </c>
      <c r="L109" s="22">
        <f t="shared" si="92"/>
        <v>3.2470022213574095</v>
      </c>
      <c r="M109" s="231">
        <f t="shared" si="93"/>
        <v>3.2470022213574095</v>
      </c>
      <c r="N109" s="233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6"/>
        <v>Public works -- see Data2</v>
      </c>
      <c r="B110" s="60">
        <f t="shared" si="82"/>
        <v>0</v>
      </c>
      <c r="C110" s="60">
        <f t="shared" si="82"/>
        <v>0</v>
      </c>
      <c r="D110" s="24">
        <f t="shared" si="87"/>
        <v>0</v>
      </c>
      <c r="H110" s="24">
        <f t="shared" si="88"/>
        <v>1</v>
      </c>
      <c r="I110" s="22">
        <f t="shared" si="89"/>
        <v>0</v>
      </c>
      <c r="J110" s="24">
        <f t="shared" si="90"/>
        <v>0</v>
      </c>
      <c r="K110" s="22">
        <f t="shared" si="91"/>
        <v>0</v>
      </c>
      <c r="L110" s="22">
        <f t="shared" si="92"/>
        <v>0</v>
      </c>
      <c r="M110" s="231">
        <f t="shared" si="93"/>
        <v>0</v>
      </c>
      <c r="N110" s="233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6"/>
        <v>Other income: e.g. Credit (cotton loans)</v>
      </c>
      <c r="B111" s="60">
        <f t="shared" si="82"/>
        <v>0</v>
      </c>
      <c r="C111" s="60">
        <f t="shared" si="82"/>
        <v>0</v>
      </c>
      <c r="D111" s="24">
        <f t="shared" si="87"/>
        <v>0</v>
      </c>
      <c r="H111" s="24">
        <f t="shared" si="88"/>
        <v>1</v>
      </c>
      <c r="I111" s="22">
        <f t="shared" si="89"/>
        <v>0</v>
      </c>
      <c r="J111" s="24">
        <f t="shared" si="90"/>
        <v>0</v>
      </c>
      <c r="K111" s="22">
        <f t="shared" si="91"/>
        <v>0</v>
      </c>
      <c r="L111" s="22">
        <f t="shared" si="92"/>
        <v>0</v>
      </c>
      <c r="M111" s="231">
        <f t="shared" si="93"/>
        <v>0</v>
      </c>
      <c r="N111" s="233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6"/>
        <v/>
      </c>
      <c r="B112" s="60">
        <f t="shared" si="82"/>
        <v>0</v>
      </c>
      <c r="C112" s="60">
        <f t="shared" si="82"/>
        <v>0</v>
      </c>
      <c r="D112" s="24">
        <f t="shared" si="87"/>
        <v>0</v>
      </c>
      <c r="H112" s="24">
        <f t="shared" si="88"/>
        <v>1</v>
      </c>
      <c r="I112" s="22">
        <f t="shared" si="89"/>
        <v>0</v>
      </c>
      <c r="J112" s="24">
        <f t="shared" si="90"/>
        <v>0</v>
      </c>
      <c r="K112" s="22">
        <f t="shared" si="91"/>
        <v>0</v>
      </c>
      <c r="L112" s="22">
        <f t="shared" si="92"/>
        <v>0</v>
      </c>
      <c r="M112" s="231">
        <f t="shared" si="9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6"/>
        <v/>
      </c>
      <c r="B113" s="60">
        <f t="shared" si="82"/>
        <v>0</v>
      </c>
      <c r="C113" s="60">
        <f t="shared" si="82"/>
        <v>0</v>
      </c>
      <c r="D113" s="24">
        <f t="shared" si="87"/>
        <v>0</v>
      </c>
      <c r="H113" s="24">
        <f t="shared" si="88"/>
        <v>1</v>
      </c>
      <c r="I113" s="22">
        <f t="shared" si="89"/>
        <v>0</v>
      </c>
      <c r="J113" s="24">
        <f t="shared" si="90"/>
        <v>0</v>
      </c>
      <c r="K113" s="22">
        <f t="shared" si="91"/>
        <v>0</v>
      </c>
      <c r="L113" s="22">
        <f t="shared" si="92"/>
        <v>0</v>
      </c>
      <c r="M113" s="231">
        <f t="shared" si="9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6"/>
        <v/>
      </c>
      <c r="B114" s="60">
        <f t="shared" si="82"/>
        <v>0</v>
      </c>
      <c r="C114" s="60">
        <f t="shared" si="82"/>
        <v>0</v>
      </c>
      <c r="D114" s="24">
        <f t="shared" si="87"/>
        <v>0</v>
      </c>
      <c r="H114" s="24">
        <f t="shared" si="88"/>
        <v>1</v>
      </c>
      <c r="I114" s="22">
        <f t="shared" si="89"/>
        <v>0</v>
      </c>
      <c r="J114" s="24">
        <f t="shared" si="90"/>
        <v>0</v>
      </c>
      <c r="K114" s="22">
        <f t="shared" si="91"/>
        <v>0</v>
      </c>
      <c r="L114" s="22">
        <f t="shared" si="92"/>
        <v>0</v>
      </c>
      <c r="M114" s="231">
        <f t="shared" si="9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6"/>
        <v/>
      </c>
      <c r="B115" s="60">
        <f t="shared" si="82"/>
        <v>0</v>
      </c>
      <c r="C115" s="60">
        <f t="shared" si="82"/>
        <v>0</v>
      </c>
      <c r="D115" s="24">
        <f t="shared" si="87"/>
        <v>0</v>
      </c>
      <c r="H115" s="24">
        <f t="shared" si="88"/>
        <v>1</v>
      </c>
      <c r="I115" s="22">
        <f t="shared" si="89"/>
        <v>0</v>
      </c>
      <c r="J115" s="24">
        <f t="shared" si="90"/>
        <v>0</v>
      </c>
      <c r="K115" s="22">
        <f t="shared" si="91"/>
        <v>0</v>
      </c>
      <c r="L115" s="22">
        <f t="shared" si="92"/>
        <v>0</v>
      </c>
      <c r="M115" s="231">
        <f t="shared" si="9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6"/>
        <v/>
      </c>
      <c r="B116" s="60">
        <f t="shared" si="82"/>
        <v>0</v>
      </c>
      <c r="C116" s="60">
        <f t="shared" si="82"/>
        <v>0</v>
      </c>
      <c r="D116" s="24">
        <f t="shared" si="87"/>
        <v>0</v>
      </c>
      <c r="H116" s="24">
        <f t="shared" si="88"/>
        <v>1</v>
      </c>
      <c r="I116" s="22">
        <f t="shared" si="89"/>
        <v>0</v>
      </c>
      <c r="J116" s="24">
        <f t="shared" si="90"/>
        <v>0</v>
      </c>
      <c r="K116" s="22">
        <f t="shared" si="91"/>
        <v>0</v>
      </c>
      <c r="L116" s="22">
        <f t="shared" si="92"/>
        <v>0</v>
      </c>
      <c r="M116" s="231">
        <f t="shared" si="9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6"/>
        <v/>
      </c>
      <c r="B117" s="60">
        <f t="shared" si="82"/>
        <v>0</v>
      </c>
      <c r="C117" s="60">
        <f t="shared" si="82"/>
        <v>0</v>
      </c>
      <c r="D117" s="24">
        <f t="shared" si="87"/>
        <v>0</v>
      </c>
      <c r="H117" s="24">
        <f t="shared" si="88"/>
        <v>1</v>
      </c>
      <c r="I117" s="22">
        <f t="shared" si="89"/>
        <v>0</v>
      </c>
      <c r="J117" s="24">
        <f t="shared" si="90"/>
        <v>0</v>
      </c>
      <c r="K117" s="22">
        <f t="shared" si="91"/>
        <v>0</v>
      </c>
      <c r="L117" s="22">
        <f t="shared" si="92"/>
        <v>0</v>
      </c>
      <c r="M117" s="231">
        <f t="shared" si="9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6"/>
        <v/>
      </c>
      <c r="B118" s="60">
        <f t="shared" si="82"/>
        <v>0</v>
      </c>
      <c r="C118" s="60">
        <f t="shared" si="82"/>
        <v>0</v>
      </c>
      <c r="D118" s="24">
        <f t="shared" si="87"/>
        <v>0</v>
      </c>
      <c r="H118" s="24">
        <f t="shared" si="88"/>
        <v>1</v>
      </c>
      <c r="I118" s="22">
        <f t="shared" si="89"/>
        <v>0</v>
      </c>
      <c r="J118" s="24">
        <f t="shared" si="90"/>
        <v>0</v>
      </c>
      <c r="K118" s="22">
        <f t="shared" si="91"/>
        <v>0</v>
      </c>
      <c r="L118" s="22">
        <f t="shared" si="92"/>
        <v>0</v>
      </c>
      <c r="M118" s="231">
        <f t="shared" si="9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3.6075344843555417</v>
      </c>
      <c r="C119" s="29">
        <f>SUM(C91:C118)</f>
        <v>-0.10115547338107098</v>
      </c>
      <c r="D119" s="24">
        <f>SUM(D91:D118)</f>
        <v>3.5063790109744706</v>
      </c>
      <c r="E119" s="22"/>
      <c r="F119" s="2"/>
      <c r="G119" s="2"/>
      <c r="H119" s="31"/>
      <c r="I119" s="22">
        <f>SUM(I91:I118)</f>
        <v>3.5063790109744706</v>
      </c>
      <c r="J119" s="24">
        <f>SUM(J91:J118)</f>
        <v>3.5063790109744706</v>
      </c>
      <c r="K119" s="22">
        <f>SUM(K91:K118)</f>
        <v>3.6075344843555417</v>
      </c>
      <c r="L119" s="22">
        <f>SUM(L91:L118)</f>
        <v>3.6075344843555417</v>
      </c>
      <c r="M119" s="57">
        <f t="shared" si="81"/>
        <v>3.5063790109744706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4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4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2.0023370510220024</v>
      </c>
      <c r="C124" s="56"/>
      <c r="D124" s="24"/>
      <c r="H124" s="96">
        <f>(E70*F70/G$37*F$7/F$9)</f>
        <v>1</v>
      </c>
      <c r="I124" s="29">
        <f>IF(SUMPRODUCT($B$124:$B124,$H$124:$H124)&lt;I$119,($B124*$H124),I$119)</f>
        <v>2.0023370510220024</v>
      </c>
      <c r="J124" s="241">
        <f>IF(SUMPRODUCT($B$124:$B124,$H$124:$H124)&lt;J$119,($B124*$H124),J$119)</f>
        <v>2.0023370510220024</v>
      </c>
      <c r="K124" s="29">
        <f>(B124)</f>
        <v>2.0023370510220024</v>
      </c>
      <c r="L124" s="29">
        <f>IF(SUMPRODUCT($B$124:$B124,$H$124:$H124)&lt;L$119,($B124*$H124),L$119)</f>
        <v>2.0023370510220024</v>
      </c>
      <c r="M124" s="244">
        <f t="shared" si="94"/>
        <v>2.0023370510220024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2.0612516674968866</v>
      </c>
      <c r="C125" s="56"/>
      <c r="D125" s="24"/>
      <c r="H125" s="96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1.5040419599524681</v>
      </c>
      <c r="J125" s="241">
        <f>IF(SUMPRODUCT($B$124:$B125,$H$124:$H125)&lt;J$119,($B125*$H125),IF(SUMPRODUCT($B$124:$B124,$H$124:$H124)&lt;J$119,J$119-SUMPRODUCT($B$124:$B124,$H$124:$H124),0))</f>
        <v>1.5040419599524681</v>
      </c>
      <c r="K125" s="29">
        <f>(B125)</f>
        <v>2.0612516674968866</v>
      </c>
      <c r="L125" s="29">
        <f>IF(SUMPRODUCT($B$124:$B125,$H$124:$H125)&lt;L$119,($B125*$H125),IF(SUMPRODUCT($B$124:$B124,$H$124:$H124)&lt;L$119,L$119-SUMPRODUCT($B$124:$B124,$H$124:$H124),0))</f>
        <v>1.6051974333335393</v>
      </c>
      <c r="M125" s="244">
        <f t="shared" si="94"/>
        <v>1.5040419599524681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4.0910458505603984</v>
      </c>
      <c r="C126" s="56"/>
      <c r="D126" s="24"/>
      <c r="H126" s="96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5">(B126)</f>
        <v>4.0910458505603984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44">
        <f t="shared" si="94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0.55148902397260269</v>
      </c>
      <c r="C127" s="56"/>
      <c r="D127" s="24"/>
      <c r="H127" s="96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5"/>
        <v>0.55148902397260269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44">
        <f t="shared" si="94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0.41895699097135741</v>
      </c>
      <c r="C128" s="56"/>
      <c r="D128" s="31"/>
      <c r="E128" s="2"/>
      <c r="F128" s="2"/>
      <c r="G128" s="2"/>
      <c r="H128" s="24"/>
      <c r="I128" s="29">
        <f>(I30)</f>
        <v>1.5040419599524681</v>
      </c>
      <c r="J128" s="232">
        <f>(J30)</f>
        <v>0.27337041977949239</v>
      </c>
      <c r="K128" s="29">
        <f>(B128)</f>
        <v>0.41895699097135741</v>
      </c>
      <c r="L128" s="29">
        <f>IF(L124=L119,0,(L119-L124)/(B119-B124)*K128)</f>
        <v>0.41895699097135741</v>
      </c>
      <c r="M128" s="244">
        <f t="shared" si="94"/>
        <v>0.27337041977949239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44">
        <f t="shared" si="94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3.6075344843555417</v>
      </c>
      <c r="C130" s="56"/>
      <c r="D130" s="31"/>
      <c r="E130" s="2"/>
      <c r="F130" s="2"/>
      <c r="G130" s="2"/>
      <c r="H130" s="24"/>
      <c r="I130" s="29">
        <f>(I119)</f>
        <v>3.5063790109744706</v>
      </c>
      <c r="J130" s="232">
        <f>(J119)</f>
        <v>3.5063790109744706</v>
      </c>
      <c r="K130" s="29">
        <f>(B130)</f>
        <v>3.6075344843555417</v>
      </c>
      <c r="L130" s="29">
        <f>(L119)</f>
        <v>3.6075344843555417</v>
      </c>
      <c r="M130" s="244">
        <f t="shared" si="94"/>
        <v>3.5063790109744706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2.0612516674968862</v>
      </c>
      <c r="J131" s="241">
        <f>IF(SUMPRODUCT($B124:$B125,$H124:$H125)&gt;(J119-J128),SUMPRODUCT($B124:$B125,$H124:$H125)+J128-J119,0)</f>
        <v>0.8305801273239104</v>
      </c>
      <c r="K131" s="29"/>
      <c r="L131" s="29">
        <f>IF(I131&lt;SUM(L126:L127),0,I131-(SUM(L126:L127)))</f>
        <v>2.0612516674968862</v>
      </c>
      <c r="M131" s="241">
        <f>IF(I131&lt;SUM(M126:M127),0,I131-(SUM(M126:M127)))</f>
        <v>2.0612516674968862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6:N29 U7:U22">
    <cfRule type="cellIs" dxfId="239" priority="65" operator="equal">
      <formula>16</formula>
    </cfRule>
    <cfRule type="cellIs" dxfId="238" priority="66" operator="equal">
      <formula>15</formula>
    </cfRule>
    <cfRule type="cellIs" dxfId="237" priority="67" operator="equal">
      <formula>14</formula>
    </cfRule>
    <cfRule type="cellIs" dxfId="236" priority="68" operator="equal">
      <formula>13</formula>
    </cfRule>
    <cfRule type="cellIs" dxfId="235" priority="69" operator="equal">
      <formula>12</formula>
    </cfRule>
    <cfRule type="cellIs" dxfId="234" priority="70" operator="equal">
      <formula>11</formula>
    </cfRule>
    <cfRule type="cellIs" dxfId="233" priority="71" operator="equal">
      <formula>10</formula>
    </cfRule>
    <cfRule type="cellIs" dxfId="232" priority="72" operator="equal">
      <formula>9</formula>
    </cfRule>
    <cfRule type="cellIs" dxfId="231" priority="73" operator="equal">
      <formula>8</formula>
    </cfRule>
    <cfRule type="cellIs" dxfId="230" priority="74" operator="equal">
      <formula>7</formula>
    </cfRule>
    <cfRule type="cellIs" dxfId="229" priority="75" operator="equal">
      <formula>6</formula>
    </cfRule>
    <cfRule type="cellIs" dxfId="228" priority="76" operator="equal">
      <formula>5</formula>
    </cfRule>
    <cfRule type="cellIs" dxfId="227" priority="77" operator="equal">
      <formula>4</formula>
    </cfRule>
    <cfRule type="cellIs" dxfId="226" priority="78" operator="equal">
      <formula>3</formula>
    </cfRule>
    <cfRule type="cellIs" dxfId="225" priority="79" operator="equal">
      <formula>2</formula>
    </cfRule>
    <cfRule type="cellIs" dxfId="224" priority="80" operator="equal">
      <formula>1</formula>
    </cfRule>
  </conditionalFormatting>
  <conditionalFormatting sqref="N91:N104">
    <cfRule type="cellIs" dxfId="223" priority="17" operator="equal">
      <formula>16</formula>
    </cfRule>
    <cfRule type="cellIs" dxfId="222" priority="18" operator="equal">
      <formula>15</formula>
    </cfRule>
    <cfRule type="cellIs" dxfId="221" priority="19" operator="equal">
      <formula>14</formula>
    </cfRule>
    <cfRule type="cellIs" dxfId="220" priority="20" operator="equal">
      <formula>13</formula>
    </cfRule>
    <cfRule type="cellIs" dxfId="219" priority="21" operator="equal">
      <formula>12</formula>
    </cfRule>
    <cfRule type="cellIs" dxfId="218" priority="22" operator="equal">
      <formula>11</formula>
    </cfRule>
    <cfRule type="cellIs" dxfId="217" priority="23" operator="equal">
      <formula>10</formula>
    </cfRule>
    <cfRule type="cellIs" dxfId="216" priority="24" operator="equal">
      <formula>9</formula>
    </cfRule>
    <cfRule type="cellIs" dxfId="215" priority="25" operator="equal">
      <formula>8</formula>
    </cfRule>
    <cfRule type="cellIs" dxfId="214" priority="26" operator="equal">
      <formula>7</formula>
    </cfRule>
    <cfRule type="cellIs" dxfId="213" priority="27" operator="equal">
      <formula>6</formula>
    </cfRule>
    <cfRule type="cellIs" dxfId="212" priority="28" operator="equal">
      <formula>5</formula>
    </cfRule>
    <cfRule type="cellIs" dxfId="211" priority="29" operator="equal">
      <formula>4</formula>
    </cfRule>
    <cfRule type="cellIs" dxfId="210" priority="30" operator="equal">
      <formula>3</formula>
    </cfRule>
    <cfRule type="cellIs" dxfId="209" priority="31" operator="equal">
      <formula>2</formula>
    </cfRule>
    <cfRule type="cellIs" dxfId="208" priority="32" operator="equal">
      <formula>1</formula>
    </cfRule>
  </conditionalFormatting>
  <conditionalFormatting sqref="N105:N118">
    <cfRule type="cellIs" dxfId="207" priority="1" operator="equal">
      <formula>16</formula>
    </cfRule>
    <cfRule type="cellIs" dxfId="206" priority="2" operator="equal">
      <formula>15</formula>
    </cfRule>
    <cfRule type="cellIs" dxfId="205" priority="3" operator="equal">
      <formula>14</formula>
    </cfRule>
    <cfRule type="cellIs" dxfId="204" priority="4" operator="equal">
      <formula>13</formula>
    </cfRule>
    <cfRule type="cellIs" dxfId="203" priority="5" operator="equal">
      <formula>12</formula>
    </cfRule>
    <cfRule type="cellIs" dxfId="202" priority="6" operator="equal">
      <formula>11</formula>
    </cfRule>
    <cfRule type="cellIs" dxfId="201" priority="7" operator="equal">
      <formula>10</formula>
    </cfRule>
    <cfRule type="cellIs" dxfId="200" priority="8" operator="equal">
      <formula>9</formula>
    </cfRule>
    <cfRule type="cellIs" dxfId="199" priority="9" operator="equal">
      <formula>8</formula>
    </cfRule>
    <cfRule type="cellIs" dxfId="198" priority="10" operator="equal">
      <formula>7</formula>
    </cfRule>
    <cfRule type="cellIs" dxfId="197" priority="11" operator="equal">
      <formula>6</formula>
    </cfRule>
    <cfRule type="cellIs" dxfId="196" priority="12" operator="equal">
      <formula>5</formula>
    </cfRule>
    <cfRule type="cellIs" dxfId="195" priority="13" operator="equal">
      <formula>4</formula>
    </cfRule>
    <cfRule type="cellIs" dxfId="194" priority="14" operator="equal">
      <formula>3</formula>
    </cfRule>
    <cfRule type="cellIs" dxfId="193" priority="15" operator="equal">
      <formula>2</formula>
    </cfRule>
    <cfRule type="cellIs" dxfId="192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L131" sqref="L131:M13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1.3037048567870486E-2</v>
      </c>
      <c r="C6" s="102">
        <f>IF([1]Summ!$I1044="",0,[1]Summ!$I1044)</f>
        <v>0</v>
      </c>
      <c r="D6" s="24">
        <f t="shared" ref="D6:D29" si="0">(B6+C6)</f>
        <v>1.3037048567870486E-2</v>
      </c>
      <c r="E6" s="75">
        <f>Poor!E6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1.3037048567870486E-2</v>
      </c>
      <c r="J6" s="24">
        <f t="shared" ref="J6:J13" si="3">IF(I$32&lt;=1+I$131,I6,B6*H6+J$33*(I6-B6*H6))</f>
        <v>1.3037048567870486E-2</v>
      </c>
      <c r="K6" s="22">
        <f t="shared" ref="K6:K31" si="4">B6</f>
        <v>1.3037048567870486E-2</v>
      </c>
      <c r="L6" s="22">
        <f t="shared" ref="L6:L29" si="5">IF(K6="","",K6*H6)</f>
        <v>1.3037048567870486E-2</v>
      </c>
      <c r="M6" s="228">
        <f t="shared" ref="M6:M31" si="6">J6</f>
        <v>1.3037048567870486E-2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5.2148194271481943E-2</v>
      </c>
      <c r="Z6" s="156">
        <f>Poor!Z6</f>
        <v>0.17</v>
      </c>
      <c r="AA6" s="121">
        <f>$M6*Z6*4</f>
        <v>8.8651930261519317E-3</v>
      </c>
      <c r="AB6" s="156">
        <f>Poor!AB6</f>
        <v>0.17</v>
      </c>
      <c r="AC6" s="121">
        <f t="shared" ref="AC6:AC29" si="7">$M6*AB6*4</f>
        <v>8.8651930261519317E-3</v>
      </c>
      <c r="AD6" s="156">
        <f>Poor!AD6</f>
        <v>0.33</v>
      </c>
      <c r="AE6" s="121">
        <f t="shared" ref="AE6:AE29" si="8">$M6*AD6*4</f>
        <v>1.7208904109589043E-2</v>
      </c>
      <c r="AF6" s="122">
        <f>1-SUM(Z6,AB6,AD6)</f>
        <v>0.32999999999999996</v>
      </c>
      <c r="AG6" s="121">
        <f>$M6*AF6*4</f>
        <v>1.720890410958904E-2</v>
      </c>
      <c r="AH6" s="123">
        <f>SUM(Z6,AB6,AD6,AF6)</f>
        <v>1</v>
      </c>
      <c r="AI6" s="184">
        <f>SUM(AA6,AC6,AE6,AG6)/4</f>
        <v>1.3037048567870486E-2</v>
      </c>
      <c r="AJ6" s="120">
        <f>(AA6+AC6)/2</f>
        <v>8.8651930261519317E-3</v>
      </c>
      <c r="AK6" s="119">
        <f>(AE6+AG6)/2</f>
        <v>1.7208904109589043E-2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Cows' milk - season 2</v>
      </c>
      <c r="B7" s="101">
        <f>IF([1]Summ!$H1045="",0,[1]Summ!$H1045)</f>
        <v>0</v>
      </c>
      <c r="C7" s="102">
        <f>IF([1]Summ!$I1045="",0,[1]Summ!$I1045)</f>
        <v>0</v>
      </c>
      <c r="D7" s="24">
        <f t="shared" si="0"/>
        <v>0</v>
      </c>
      <c r="E7" s="75">
        <f>Poor!E7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228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3300.5357221090021</v>
      </c>
      <c r="S7" s="226">
        <f>IF($B$81=0,0,(SUMIF($N$6:$N$28,$U7,L$6:L$28)+SUMIF($N$91:$N$118,$U7,L$91:L$118))*$B$83*$H$84*Poor!$B$81/$B$81)</f>
        <v>3300.5357221090021</v>
      </c>
      <c r="T7" s="226">
        <f>IF($B$81=0,0,(SUMIF($N$6:$N$28,$U7,M$6:M$28)+SUMIF($N$91:$N$118,$U7,M$91:M$118))*$B$83*$H$84*Poor!$B$81/$B$81)</f>
        <v>3452.0300303327786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Own meat</v>
      </c>
      <c r="B8" s="101">
        <f>IF([1]Summ!$H1046="",0,[1]Summ!$H1046)</f>
        <v>4.6436721668742222E-2</v>
      </c>
      <c r="C8" s="102">
        <f>IF([1]Summ!$I1046="",0,[1]Summ!$I1046)</f>
        <v>0</v>
      </c>
      <c r="D8" s="24">
        <f t="shared" si="0"/>
        <v>4.6436721668742222E-2</v>
      </c>
      <c r="E8" s="75">
        <f>Poor!E8</f>
        <v>1</v>
      </c>
      <c r="F8" s="22" t="s">
        <v>23</v>
      </c>
      <c r="H8" s="24">
        <f t="shared" si="1"/>
        <v>1</v>
      </c>
      <c r="I8" s="22">
        <f t="shared" si="2"/>
        <v>4.6436721668742222E-2</v>
      </c>
      <c r="J8" s="24">
        <f t="shared" si="3"/>
        <v>4.6436721668742222E-2</v>
      </c>
      <c r="K8" s="22">
        <f t="shared" si="4"/>
        <v>4.6436721668742222E-2</v>
      </c>
      <c r="L8" s="22">
        <f t="shared" si="5"/>
        <v>4.6436721668742222E-2</v>
      </c>
      <c r="M8" s="228">
        <f t="shared" si="6"/>
        <v>4.6436721668742222E-2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3621</v>
      </c>
      <c r="S8" s="226">
        <f>IF($B$81=0,0,(SUMIF($N$6:$N$28,$U8,L$6:L$28)+SUMIF($N$91:$N$118,$U8,L$91:L$118))*$B$83*$H$84*Poor!$B$81/$B$81)</f>
        <v>3621</v>
      </c>
      <c r="T8" s="226">
        <f>IF($B$81=0,0,(SUMIF($N$6:$N$28,$U8,M$6:M$28)+SUMIF($N$91:$N$118,$U8,M$91:M$118))*$B$83*$H$84*Poor!$B$81/$B$81)</f>
        <v>3609.6409060364408</v>
      </c>
      <c r="U8" s="227">
        <v>2</v>
      </c>
      <c r="V8" s="56"/>
      <c r="W8" s="115"/>
      <c r="X8" s="118">
        <f>Poor!X8</f>
        <v>1</v>
      </c>
      <c r="Y8" s="184">
        <f t="shared" si="9"/>
        <v>0.18574688667496889</v>
      </c>
      <c r="Z8" s="125">
        <f>IF($Y8=0,0,AA8/$Y8)</f>
        <v>0.40791243672321625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7.5768465157337664E-2</v>
      </c>
      <c r="AB8" s="125">
        <f>IF($Y8=0,0,AC8/$Y8)</f>
        <v>0.44896949435399086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8.3394685788288819E-2</v>
      </c>
      <c r="AD8" s="125">
        <f>IF($Y8=0,0,AE8/$Y8)</f>
        <v>2.6253441966829678E-2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4.8764951098405843E-3</v>
      </c>
      <c r="AF8" s="122">
        <f t="shared" si="10"/>
        <v>0.11686462695596322</v>
      </c>
      <c r="AG8" s="121">
        <f t="shared" si="11"/>
        <v>2.1707240619501814E-2</v>
      </c>
      <c r="AH8" s="123">
        <f t="shared" si="12"/>
        <v>1</v>
      </c>
      <c r="AI8" s="184">
        <f t="shared" si="13"/>
        <v>4.6436721668742229E-2</v>
      </c>
      <c r="AJ8" s="120">
        <f t="shared" si="14"/>
        <v>7.9581575472813249E-2</v>
      </c>
      <c r="AK8" s="119">
        <f t="shared" si="15"/>
        <v>1.3291867864671198E-2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Green cons - Season 1: no of months</v>
      </c>
      <c r="B9" s="101">
        <f>IF([1]Summ!$H1047="",0,[1]Summ!$H1047)</f>
        <v>4.2500000000000003E-2</v>
      </c>
      <c r="C9" s="102">
        <f>IF([1]Summ!$I1047="",0,[1]Summ!$I1047)</f>
        <v>0</v>
      </c>
      <c r="D9" s="24">
        <f t="shared" si="0"/>
        <v>4.2500000000000003E-2</v>
      </c>
      <c r="E9" s="75">
        <f>Poor!E9</f>
        <v>1</v>
      </c>
      <c r="F9" s="76">
        <f>Poor!F9</f>
        <v>8800</v>
      </c>
      <c r="H9" s="24">
        <f t="shared" si="1"/>
        <v>1</v>
      </c>
      <c r="I9" s="22">
        <f t="shared" si="2"/>
        <v>4.2500000000000003E-2</v>
      </c>
      <c r="J9" s="24">
        <f t="shared" si="3"/>
        <v>4.2500000000000003E-2</v>
      </c>
      <c r="K9" s="22">
        <f t="shared" si="4"/>
        <v>4.2500000000000003E-2</v>
      </c>
      <c r="L9" s="22">
        <f t="shared" si="5"/>
        <v>4.2500000000000003E-2</v>
      </c>
      <c r="M9" s="228">
        <f t="shared" si="6"/>
        <v>4.2500000000000003E-2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403.32969654166982</v>
      </c>
      <c r="S9" s="226">
        <f>IF($B$81=0,0,(SUMIF($N$6:$N$28,$U9,L$6:L$28)+SUMIF($N$91:$N$118,$U9,L$91:L$118))*$B$83*$H$84*Poor!$B$81/$B$81)</f>
        <v>403.32969654166982</v>
      </c>
      <c r="T9" s="226">
        <f>IF($B$81=0,0,(SUMIF($N$6:$N$28,$U9,M$6:M$28)+SUMIF($N$91:$N$118,$U9,M$91:M$118))*$B$83*$H$84*Poor!$B$81/$B$81)</f>
        <v>403.32969654166982</v>
      </c>
      <c r="U9" s="227">
        <v>3</v>
      </c>
      <c r="V9" s="56"/>
      <c r="W9" s="115"/>
      <c r="X9" s="118">
        <f>Poor!X9</f>
        <v>1</v>
      </c>
      <c r="Y9" s="184">
        <f t="shared" si="9"/>
        <v>0.17</v>
      </c>
      <c r="Z9" s="125">
        <f>IF($Y9=0,0,AA9/$Y9)</f>
        <v>0.4079124367232162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6.9345114242946759E-2</v>
      </c>
      <c r="AB9" s="125">
        <f>IF($Y9=0,0,AC9/$Y9)</f>
        <v>0.44896949435399086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7.6324814040178449E-2</v>
      </c>
      <c r="AD9" s="125">
        <f>IF($Y9=0,0,AE9/$Y9)</f>
        <v>2.6253441966829674E-2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4.4630851343610452E-3</v>
      </c>
      <c r="AF9" s="122">
        <f t="shared" si="10"/>
        <v>0.11686462695596322</v>
      </c>
      <c r="AG9" s="121">
        <f t="shared" si="11"/>
        <v>1.9866986582513749E-2</v>
      </c>
      <c r="AH9" s="123">
        <f t="shared" si="12"/>
        <v>1</v>
      </c>
      <c r="AI9" s="184">
        <f t="shared" si="13"/>
        <v>4.2499999999999996E-2</v>
      </c>
      <c r="AJ9" s="120">
        <f t="shared" si="14"/>
        <v>7.2834964141562597E-2</v>
      </c>
      <c r="AK9" s="119">
        <f t="shared" si="15"/>
        <v>1.2165035858437397E-2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Maize: kg produced</v>
      </c>
      <c r="B10" s="101">
        <f>IF([1]Summ!$H1048="",0,[1]Summ!$H1048)</f>
        <v>0.13307786815068492</v>
      </c>
      <c r="C10" s="102">
        <f>IF([1]Summ!$I1048="",0,[1]Summ!$I1048)</f>
        <v>7.3932148972602724E-2</v>
      </c>
      <c r="D10" s="24">
        <f t="shared" si="0"/>
        <v>0.20701001712328765</v>
      </c>
      <c r="E10" s="75">
        <f>Poor!E10</f>
        <v>1</v>
      </c>
      <c r="H10" s="24">
        <f t="shared" si="1"/>
        <v>1</v>
      </c>
      <c r="I10" s="22">
        <f t="shared" si="2"/>
        <v>0.20701001712328765</v>
      </c>
      <c r="J10" s="24">
        <f t="shared" si="3"/>
        <v>0.14743346177645644</v>
      </c>
      <c r="K10" s="22">
        <f t="shared" si="4"/>
        <v>0.13307786815068492</v>
      </c>
      <c r="L10" s="22">
        <f t="shared" si="5"/>
        <v>0.13307786815068492</v>
      </c>
      <c r="M10" s="228">
        <f t="shared" si="6"/>
        <v>0.14743346177645644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0.58973384710582577</v>
      </c>
      <c r="Z10" s="125">
        <f>IF($Y10=0,0,AA10/$Y10)</f>
        <v>0.40791243672321625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0.24055977059109404</v>
      </c>
      <c r="AB10" s="125">
        <f>IF($Y10=0,0,AC10/$Y10)</f>
        <v>0.44896949435399086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0.26477250713853634</v>
      </c>
      <c r="AD10" s="125">
        <f>IF($Y10=0,0,AE10/$Y10)</f>
        <v>2.6253441966829678E-2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1.5482543330868003E-2</v>
      </c>
      <c r="AF10" s="122">
        <f t="shared" si="10"/>
        <v>0.11686462695596322</v>
      </c>
      <c r="AG10" s="121">
        <f t="shared" si="11"/>
        <v>6.8919026045327375E-2</v>
      </c>
      <c r="AH10" s="123">
        <f t="shared" si="12"/>
        <v>1</v>
      </c>
      <c r="AI10" s="184">
        <f t="shared" si="13"/>
        <v>0.14743346177645644</v>
      </c>
      <c r="AJ10" s="120">
        <f t="shared" si="14"/>
        <v>0.2526661388648152</v>
      </c>
      <c r="AK10" s="119">
        <f t="shared" si="15"/>
        <v>4.2200784688097688E-2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>Sorghum: kg produced</v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8">
        <f t="shared" si="6"/>
        <v>0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3500</v>
      </c>
      <c r="S11" s="226">
        <f>IF($B$81=0,0,(SUMIF($N$6:$N$28,$U11,L$6:L$28)+SUMIF($N$91:$N$118,$U11,L$91:L$118))*$B$83*$H$84*Poor!$B$81/$B$81)</f>
        <v>3500</v>
      </c>
      <c r="T11" s="226">
        <f>IF($B$81=0,0,(SUMIF($N$6:$N$28,$U11,M$6:M$28)+SUMIF($N$91:$N$118,$U11,M$91:M$118))*$B$83*$H$84*Poor!$B$81/$B$81)</f>
        <v>3694.1725463856233</v>
      </c>
      <c r="U11" s="227">
        <v>5</v>
      </c>
      <c r="V11" s="56"/>
      <c r="W11" s="115"/>
      <c r="X11" s="118">
        <f>Poor!X11</f>
        <v>1</v>
      </c>
      <c r="Y11" s="184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4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>Beans: kg produced</v>
      </c>
      <c r="B12" s="101">
        <f>IF([1]Summ!$H1050="",0,[1]Summ!$H1050)</f>
        <v>0.10770875389165629</v>
      </c>
      <c r="C12" s="102">
        <f>IF([1]Summ!$I1050="",0,[1]Summ!$I1050)</f>
        <v>-4.0045562344333749E-2</v>
      </c>
      <c r="D12" s="24">
        <f t="shared" si="0"/>
        <v>6.7663191547322546E-2</v>
      </c>
      <c r="E12" s="75">
        <f>Poor!E12</f>
        <v>1</v>
      </c>
      <c r="H12" s="24">
        <f t="shared" si="1"/>
        <v>1</v>
      </c>
      <c r="I12" s="22">
        <f t="shared" si="2"/>
        <v>6.7663191547322546E-2</v>
      </c>
      <c r="J12" s="24">
        <f t="shared" si="3"/>
        <v>9.9933005079812773E-2</v>
      </c>
      <c r="K12" s="22">
        <f t="shared" si="4"/>
        <v>0.10770875389165629</v>
      </c>
      <c r="L12" s="22">
        <f t="shared" si="5"/>
        <v>0.10770875389165629</v>
      </c>
      <c r="M12" s="228">
        <f t="shared" si="6"/>
        <v>9.9933005079812773E-2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0</v>
      </c>
      <c r="S12" s="226">
        <f>IF($B$81=0,0,(SUMIF($N$6:$N$28,$U12,L$6:L$28)+SUMIF($N$91:$N$118,$U12,L$91:L$118))*$B$83*$H$84*Poor!$B$81/$B$81)</f>
        <v>0</v>
      </c>
      <c r="T12" s="226">
        <f>IF($B$81=0,0,(SUMIF($N$6:$N$28,$U12,M$6:M$28)+SUMIF($N$91:$N$118,$U12,M$91:M$118))*$B$83*$H$84*Poor!$B$81/$B$81)</f>
        <v>0</v>
      </c>
      <c r="U12" s="227">
        <v>6</v>
      </c>
      <c r="V12" s="56"/>
      <c r="W12" s="117"/>
      <c r="X12" s="118"/>
      <c r="Y12" s="184">
        <f t="shared" si="9"/>
        <v>0.39973202031925109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0.26782045361389822</v>
      </c>
      <c r="AF12" s="122">
        <f>1-SUM(Z12,AB12,AD12)</f>
        <v>0.32999999999999996</v>
      </c>
      <c r="AG12" s="121">
        <f>$M12*AF12*4</f>
        <v>0.13191156670535284</v>
      </c>
      <c r="AH12" s="123">
        <f t="shared" si="12"/>
        <v>1</v>
      </c>
      <c r="AI12" s="184">
        <f t="shared" si="13"/>
        <v>9.9933005079812759E-2</v>
      </c>
      <c r="AJ12" s="120">
        <f t="shared" si="14"/>
        <v>0</v>
      </c>
      <c r="AK12" s="119">
        <f t="shared" si="15"/>
        <v>0.19986601015962552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>Cassava: no. local meas.</v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752</v>
      </c>
      <c r="S13" s="226">
        <f>IF($B$81=0,0,(SUMIF($N$6:$N$28,$U13,L$6:L$28)+SUMIF($N$91:$N$118,$U13,L$91:L$118))*$B$83*$H$84*Poor!$B$81/$B$81)</f>
        <v>752</v>
      </c>
      <c r="T13" s="226">
        <f>IF($B$81=0,0,(SUMIF($N$6:$N$28,$U13,M$6:M$28)+SUMIF($N$91:$N$118,$U13,M$91:M$118))*$B$83*$H$84*Poor!$B$81/$B$81)</f>
        <v>752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>Water melon: no. local meas (Bhece)</v>
      </c>
      <c r="B14" s="101">
        <f>IF([1]Summ!$H1052="",0,[1]Summ!$H1052)</f>
        <v>2.2485149439601493E-3</v>
      </c>
      <c r="C14" s="102">
        <f>IF([1]Summ!$I1052="",0,[1]Summ!$I1052)</f>
        <v>1.1242574719800748E-3</v>
      </c>
      <c r="D14" s="24">
        <f t="shared" si="0"/>
        <v>3.3727724159402241E-3</v>
      </c>
      <c r="E14" s="75">
        <f>Poor!E14</f>
        <v>1</v>
      </c>
      <c r="F14" s="22"/>
      <c r="H14" s="24">
        <f t="shared" si="1"/>
        <v>1</v>
      </c>
      <c r="I14" s="22">
        <f t="shared" si="2"/>
        <v>3.3727724159402241E-3</v>
      </c>
      <c r="J14" s="24">
        <f>IF(I$32&lt;=1+I131,I14,B14*H14+J$33*(I14-B14*H14))</f>
        <v>2.4668148800875843E-3</v>
      </c>
      <c r="K14" s="22">
        <f t="shared" si="4"/>
        <v>2.2485149439601493E-3</v>
      </c>
      <c r="L14" s="22">
        <f t="shared" si="5"/>
        <v>2.2485149439601493E-3</v>
      </c>
      <c r="M14" s="229">
        <f t="shared" si="6"/>
        <v>2.4668148800875843E-3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0</v>
      </c>
      <c r="S14" s="226">
        <f>IF($B$81=0,0,(SUMIF($N$6:$N$28,$U14,L$6:L$28)+SUMIF($N$91:$N$118,$U14,L$91:L$118))*$B$83*$H$84*Poor!$B$81/$B$81)</f>
        <v>0</v>
      </c>
      <c r="T14" s="226">
        <f>IF($B$81=0,0,(SUMIF($N$6:$N$28,$U14,M$6:M$28)+SUMIF($N$91:$N$118,$U14,M$91:M$118))*$B$83*$H$84*Poor!$B$81/$B$81)</f>
        <v>0</v>
      </c>
      <c r="U14" s="227">
        <v>8</v>
      </c>
      <c r="V14" s="56"/>
      <c r="W14" s="110"/>
      <c r="X14" s="118"/>
      <c r="Y14" s="184">
        <f>M14*4</f>
        <v>9.8672595203503372E-3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9.8672595203503372E-3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2.4668148800875843E-3</v>
      </c>
      <c r="AJ14" s="120">
        <f t="shared" si="14"/>
        <v>4.9336297601751686E-3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>Pumpkin: no. local meas</v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371</v>
      </c>
      <c r="S15" s="226">
        <f>IF($B$81=0,0,(SUMIF($N$6:$N$28,$U15,L$6:L$28)+SUMIF($N$91:$N$118,$U15,L$91:L$118))*$B$83*$H$84*Poor!$B$81/$B$81)</f>
        <v>371</v>
      </c>
      <c r="T15" s="226">
        <f>IF($B$81=0,0,(SUMIF($N$6:$N$28,$U15,M$6:M$28)+SUMIF($N$91:$N$118,$U15,M$91:M$118))*$B$83*$H$84*Poor!$B$81/$B$81)</f>
        <v>371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>Sweet poatato: no. local meas</v>
      </c>
      <c r="B16" s="101">
        <f>IF([1]Summ!$H1054="",0,[1]Summ!$H1054)</f>
        <v>6.125856164383562E-2</v>
      </c>
      <c r="C16" s="102">
        <f>IF([1]Summ!$I1054="",0,[1]Summ!$I1054)</f>
        <v>9.281600249065998E-3</v>
      </c>
      <c r="D16" s="24">
        <f t="shared" si="0"/>
        <v>7.0540161892901618E-2</v>
      </c>
      <c r="E16" s="75">
        <f>Poor!E16</f>
        <v>1</v>
      </c>
      <c r="F16" s="22"/>
      <c r="H16" s="24">
        <f t="shared" si="1"/>
        <v>1</v>
      </c>
      <c r="I16" s="22">
        <f t="shared" si="2"/>
        <v>7.0540161892901618E-2</v>
      </c>
      <c r="J16" s="24">
        <f>IF(I$32&lt;=1+I131,I16,B16*H16+J$33*(I16-B16*H16))</f>
        <v>6.3060793598730208E-2</v>
      </c>
      <c r="K16" s="22">
        <f t="shared" si="4"/>
        <v>6.125856164383562E-2</v>
      </c>
      <c r="L16" s="22">
        <f t="shared" si="5"/>
        <v>6.125856164383562E-2</v>
      </c>
      <c r="M16" s="228">
        <f t="shared" si="6"/>
        <v>6.3060793598730208E-2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429</v>
      </c>
      <c r="S16" s="226">
        <f>IF($B$81=0,0,(SUMIF($N$6:$N$28,$U16,L$6:L$28)+SUMIF($N$91:$N$118,$U16,L$91:L$118))*$B$83*$H$84*Poor!$B$81/$B$81)</f>
        <v>429</v>
      </c>
      <c r="T16" s="226">
        <f>IF($B$81=0,0,(SUMIF($N$6:$N$28,$U16,M$6:M$28)+SUMIF($N$91:$N$118,$U16,M$91:M$118))*$B$83*$H$84*Poor!$B$81/$B$81)</f>
        <v>445.66000447988648</v>
      </c>
      <c r="U16" s="227">
        <v>10</v>
      </c>
      <c r="V16" s="56"/>
      <c r="W16" s="110"/>
      <c r="X16" s="118"/>
      <c r="Y16" s="184">
        <f t="shared" si="9"/>
        <v>0.25224317439492083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0.25224317439492083</v>
      </c>
      <c r="AH16" s="123">
        <f t="shared" si="12"/>
        <v>1</v>
      </c>
      <c r="AI16" s="184">
        <f t="shared" si="13"/>
        <v>6.3060793598730208E-2</v>
      </c>
      <c r="AJ16" s="120">
        <f t="shared" si="14"/>
        <v>0</v>
      </c>
      <c r="AK16" s="119">
        <f t="shared" si="15"/>
        <v>0.12612158719746042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>Groundnuts (dry): no. local meas</v>
      </c>
      <c r="B17" s="101">
        <f>IF([1]Summ!$H1055="",0,[1]Summ!$H1055)</f>
        <v>9.4339866127023678E-2</v>
      </c>
      <c r="C17" s="102">
        <f>IF([1]Summ!$I1055="",0,[1]Summ!$I1055)</f>
        <v>4.7169933063511818E-2</v>
      </c>
      <c r="D17" s="24">
        <f t="shared" si="0"/>
        <v>0.1415097991905355</v>
      </c>
      <c r="E17" s="75">
        <f>Poor!E17</f>
        <v>1</v>
      </c>
      <c r="F17" s="22"/>
      <c r="H17" s="24">
        <f t="shared" si="1"/>
        <v>1</v>
      </c>
      <c r="I17" s="22">
        <f t="shared" si="2"/>
        <v>0.1415097991905355</v>
      </c>
      <c r="J17" s="24">
        <f t="shared" ref="J17:J25" si="17">IF(I$32&lt;=1+I131,I17,B17*H17+J$33*(I17-B17*H17))</f>
        <v>0.10349897214280518</v>
      </c>
      <c r="K17" s="22">
        <f t="shared" si="4"/>
        <v>9.4339866127023678E-2</v>
      </c>
      <c r="L17" s="22">
        <f t="shared" si="5"/>
        <v>9.4339866127023678E-2</v>
      </c>
      <c r="M17" s="229">
        <f t="shared" si="6"/>
        <v>0.10349897214280518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2160</v>
      </c>
      <c r="S17" s="226">
        <f>IF($B$81=0,0,(SUMIF($N$6:$N$28,$U17,L$6:L$28)+SUMIF($N$91:$N$118,$U17,L$91:L$118))*$B$83*$H$84*Poor!$B$81/$B$81)</f>
        <v>2160</v>
      </c>
      <c r="T17" s="226">
        <f>IF($B$81=0,0,(SUMIF($N$6:$N$28,$U17,M$6:M$28)+SUMIF($N$91:$N$118,$U17,M$91:M$118))*$B$83*$H$84*Poor!$B$81/$B$81)</f>
        <v>2160</v>
      </c>
      <c r="U17" s="227">
        <v>11</v>
      </c>
      <c r="V17" s="56"/>
      <c r="W17" s="110"/>
      <c r="X17" s="118"/>
      <c r="Y17" s="184">
        <f t="shared" si="9"/>
        <v>0.41399588857122072</v>
      </c>
      <c r="Z17" s="156">
        <f>Poor!Z17</f>
        <v>0.29409999999999997</v>
      </c>
      <c r="AA17" s="121">
        <f t="shared" si="16"/>
        <v>0.121756190828796</v>
      </c>
      <c r="AB17" s="156">
        <f>Poor!AB17</f>
        <v>0.17649999999999999</v>
      </c>
      <c r="AC17" s="121">
        <f t="shared" si="7"/>
        <v>7.3070274332820456E-2</v>
      </c>
      <c r="AD17" s="156">
        <f>Poor!AD17</f>
        <v>0.23530000000000001</v>
      </c>
      <c r="AE17" s="121">
        <f t="shared" si="8"/>
        <v>9.7413232580808237E-2</v>
      </c>
      <c r="AF17" s="122">
        <f t="shared" si="10"/>
        <v>0.29410000000000003</v>
      </c>
      <c r="AG17" s="121">
        <f t="shared" si="11"/>
        <v>0.12175619082879602</v>
      </c>
      <c r="AH17" s="123">
        <f t="shared" si="12"/>
        <v>1</v>
      </c>
      <c r="AI17" s="184">
        <f t="shared" si="13"/>
        <v>0.10349897214280518</v>
      </c>
      <c r="AJ17" s="120">
        <f t="shared" si="14"/>
        <v>9.7413232580808223E-2</v>
      </c>
      <c r="AK17" s="119">
        <f t="shared" si="15"/>
        <v>0.10958471170480213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>Irish potato: type</v>
      </c>
      <c r="B18" s="101">
        <f>IF([1]Summ!$H1056="",0,[1]Summ!$H1056)</f>
        <v>2.4561799501867997E-2</v>
      </c>
      <c r="C18" s="102">
        <f>IF([1]Summ!$I1056="",0,[1]Summ!$I1056)</f>
        <v>2.358421544209215E-2</v>
      </c>
      <c r="D18" s="24">
        <f t="shared" ref="D18:D25" si="18">(B18+C18)</f>
        <v>4.8146014943960147E-2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4.8146014943960147E-2</v>
      </c>
      <c r="J18" s="24">
        <f t="shared" si="17"/>
        <v>2.9141206668766174E-2</v>
      </c>
      <c r="K18" s="22">
        <f t="shared" ref="K18:K25" si="21">B18</f>
        <v>2.4561799501867997E-2</v>
      </c>
      <c r="L18" s="22">
        <f t="shared" ref="L18:L25" si="22">IF(K18="","",K18*H18)</f>
        <v>2.4561799501867997E-2</v>
      </c>
      <c r="M18" s="229">
        <f t="shared" ref="M18:M25" si="23">J18</f>
        <v>2.9141206668766174E-2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807.33808994213837</v>
      </c>
      <c r="S18" s="226">
        <f>IF($B$81=0,0,(SUMIF($N$6:$N$28,$U18,L$6:L$28)+SUMIF($N$91:$N$118,$U18,L$91:L$118))*$B$83*$H$84*Poor!$B$81/$B$81)</f>
        <v>807.33808994213837</v>
      </c>
      <c r="T18" s="226">
        <f>IF($B$81=0,0,(SUMIF($N$6:$N$28,$U18,M$6:M$28)+SUMIF($N$91:$N$118,$U18,M$91:M$118))*$B$83*$H$84*Poor!$B$81/$B$81)</f>
        <v>807.33808994213837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>Yam: type</v>
      </c>
      <c r="B19" s="101">
        <f>IF([1]Summ!$H1057="",0,[1]Summ!$H1057)</f>
        <v>2.0991594022415939E-2</v>
      </c>
      <c r="C19" s="102">
        <f>IF([1]Summ!$I1057="",0,[1]Summ!$I1057)</f>
        <v>0</v>
      </c>
      <c r="D19" s="24">
        <f t="shared" si="18"/>
        <v>2.0991594022415939E-2</v>
      </c>
      <c r="E19" s="75">
        <f>Poor!E19</f>
        <v>1</v>
      </c>
      <c r="F19" s="22"/>
      <c r="H19" s="24">
        <f t="shared" si="19"/>
        <v>1</v>
      </c>
      <c r="I19" s="22">
        <f t="shared" si="20"/>
        <v>2.0991594022415939E-2</v>
      </c>
      <c r="J19" s="24">
        <f t="shared" si="17"/>
        <v>2.0991594022415939E-2</v>
      </c>
      <c r="K19" s="22">
        <f t="shared" si="21"/>
        <v>2.0991594022415939E-2</v>
      </c>
      <c r="L19" s="22">
        <f t="shared" si="22"/>
        <v>2.0991594022415939E-2</v>
      </c>
      <c r="M19" s="229">
        <f t="shared" si="23"/>
        <v>2.0991594022415939E-2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276.45066024395538</v>
      </c>
      <c r="S19" s="226">
        <f>IF($B$81=0,0,(SUMIF($N$6:$N$28,$U19,L$6:L$28)+SUMIF($N$91:$N$118,$U19,L$91:L$118))*$B$83*$H$84*Poor!$B$81/$B$81)</f>
        <v>276.45066024395538</v>
      </c>
      <c r="T19" s="226">
        <f>IF($B$81=0,0,(SUMIF($N$6:$N$28,$U19,M$6:M$28)+SUMIF($N$91:$N$118,$U19,M$91:M$118))*$B$83*$H$84*Poor!$B$81/$B$81)</f>
        <v>276.45066024395538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>FISHING -- see worksheet Data 3</v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9">
        <f t="shared" si="23"/>
        <v>0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22020</v>
      </c>
      <c r="S20" s="226">
        <f>IF($B$81=0,0,(SUMIF($N$6:$N$28,$U20,L$6:L$28)+SUMIF($N$91:$N$118,$U20,L$91:L$118))*$B$83*$H$84*Poor!$B$81/$B$81)</f>
        <v>22020</v>
      </c>
      <c r="T20" s="226">
        <f>IF($B$81=0,0,(SUMIF($N$6:$N$28,$U20,M$6:M$28)+SUMIF($N$91:$N$118,$U20,M$91:M$118))*$B$83*$H$84*Poor!$B$81/$B$81)</f>
        <v>22020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>Labour: Land clearing, construction, herding, slaughtering</v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>
        <v>7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>Labour: Weeding</v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1600</v>
      </c>
      <c r="S22" s="226">
        <f>IF($B$81=0,0,(SUMIF($N$6:$N$28,$U22,L$6:L$28)+SUMIF($N$91:$N$118,$U22,L$91:L$118))*$B$83*$H$84*Poor!$B$81/$B$81)</f>
        <v>1600</v>
      </c>
      <c r="T22" s="226">
        <f>IF($B$81=0,0,(SUMIF($N$6:$N$28,$U22,M$6:M$28)+SUMIF($N$91:$N$118,$U22,M$91:M$118))*$B$83*$H$84*Poor!$B$81/$B$81)</f>
        <v>1600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>Gifts/remittances: cereal</v>
      </c>
      <c r="B23" s="101">
        <f>IF([1]Summ!$H1061="",0,[1]Summ!$H1061)</f>
        <v>1.7694834993773351E-2</v>
      </c>
      <c r="C23" s="102">
        <f>IF([1]Summ!$I1061="",0,[1]Summ!$I1061)</f>
        <v>0</v>
      </c>
      <c r="D23" s="24">
        <f t="shared" si="18"/>
        <v>1.7694834993773351E-2</v>
      </c>
      <c r="E23" s="75">
        <f>Poor!E23</f>
        <v>1</v>
      </c>
      <c r="F23" s="22"/>
      <c r="H23" s="24">
        <f t="shared" si="19"/>
        <v>1</v>
      </c>
      <c r="I23" s="22">
        <f t="shared" si="20"/>
        <v>1.7694834993773351E-2</v>
      </c>
      <c r="J23" s="24">
        <f t="shared" si="17"/>
        <v>1.7694834993773351E-2</v>
      </c>
      <c r="K23" s="22">
        <f t="shared" si="21"/>
        <v>1.7694834993773351E-2</v>
      </c>
      <c r="L23" s="22">
        <f t="shared" si="22"/>
        <v>1.7694834993773351E-2</v>
      </c>
      <c r="M23" s="229">
        <f t="shared" si="23"/>
        <v>1.7694834993773351E-2</v>
      </c>
      <c r="N23" s="233">
        <v>13</v>
      </c>
      <c r="O23" s="2"/>
      <c r="P23" s="22"/>
      <c r="Q23" s="171" t="s">
        <v>100</v>
      </c>
      <c r="R23" s="179">
        <f>SUM(R7:R22)</f>
        <v>39240.654168836765</v>
      </c>
      <c r="S23" s="179">
        <f>SUM(S7:S22)</f>
        <v>39240.654168836765</v>
      </c>
      <c r="T23" s="179">
        <f>SUM(T7:T22)</f>
        <v>39591.621933962495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>Gifts/remittances: Other</v>
      </c>
      <c r="B24" s="101">
        <f>IF([1]Summ!$H1062="",0,[1]Summ!$H1062)</f>
        <v>2.3069738480697384E-2</v>
      </c>
      <c r="C24" s="102">
        <f>IF([1]Summ!$I1062="",0,[1]Summ!$I1062)</f>
        <v>0</v>
      </c>
      <c r="D24" s="24">
        <f t="shared" si="18"/>
        <v>2.3069738480697384E-2</v>
      </c>
      <c r="E24" s="75">
        <f>Poor!E24</f>
        <v>1</v>
      </c>
      <c r="F24" s="22"/>
      <c r="H24" s="24">
        <f t="shared" si="19"/>
        <v>1</v>
      </c>
      <c r="I24" s="22">
        <f t="shared" si="20"/>
        <v>2.3069738480697384E-2</v>
      </c>
      <c r="J24" s="24">
        <f t="shared" si="17"/>
        <v>2.3069738480697384E-2</v>
      </c>
      <c r="K24" s="22">
        <f t="shared" si="21"/>
        <v>2.3069738480697384E-2</v>
      </c>
      <c r="L24" s="22">
        <f t="shared" si="22"/>
        <v>2.3069738480697384E-2</v>
      </c>
      <c r="M24" s="229">
        <f t="shared" si="23"/>
        <v>2.3069738480697384E-2</v>
      </c>
      <c r="N24" s="233">
        <v>13</v>
      </c>
      <c r="O24" s="2"/>
      <c r="P24" s="22"/>
      <c r="Q24" s="59" t="s">
        <v>137</v>
      </c>
      <c r="R24" s="41">
        <f>IF($B$81=0,0,($B$124*$H$124)+1-($D$29*$H$29)-($D$28*$H$28))*$I$83*Poor!$B$81/$B$81</f>
        <v>17059.8252222761</v>
      </c>
      <c r="S24" s="41">
        <f>IF($B$81=0,0,($B$124*$H$124)+1-($D$29*$H$29)-($D$28*$H$28))*$I$83*Poor!$B$81/$B$81</f>
        <v>17059.8252222761</v>
      </c>
      <c r="T24" s="41">
        <f>IF($B$81=0,0,($B$124*$H$124)+1-($D$29*$H$29)-($D$28*$H$28))*$I$83*Poor!$B$81/$B$81</f>
        <v>17059.8252222761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31038.491888942768</v>
      </c>
      <c r="S25" s="41">
        <f>IF($B$81=0,0,($B$124*$H$124)+($B$125*$H$125*$H$84)+1-($D$29*$H$29)-($D$28*$H$28))*$I$83*Poor!$B$81/$B$81</f>
        <v>31038.491888942768</v>
      </c>
      <c r="T25" s="41">
        <f>IF($B$81=0,0,($B$124*$H$124)+($B$125*$H$125*$H$84)+1-($D$29*$H$29)-($D$28*$H$28))*$I$83*Poor!$B$81/$B$81</f>
        <v>31038.491888942768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8">
        <f t="shared" si="6"/>
        <v>0.11904761904761904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58782.491888942779</v>
      </c>
      <c r="S26" s="41">
        <f>IF($B$81=0,0,($B$124*$H$124)+($B$125*$H$125*$H$84)+($B$126*$H$126*$H$84)+1-($D$29*$H$29)-($D$28*$H$28))*$I$83*Poor!$B$81/$B$81</f>
        <v>58782.491888942779</v>
      </c>
      <c r="T26" s="41">
        <f>IF($B$81=0,0,($B$124*$H$124)+($B$125*$H$125*$H$84)+($B$126*$H$126*$H$84)+1-($D$29*$H$29)-($D$28*$H$28))*$I$83*Poor!$B$81/$B$81</f>
        <v>58782.491888942779</v>
      </c>
      <c r="U26" s="56"/>
      <c r="V26" s="56"/>
      <c r="W26" s="110"/>
      <c r="X26" s="118"/>
      <c r="Y26" s="184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4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3.314115504358655E-2</v>
      </c>
      <c r="C27" s="102">
        <f>IF([1]Summ!$I1065="",0,[1]Summ!$I1065)</f>
        <v>-3.314115504358655E-2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2.67060525786126E-2</v>
      </c>
      <c r="K27" s="22">
        <f t="shared" si="4"/>
        <v>3.314115504358655E-2</v>
      </c>
      <c r="L27" s="22">
        <f t="shared" si="5"/>
        <v>3.314115504358655E-2</v>
      </c>
      <c r="M27" s="230">
        <f t="shared" si="6"/>
        <v>2.67060525786126E-2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66292.491888942779</v>
      </c>
      <c r="S27" s="41">
        <f>IF($B$81=0,0,($B$124*$H$124)+($B$125*$H$125*$H$84)+($B$126*$H$126*$H$84)+($B$127*$H$127*$H$84)+1-($D$29*$H$29)-($D$28*$H$28))*$I$83*Poor!$B$81/$B$81</f>
        <v>66292.491888942779</v>
      </c>
      <c r="T27" s="41">
        <f>IF($B$81=0,0,($B$124*$H$124)+($B$125*$H$125*$H$84)+($B$126*$H$126*$H$84)+($B$127*$H$127*$H$84)+1-($D$29*$H$29)-($D$28*$H$28))*$I$83*Poor!$B$81/$B$81</f>
        <v>66292.491888942779</v>
      </c>
      <c r="U27" s="56"/>
      <c r="V27" s="56"/>
      <c r="W27" s="110"/>
      <c r="X27" s="118"/>
      <c r="Y27" s="184">
        <f t="shared" si="9"/>
        <v>0.1068242103144504</v>
      </c>
      <c r="Z27" s="156">
        <f>Poor!Z27</f>
        <v>0.25</v>
      </c>
      <c r="AA27" s="121">
        <f t="shared" si="16"/>
        <v>2.67060525786126E-2</v>
      </c>
      <c r="AB27" s="156">
        <f>Poor!AB27</f>
        <v>0.25</v>
      </c>
      <c r="AC27" s="121">
        <f t="shared" si="7"/>
        <v>2.67060525786126E-2</v>
      </c>
      <c r="AD27" s="156">
        <f>Poor!AD27</f>
        <v>0.25</v>
      </c>
      <c r="AE27" s="121">
        <f t="shared" si="8"/>
        <v>2.67060525786126E-2</v>
      </c>
      <c r="AF27" s="122">
        <f t="shared" si="10"/>
        <v>0.25</v>
      </c>
      <c r="AG27" s="121">
        <f t="shared" si="11"/>
        <v>2.67060525786126E-2</v>
      </c>
      <c r="AH27" s="123">
        <f t="shared" si="12"/>
        <v>1</v>
      </c>
      <c r="AI27" s="184">
        <f t="shared" si="13"/>
        <v>2.67060525786126E-2</v>
      </c>
      <c r="AJ27" s="120">
        <f t="shared" si="14"/>
        <v>2.67060525786126E-2</v>
      </c>
      <c r="AK27" s="119">
        <f t="shared" si="15"/>
        <v>2.67060525786126E-2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6.7650971357409703E-2</v>
      </c>
      <c r="C28" s="102">
        <f>IF([1]Summ!$I1066="",0,[1]Summ!$I1066)</f>
        <v>-6.7650971357409703E-2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5.4515009983480578E-2</v>
      </c>
      <c r="K28" s="22">
        <f t="shared" si="4"/>
        <v>6.7650971357409703E-2</v>
      </c>
      <c r="L28" s="22">
        <f t="shared" si="5"/>
        <v>6.7650971357409703E-2</v>
      </c>
      <c r="M28" s="228">
        <f t="shared" si="6"/>
        <v>5.4515009983480578E-2</v>
      </c>
      <c r="N28" s="233"/>
      <c r="O28" s="2"/>
      <c r="P28" s="22"/>
      <c r="V28" s="56"/>
      <c r="W28" s="110"/>
      <c r="X28" s="118"/>
      <c r="Y28" s="184">
        <f t="shared" si="9"/>
        <v>0.21806003993392231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0.10903001996696116</v>
      </c>
      <c r="AF28" s="122">
        <f t="shared" si="10"/>
        <v>0.5</v>
      </c>
      <c r="AG28" s="121">
        <f t="shared" si="11"/>
        <v>0.10903001996696116</v>
      </c>
      <c r="AH28" s="123">
        <f t="shared" si="12"/>
        <v>1</v>
      </c>
      <c r="AI28" s="184">
        <f t="shared" si="13"/>
        <v>5.4515009983480578E-2</v>
      </c>
      <c r="AJ28" s="120">
        <f t="shared" si="14"/>
        <v>0</v>
      </c>
      <c r="AK28" s="119">
        <f t="shared" si="15"/>
        <v>0.10903001996696116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0.30209775887297641</v>
      </c>
      <c r="C29" s="102">
        <f>IF([1]Summ!$I1067="",0,[1]Summ!$I1067)</f>
        <v>0.18464935605912314</v>
      </c>
      <c r="D29" s="24">
        <f t="shared" si="0"/>
        <v>0.48674711493209954</v>
      </c>
      <c r="E29" s="75">
        <f>Poor!E29</f>
        <v>1</v>
      </c>
      <c r="F29" s="22"/>
      <c r="H29" s="24">
        <f t="shared" si="1"/>
        <v>1</v>
      </c>
      <c r="I29" s="22">
        <f t="shared" si="2"/>
        <v>0.48674711493209954</v>
      </c>
      <c r="J29" s="24">
        <f>IF(I$32&lt;=1+I131,I29,B29*H29+J$33*(I29-B29*H29))</f>
        <v>0.337951594527442</v>
      </c>
      <c r="K29" s="22">
        <f t="shared" si="4"/>
        <v>0.30209775887297641</v>
      </c>
      <c r="L29" s="22">
        <f t="shared" si="5"/>
        <v>0.30209775887297641</v>
      </c>
      <c r="M29" s="228">
        <f t="shared" si="6"/>
        <v>0.337951594527442</v>
      </c>
      <c r="N29" s="233"/>
      <c r="P29" s="22"/>
      <c r="V29" s="56"/>
      <c r="W29" s="110"/>
      <c r="X29" s="118"/>
      <c r="Y29" s="184">
        <f t="shared" si="9"/>
        <v>1.351806378109768</v>
      </c>
      <c r="Z29" s="156">
        <f>Poor!Z29</f>
        <v>0.25</v>
      </c>
      <c r="AA29" s="121">
        <f t="shared" si="16"/>
        <v>0.337951594527442</v>
      </c>
      <c r="AB29" s="156">
        <f>Poor!AB29</f>
        <v>0.25</v>
      </c>
      <c r="AC29" s="121">
        <f t="shared" si="7"/>
        <v>0.337951594527442</v>
      </c>
      <c r="AD29" s="156">
        <f>Poor!AD29</f>
        <v>0.25</v>
      </c>
      <c r="AE29" s="121">
        <f t="shared" si="8"/>
        <v>0.337951594527442</v>
      </c>
      <c r="AF29" s="122">
        <f t="shared" si="10"/>
        <v>0.25</v>
      </c>
      <c r="AG29" s="121">
        <f t="shared" si="11"/>
        <v>0.337951594527442</v>
      </c>
      <c r="AH29" s="123">
        <f t="shared" si="12"/>
        <v>1</v>
      </c>
      <c r="AI29" s="184">
        <f t="shared" si="13"/>
        <v>0.337951594527442</v>
      </c>
      <c r="AJ29" s="120">
        <f t="shared" si="14"/>
        <v>0.337951594527442</v>
      </c>
      <c r="AK29" s="119">
        <f t="shared" si="15"/>
        <v>0.337951594527442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0.41304241905354921</v>
      </c>
      <c r="C30" s="103"/>
      <c r="D30" s="24">
        <f>(D119-B124)</f>
        <v>3.2294800658911349</v>
      </c>
      <c r="E30" s="75">
        <f>Poor!E30</f>
        <v>1</v>
      </c>
      <c r="H30" s="96">
        <f>(E30*F$7/F$9)</f>
        <v>1</v>
      </c>
      <c r="I30" s="29">
        <f>IF(E30&gt;=1,I119-I124,MIN(I119-I124,B30*H30))</f>
        <v>3.2294800658911349</v>
      </c>
      <c r="J30" s="235">
        <f>IF(I$32&lt;=$B$32,I30,$B$32-SUM(J6:J29))</f>
        <v>0.37442075735035685</v>
      </c>
      <c r="K30" s="22">
        <f t="shared" si="4"/>
        <v>0.41304241905354921</v>
      </c>
      <c r="L30" s="22">
        <f>IF(L124=L119,0,IF(K30="",0,(L119-L124)/(B119-B124)*K30))</f>
        <v>0.41304241905354921</v>
      </c>
      <c r="M30" s="175">
        <f t="shared" si="6"/>
        <v>0.37442075735035685</v>
      </c>
      <c r="N30" s="166" t="s">
        <v>86</v>
      </c>
      <c r="O30" s="2"/>
      <c r="P30" s="22"/>
      <c r="V30" s="56"/>
      <c r="W30" s="110"/>
      <c r="X30" s="118"/>
      <c r="Y30" s="184">
        <f>M30*4</f>
        <v>1.4976830294014274</v>
      </c>
      <c r="Z30" s="122">
        <f>IF($Y30=0,0,AA30/($Y$30))</f>
        <v>0</v>
      </c>
      <c r="AA30" s="188">
        <f>IF(AA79*4/$I$84+SUM(AA6:AA29)&lt;1,AA79*4/$I$84,1-SUM(AA6:AA29))</f>
        <v>0</v>
      </c>
      <c r="AB30" s="122">
        <f>IF($Y30=0,0,AC30/($Y$30))</f>
        <v>-0.24918650787012875</v>
      </c>
      <c r="AC30" s="188">
        <f>IF(AC79*4/$I$84+SUM(AC6:AC29)&lt;1,AC79*4/$I$84,1-SUM(AC6:AC29))</f>
        <v>-0.37320240399289706</v>
      </c>
      <c r="AD30" s="122">
        <f>IF($Y30=0,0,AE30/($Y$30))</f>
        <v>-0.43444851496100384</v>
      </c>
      <c r="AE30" s="188">
        <f>IF(AE79*4/$I$84+SUM(AE6:AE29)&lt;1,AE79*4/$I$84,1-SUM(AE6:AE29))</f>
        <v>-0.65066616800574761</v>
      </c>
      <c r="AF30" s="122">
        <f>IF($Y30=0,0,AG30/($Y$30))</f>
        <v>-0.18106477283520495</v>
      </c>
      <c r="AG30" s="188">
        <f>IF(AG79*4/$I$84+SUM(AG6:AG29)&lt;1,AG79*4/$I$84,1-SUM(AG6:AG29))</f>
        <v>-0.27117763749771101</v>
      </c>
      <c r="AH30" s="123">
        <f t="shared" si="12"/>
        <v>-0.86469979566633748</v>
      </c>
      <c r="AI30" s="184">
        <f t="shared" si="13"/>
        <v>-0.32376155237408893</v>
      </c>
      <c r="AJ30" s="120">
        <f t="shared" si="14"/>
        <v>-0.18660120199644853</v>
      </c>
      <c r="AK30" s="119">
        <f t="shared" si="15"/>
        <v>-0.46092190275172928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-0.52190522536766881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0.37320240399289706</v>
      </c>
      <c r="AD31" s="134"/>
      <c r="AE31" s="133">
        <f>1-AE32+IF($Y32&lt;0,$Y32/4,0)</f>
        <v>0.65066616800574761</v>
      </c>
      <c r="AF31" s="134"/>
      <c r="AG31" s="133">
        <f>1-AG32+IF($Y32&lt;0,$Y32/4,0)</f>
        <v>4.4829262091074629E-2</v>
      </c>
      <c r="AH31" s="123"/>
      <c r="AI31" s="183">
        <f>SUM(AA31,AC31,AE31,AG31)/4</f>
        <v>0.26717445852242983</v>
      </c>
      <c r="AJ31" s="135">
        <f t="shared" si="14"/>
        <v>0.18660120199644853</v>
      </c>
      <c r="AK31" s="136">
        <f t="shared" si="15"/>
        <v>0.34774771504841112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1.5219052253676688</v>
      </c>
      <c r="C32" s="77">
        <f>SUM(C6:C31)</f>
        <v>0.19890382251304589</v>
      </c>
      <c r="D32" s="24">
        <f>SUM(D6:D30)</f>
        <v>4.5372466947183003</v>
      </c>
      <c r="E32" s="2"/>
      <c r="F32" s="2"/>
      <c r="H32" s="17"/>
      <c r="I32" s="22">
        <f>SUM(I6:I30)</f>
        <v>4.5372466947183003</v>
      </c>
      <c r="J32" s="17"/>
      <c r="L32" s="22">
        <f>SUM(L6:L30)</f>
        <v>1.5219052253676688</v>
      </c>
      <c r="M32" s="23"/>
      <c r="N32" s="56"/>
      <c r="O32" s="2"/>
      <c r="P32" s="22"/>
      <c r="V32" s="56"/>
      <c r="W32" s="110"/>
      <c r="X32" s="118"/>
      <c r="Y32" s="115">
        <f>SUM(Y6:Y31)</f>
        <v>5.7240314048080636</v>
      </c>
      <c r="Z32" s="137"/>
      <c r="AA32" s="138">
        <f>SUM(AA6:AA30)</f>
        <v>1</v>
      </c>
      <c r="AB32" s="137"/>
      <c r="AC32" s="139">
        <f>SUM(AC6:AC30)</f>
        <v>0.62679759600710294</v>
      </c>
      <c r="AD32" s="137"/>
      <c r="AE32" s="139">
        <f>SUM(AE6:AE30)</f>
        <v>0.34933383199425239</v>
      </c>
      <c r="AF32" s="137"/>
      <c r="AG32" s="139">
        <f>SUM(AG6:AG30)</f>
        <v>0.95517073790892537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0.19417254638562351</v>
      </c>
      <c r="K33" s="14"/>
      <c r="L33" s="11"/>
      <c r="M33" s="30"/>
      <c r="N33" s="168" t="s">
        <v>87</v>
      </c>
      <c r="O33" s="2"/>
      <c r="P33" s="2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180"/>
      <c r="S36" s="180"/>
      <c r="T36" s="180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2000</v>
      </c>
      <c r="C37" s="104">
        <f>IF([1]Summ!$I1072="",0,[1]Summ!$I1072)</f>
        <v>0</v>
      </c>
      <c r="D37" s="38">
        <f t="shared" ref="D37:D64" si="24">B37+C37</f>
        <v>2000</v>
      </c>
      <c r="E37" s="75">
        <f>Poor!E37</f>
        <v>1</v>
      </c>
      <c r="F37" s="75">
        <f>Poor!F37</f>
        <v>1</v>
      </c>
      <c r="G37" s="75">
        <f>Poor!G37</f>
        <v>1</v>
      </c>
      <c r="H37" s="24">
        <f t="shared" ref="H37" si="25">(E37*F37)</f>
        <v>1</v>
      </c>
      <c r="I37" s="39">
        <f t="shared" ref="I37" si="26">D37*H37</f>
        <v>2000</v>
      </c>
      <c r="J37" s="38">
        <f>J91*I$83</f>
        <v>2000.0000000000002</v>
      </c>
      <c r="K37" s="40">
        <f>(B37/B$65)</f>
        <v>5.805009723391287E-2</v>
      </c>
      <c r="L37" s="22">
        <f t="shared" ref="L37" si="27">(K37*H37)</f>
        <v>5.805009723391287E-2</v>
      </c>
      <c r="M37" s="24">
        <f>J37/B$65</f>
        <v>5.805009723391287E-2</v>
      </c>
      <c r="N37" s="2"/>
      <c r="O37" s="2"/>
      <c r="P37" s="2"/>
      <c r="Q37" s="2"/>
      <c r="R37" s="180"/>
      <c r="S37" s="180"/>
      <c r="T37" s="180"/>
      <c r="U37" s="56"/>
      <c r="V37" s="56"/>
      <c r="W37" s="115"/>
      <c r="X37" s="118"/>
      <c r="Y37" s="110"/>
      <c r="Z37" s="122">
        <f>IF($J37=0,0,AA37/($J37))</f>
        <v>0.71497238540492714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1429.9447708098544</v>
      </c>
      <c r="AB37" s="122">
        <f>IF($J37=0,0,AC37/($J37))</f>
        <v>0.28502761459507286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570.05522919014584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8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2000.0000000000002</v>
      </c>
      <c r="AJ37" s="148">
        <f>(AA37+AC37)</f>
        <v>2000.0000000000002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1500</v>
      </c>
      <c r="C38" s="104">
        <f>IF([1]Summ!$I1073="",0,[1]Summ!$I1073)</f>
        <v>1000</v>
      </c>
      <c r="D38" s="38">
        <f t="shared" si="24"/>
        <v>2500</v>
      </c>
      <c r="E38" s="75">
        <f>Poor!E38</f>
        <v>1</v>
      </c>
      <c r="F38" s="75">
        <f>Poor!F38</f>
        <v>1</v>
      </c>
      <c r="G38" s="75">
        <f>Poor!G38</f>
        <v>1</v>
      </c>
      <c r="H38" s="24">
        <f t="shared" ref="H38:H64" si="29">(E38*F38)</f>
        <v>1</v>
      </c>
      <c r="I38" s="39">
        <f t="shared" ref="I38:I64" si="30">D38*H38</f>
        <v>2500</v>
      </c>
      <c r="J38" s="38">
        <f t="shared" ref="J38:J64" si="31">J92*I$83</f>
        <v>1694.1725463856235</v>
      </c>
      <c r="K38" s="40">
        <f t="shared" ref="K38:K64" si="32">(B38/B$65)</f>
        <v>4.3537572925434649E-2</v>
      </c>
      <c r="L38" s="22">
        <f t="shared" ref="L38:L64" si="33">(K38*H38)</f>
        <v>4.3537572925434649E-2</v>
      </c>
      <c r="M38" s="24">
        <f t="shared" ref="M38:M64" si="34">J38/B$65</f>
        <v>4.9173440524355599E-2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0.71497238540492714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1211.2865867768687</v>
      </c>
      <c r="AB38" s="122">
        <f>IF($J38=0,0,AC38/($J38))</f>
        <v>0.28502761459507292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482.88595960875477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8"/>
        <v>0</v>
      </c>
      <c r="AG38" s="147">
        <f t="shared" ref="AG38:AG64" si="35">$J38*AF38</f>
        <v>0</v>
      </c>
      <c r="AH38" s="123">
        <f t="shared" ref="AH38:AI58" si="36">SUM(Z38,AB38,AD38,AF38)</f>
        <v>1</v>
      </c>
      <c r="AI38" s="112">
        <f t="shared" si="36"/>
        <v>1694.1725463856235</v>
      </c>
      <c r="AJ38" s="148">
        <f t="shared" ref="AJ38:AJ64" si="37">(AA38+AC38)</f>
        <v>1694.1725463856235</v>
      </c>
      <c r="AK38" s="147">
        <f t="shared" ref="AK38:AK64" si="38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Chicken sales: no. sold</v>
      </c>
      <c r="B39" s="104">
        <f>IF([1]Summ!$H1074="",0,[1]Summ!$H1074)</f>
        <v>0</v>
      </c>
      <c r="C39" s="104">
        <f>IF([1]Summ!$I1074="",0,[1]Summ!$I1074)</f>
        <v>0</v>
      </c>
      <c r="D39" s="38">
        <f t="shared" si="24"/>
        <v>0</v>
      </c>
      <c r="E39" s="75">
        <f>Poor!E39</f>
        <v>1</v>
      </c>
      <c r="F39" s="75">
        <f>Poor!F39</f>
        <v>1</v>
      </c>
      <c r="G39" s="75">
        <f>Poor!G39</f>
        <v>1</v>
      </c>
      <c r="H39" s="24">
        <f t="shared" si="29"/>
        <v>1</v>
      </c>
      <c r="I39" s="39">
        <f t="shared" si="30"/>
        <v>0</v>
      </c>
      <c r="J39" s="38">
        <f t="shared" si="31"/>
        <v>0</v>
      </c>
      <c r="K39" s="40">
        <f t="shared" si="32"/>
        <v>0</v>
      </c>
      <c r="L39" s="22">
        <f t="shared" si="33"/>
        <v>0</v>
      </c>
      <c r="M39" s="24">
        <f t="shared" si="34"/>
        <v>0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95">
        <f>X8</f>
        <v>1</v>
      </c>
      <c r="Y39" s="110"/>
      <c r="Z39" s="122">
        <f>Z8</f>
        <v>0.40791243672321625</v>
      </c>
      <c r="AA39" s="147">
        <f t="shared" ref="AA39:AA64" si="39">$J39*Z39</f>
        <v>0</v>
      </c>
      <c r="AB39" s="122">
        <f>AB8</f>
        <v>0.44896949435399086</v>
      </c>
      <c r="AC39" s="147">
        <f t="shared" ref="AC39:AC64" si="40">$J39*AB39</f>
        <v>0</v>
      </c>
      <c r="AD39" s="122">
        <f>AD8</f>
        <v>2.6253441966829678E-2</v>
      </c>
      <c r="AE39" s="147">
        <f t="shared" ref="AE39:AE64" si="41">$J39*AD39</f>
        <v>0</v>
      </c>
      <c r="AF39" s="122">
        <f t="shared" si="28"/>
        <v>0.11686462695596322</v>
      </c>
      <c r="AG39" s="147">
        <f t="shared" si="35"/>
        <v>0</v>
      </c>
      <c r="AH39" s="123">
        <f t="shared" si="36"/>
        <v>1</v>
      </c>
      <c r="AI39" s="112">
        <f t="shared" si="36"/>
        <v>0</v>
      </c>
      <c r="AJ39" s="148">
        <f t="shared" si="37"/>
        <v>0</v>
      </c>
      <c r="AK39" s="147">
        <f t="shared" si="38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Maize: kg produced</v>
      </c>
      <c r="B40" s="104">
        <f>IF([1]Summ!$H1075="",0,[1]Summ!$H1075)</f>
        <v>500</v>
      </c>
      <c r="C40" s="104">
        <f>IF([1]Summ!$I1075="",0,[1]Summ!$I1075)</f>
        <v>-500</v>
      </c>
      <c r="D40" s="38">
        <f t="shared" si="24"/>
        <v>0</v>
      </c>
      <c r="E40" s="75">
        <f>Poor!E40</f>
        <v>1</v>
      </c>
      <c r="F40" s="75">
        <f>Poor!F40</f>
        <v>1</v>
      </c>
      <c r="G40" s="75">
        <f>Poor!G40</f>
        <v>1</v>
      </c>
      <c r="H40" s="24">
        <f t="shared" si="29"/>
        <v>1</v>
      </c>
      <c r="I40" s="39">
        <f t="shared" si="30"/>
        <v>0</v>
      </c>
      <c r="J40" s="38">
        <f t="shared" si="31"/>
        <v>402.91372680718825</v>
      </c>
      <c r="K40" s="40">
        <f t="shared" si="32"/>
        <v>1.4512524308478218E-2</v>
      </c>
      <c r="L40" s="22">
        <f t="shared" si="33"/>
        <v>1.4512524308478218E-2</v>
      </c>
      <c r="M40" s="24">
        <f t="shared" si="34"/>
        <v>1.1694590509017742E-2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95">
        <f>X9</f>
        <v>1</v>
      </c>
      <c r="Y40" s="110"/>
      <c r="Z40" s="122">
        <f>Z9</f>
        <v>0.4079124367232162</v>
      </c>
      <c r="AA40" s="147">
        <f t="shared" si="39"/>
        <v>164.3535200911524</v>
      </c>
      <c r="AB40" s="122">
        <f>AB9</f>
        <v>0.44896949435399086</v>
      </c>
      <c r="AC40" s="147">
        <f t="shared" si="40"/>
        <v>180.89597219290533</v>
      </c>
      <c r="AD40" s="122">
        <f>AD9</f>
        <v>2.6253441966829674E-2</v>
      </c>
      <c r="AE40" s="147">
        <f t="shared" si="41"/>
        <v>10.577872144371582</v>
      </c>
      <c r="AF40" s="122">
        <f t="shared" si="28"/>
        <v>0.11686462695596322</v>
      </c>
      <c r="AG40" s="147">
        <f t="shared" si="35"/>
        <v>47.086362378758935</v>
      </c>
      <c r="AH40" s="123">
        <f t="shared" si="36"/>
        <v>1</v>
      </c>
      <c r="AI40" s="112">
        <f t="shared" si="36"/>
        <v>402.91372680718825</v>
      </c>
      <c r="AJ40" s="148">
        <f t="shared" si="37"/>
        <v>345.24949228405774</v>
      </c>
      <c r="AK40" s="147">
        <f t="shared" si="38"/>
        <v>57.664234523130517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Beans: kg produced</v>
      </c>
      <c r="B41" s="104">
        <f>IF([1]Summ!$H1076="",0,[1]Summ!$H1076)</f>
        <v>1250</v>
      </c>
      <c r="C41" s="104">
        <f>IF([1]Summ!$I1076="",0,[1]Summ!$I1076)</f>
        <v>1812.5</v>
      </c>
      <c r="D41" s="38">
        <f t="shared" si="24"/>
        <v>3062.5</v>
      </c>
      <c r="E41" s="75">
        <f>Poor!E41</f>
        <v>1</v>
      </c>
      <c r="F41" s="75">
        <f>Poor!F41</f>
        <v>1</v>
      </c>
      <c r="G41" s="75">
        <f>Poor!G41</f>
        <v>1</v>
      </c>
      <c r="H41" s="24">
        <f t="shared" si="29"/>
        <v>1</v>
      </c>
      <c r="I41" s="39">
        <f t="shared" si="30"/>
        <v>3062.5</v>
      </c>
      <c r="J41" s="38">
        <f t="shared" si="31"/>
        <v>1601.9377403239425</v>
      </c>
      <c r="K41" s="40">
        <f t="shared" si="32"/>
        <v>3.6281310771195542E-2</v>
      </c>
      <c r="L41" s="22">
        <f t="shared" si="33"/>
        <v>3.6281310771195542E-2</v>
      </c>
      <c r="M41" s="24">
        <f t="shared" si="34"/>
        <v>4.6496320794239765E-2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95">
        <f>X11</f>
        <v>1</v>
      </c>
      <c r="Y41" s="110"/>
      <c r="Z41" s="122">
        <f>Z11</f>
        <v>0</v>
      </c>
      <c r="AA41" s="147">
        <f t="shared" si="39"/>
        <v>0</v>
      </c>
      <c r="AB41" s="122">
        <f>AB11</f>
        <v>0</v>
      </c>
      <c r="AC41" s="147">
        <f t="shared" si="40"/>
        <v>0</v>
      </c>
      <c r="AD41" s="122">
        <f>AD11</f>
        <v>0</v>
      </c>
      <c r="AE41" s="147">
        <f t="shared" si="41"/>
        <v>0</v>
      </c>
      <c r="AF41" s="122">
        <f t="shared" si="28"/>
        <v>1</v>
      </c>
      <c r="AG41" s="147">
        <f t="shared" si="35"/>
        <v>1601.9377403239425</v>
      </c>
      <c r="AH41" s="123">
        <f t="shared" si="36"/>
        <v>1</v>
      </c>
      <c r="AI41" s="112">
        <f t="shared" si="36"/>
        <v>1601.9377403239425</v>
      </c>
      <c r="AJ41" s="148">
        <f t="shared" si="37"/>
        <v>0</v>
      </c>
      <c r="AK41" s="147">
        <f t="shared" si="38"/>
        <v>1601.9377403239425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Water melon: no. local meas (Bhece)</v>
      </c>
      <c r="B42" s="104">
        <f>IF([1]Summ!$H1077="",0,[1]Summ!$H1077)</f>
        <v>99</v>
      </c>
      <c r="C42" s="104">
        <f>IF([1]Summ!$I1077="",0,[1]Summ!$I1077)</f>
        <v>-99</v>
      </c>
      <c r="D42" s="38">
        <f t="shared" si="24"/>
        <v>0</v>
      </c>
      <c r="E42" s="75">
        <f>Poor!E42</f>
        <v>1</v>
      </c>
      <c r="F42" s="75">
        <f>Poor!F42</f>
        <v>1</v>
      </c>
      <c r="G42" s="75">
        <f>Poor!G42</f>
        <v>1</v>
      </c>
      <c r="H42" s="24">
        <f t="shared" si="29"/>
        <v>1</v>
      </c>
      <c r="I42" s="39">
        <f t="shared" si="30"/>
        <v>0</v>
      </c>
      <c r="J42" s="38">
        <f t="shared" si="31"/>
        <v>79.776917907823275</v>
      </c>
      <c r="K42" s="40">
        <f t="shared" si="32"/>
        <v>2.8734798130786868E-3</v>
      </c>
      <c r="L42" s="22">
        <f t="shared" si="33"/>
        <v>2.8734798130786868E-3</v>
      </c>
      <c r="M42" s="24">
        <f t="shared" si="34"/>
        <v>2.3155289207855128E-3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si="39"/>
        <v>19.944229476955819</v>
      </c>
      <c r="AB42" s="156">
        <f>Poor!AB42</f>
        <v>0</v>
      </c>
      <c r="AC42" s="147">
        <f t="shared" si="40"/>
        <v>0</v>
      </c>
      <c r="AD42" s="156">
        <f>Poor!AD42</f>
        <v>0.5</v>
      </c>
      <c r="AE42" s="147">
        <f t="shared" si="41"/>
        <v>39.888458953911638</v>
      </c>
      <c r="AF42" s="122">
        <f t="shared" si="28"/>
        <v>0.25</v>
      </c>
      <c r="AG42" s="147">
        <f t="shared" si="35"/>
        <v>19.944229476955819</v>
      </c>
      <c r="AH42" s="123">
        <f t="shared" si="36"/>
        <v>1</v>
      </c>
      <c r="AI42" s="112">
        <f t="shared" si="36"/>
        <v>79.776917907823275</v>
      </c>
      <c r="AJ42" s="148">
        <f t="shared" si="37"/>
        <v>19.944229476955819</v>
      </c>
      <c r="AK42" s="147">
        <f t="shared" si="38"/>
        <v>59.832688430867456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Sweet poatato: no. local meas</v>
      </c>
      <c r="B43" s="104">
        <f>IF([1]Summ!$H1078="",0,[1]Summ!$H1078)</f>
        <v>250</v>
      </c>
      <c r="C43" s="104">
        <f>IF([1]Summ!$I1078="",0,[1]Summ!$I1078)</f>
        <v>-250</v>
      </c>
      <c r="D43" s="38">
        <f t="shared" si="24"/>
        <v>0</v>
      </c>
      <c r="E43" s="75">
        <f>Poor!E43</f>
        <v>1</v>
      </c>
      <c r="F43" s="75">
        <f>Poor!F43</f>
        <v>1</v>
      </c>
      <c r="G43" s="75">
        <f>Poor!G43</f>
        <v>1</v>
      </c>
      <c r="H43" s="24">
        <f t="shared" si="29"/>
        <v>1</v>
      </c>
      <c r="I43" s="39">
        <f t="shared" si="30"/>
        <v>0</v>
      </c>
      <c r="J43" s="38">
        <f t="shared" si="31"/>
        <v>201.45686340359413</v>
      </c>
      <c r="K43" s="40">
        <f t="shared" si="32"/>
        <v>7.2562621542391088E-3</v>
      </c>
      <c r="L43" s="22">
        <f t="shared" si="33"/>
        <v>7.2562621542391088E-3</v>
      </c>
      <c r="M43" s="24">
        <f t="shared" si="34"/>
        <v>5.8472952545088712E-3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9"/>
        <v>50.364215850898532</v>
      </c>
      <c r="AB43" s="156">
        <f>Poor!AB43</f>
        <v>0.25</v>
      </c>
      <c r="AC43" s="147">
        <f t="shared" si="40"/>
        <v>50.364215850898532</v>
      </c>
      <c r="AD43" s="156">
        <f>Poor!AD43</f>
        <v>0.25</v>
      </c>
      <c r="AE43" s="147">
        <f t="shared" si="41"/>
        <v>50.364215850898532</v>
      </c>
      <c r="AF43" s="122">
        <f t="shared" si="28"/>
        <v>0.25</v>
      </c>
      <c r="AG43" s="147">
        <f t="shared" si="35"/>
        <v>50.364215850898532</v>
      </c>
      <c r="AH43" s="123">
        <f t="shared" si="36"/>
        <v>1</v>
      </c>
      <c r="AI43" s="112">
        <f t="shared" si="36"/>
        <v>201.45686340359413</v>
      </c>
      <c r="AJ43" s="148">
        <f t="shared" si="37"/>
        <v>100.72843170179706</v>
      </c>
      <c r="AK43" s="147">
        <f t="shared" si="38"/>
        <v>100.72843170179706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Groundnuts (dry): no. local meas</v>
      </c>
      <c r="B44" s="104">
        <f>IF([1]Summ!$H1079="",0,[1]Summ!$H1079)</f>
        <v>250</v>
      </c>
      <c r="C44" s="104">
        <f>IF([1]Summ!$I1079="",0,[1]Summ!$I1079)</f>
        <v>-250</v>
      </c>
      <c r="D44" s="38">
        <f t="shared" si="24"/>
        <v>0</v>
      </c>
      <c r="E44" s="75">
        <f>Poor!E44</f>
        <v>1</v>
      </c>
      <c r="F44" s="75">
        <f>Poor!F44</f>
        <v>1</v>
      </c>
      <c r="G44" s="75">
        <f>Poor!G44</f>
        <v>1</v>
      </c>
      <c r="H44" s="24">
        <f t="shared" si="29"/>
        <v>1</v>
      </c>
      <c r="I44" s="39">
        <f t="shared" si="30"/>
        <v>0</v>
      </c>
      <c r="J44" s="38">
        <f t="shared" si="31"/>
        <v>201.45686340359413</v>
      </c>
      <c r="K44" s="40">
        <f t="shared" si="32"/>
        <v>7.2562621542391088E-3</v>
      </c>
      <c r="L44" s="22">
        <f t="shared" si="33"/>
        <v>7.2562621542391088E-3</v>
      </c>
      <c r="M44" s="24">
        <f t="shared" si="34"/>
        <v>5.8472952545088712E-3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9"/>
        <v>50.364215850898532</v>
      </c>
      <c r="AB44" s="156">
        <f>Poor!AB44</f>
        <v>0.25</v>
      </c>
      <c r="AC44" s="147">
        <f t="shared" si="40"/>
        <v>50.364215850898532</v>
      </c>
      <c r="AD44" s="156">
        <f>Poor!AD44</f>
        <v>0.25</v>
      </c>
      <c r="AE44" s="147">
        <f t="shared" si="41"/>
        <v>50.364215850898532</v>
      </c>
      <c r="AF44" s="122">
        <f t="shared" si="28"/>
        <v>0.25</v>
      </c>
      <c r="AG44" s="147">
        <f t="shared" si="35"/>
        <v>50.364215850898532</v>
      </c>
      <c r="AH44" s="123">
        <f t="shared" si="36"/>
        <v>1</v>
      </c>
      <c r="AI44" s="112">
        <f t="shared" si="36"/>
        <v>201.45686340359413</v>
      </c>
      <c r="AJ44" s="148">
        <f t="shared" si="37"/>
        <v>100.72843170179706</v>
      </c>
      <c r="AK44" s="147">
        <f t="shared" si="38"/>
        <v>100.72843170179706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Irish potato: type</v>
      </c>
      <c r="B45" s="104">
        <f>IF([1]Summ!$H1080="",0,[1]Summ!$H1080)</f>
        <v>772</v>
      </c>
      <c r="C45" s="104">
        <f>IF([1]Summ!$I1080="",0,[1]Summ!$I1080)</f>
        <v>-772</v>
      </c>
      <c r="D45" s="38">
        <f t="shared" si="24"/>
        <v>0</v>
      </c>
      <c r="E45" s="75">
        <f>Poor!E45</f>
        <v>1</v>
      </c>
      <c r="F45" s="75">
        <f>Poor!F45</f>
        <v>1</v>
      </c>
      <c r="G45" s="75">
        <f>Poor!G45</f>
        <v>1</v>
      </c>
      <c r="H45" s="24">
        <f t="shared" si="29"/>
        <v>1</v>
      </c>
      <c r="I45" s="39">
        <f t="shared" si="30"/>
        <v>0</v>
      </c>
      <c r="J45" s="38">
        <f t="shared" si="31"/>
        <v>622.09879419029869</v>
      </c>
      <c r="K45" s="40">
        <f t="shared" si="32"/>
        <v>2.2407337532290367E-2</v>
      </c>
      <c r="L45" s="22">
        <f t="shared" si="33"/>
        <v>2.2407337532290367E-2</v>
      </c>
      <c r="M45" s="24">
        <f t="shared" si="34"/>
        <v>1.8056447745923392E-2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9"/>
        <v>155.52469854757467</v>
      </c>
      <c r="AB45" s="156">
        <f>Poor!AB45</f>
        <v>0.25</v>
      </c>
      <c r="AC45" s="147">
        <f t="shared" si="40"/>
        <v>155.52469854757467</v>
      </c>
      <c r="AD45" s="156">
        <f>Poor!AD45</f>
        <v>0.25</v>
      </c>
      <c r="AE45" s="147">
        <f t="shared" si="41"/>
        <v>155.52469854757467</v>
      </c>
      <c r="AF45" s="122">
        <f t="shared" si="28"/>
        <v>0.25</v>
      </c>
      <c r="AG45" s="147">
        <f t="shared" si="35"/>
        <v>155.52469854757467</v>
      </c>
      <c r="AH45" s="123">
        <f t="shared" si="36"/>
        <v>1</v>
      </c>
      <c r="AI45" s="112">
        <f t="shared" si="36"/>
        <v>622.09879419029869</v>
      </c>
      <c r="AJ45" s="148">
        <f t="shared" si="37"/>
        <v>311.04939709514935</v>
      </c>
      <c r="AK45" s="147">
        <f t="shared" si="38"/>
        <v>311.04939709514935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Yam: type</v>
      </c>
      <c r="B46" s="104">
        <f>IF([1]Summ!$H1081="",0,[1]Summ!$H1081)</f>
        <v>400</v>
      </c>
      <c r="C46" s="104">
        <f>IF([1]Summ!$I1081="",0,[1]Summ!$I1081)</f>
        <v>0</v>
      </c>
      <c r="D46" s="38">
        <f t="shared" si="24"/>
        <v>400</v>
      </c>
      <c r="E46" s="75">
        <f>Poor!E46</f>
        <v>1</v>
      </c>
      <c r="F46" s="75">
        <f>Poor!F46</f>
        <v>1</v>
      </c>
      <c r="G46" s="75">
        <f>Poor!G46</f>
        <v>1</v>
      </c>
      <c r="H46" s="24">
        <f t="shared" si="29"/>
        <v>1</v>
      </c>
      <c r="I46" s="39">
        <f t="shared" si="30"/>
        <v>400</v>
      </c>
      <c r="J46" s="38">
        <f t="shared" si="31"/>
        <v>400</v>
      </c>
      <c r="K46" s="40">
        <f t="shared" si="32"/>
        <v>1.1610019446782574E-2</v>
      </c>
      <c r="L46" s="22">
        <f t="shared" si="33"/>
        <v>1.1610019446782574E-2</v>
      </c>
      <c r="M46" s="24">
        <f t="shared" si="34"/>
        <v>1.1610019446782574E-2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9"/>
        <v>100</v>
      </c>
      <c r="AB46" s="156">
        <f>Poor!AB46</f>
        <v>0.25</v>
      </c>
      <c r="AC46" s="147">
        <f t="shared" si="40"/>
        <v>100</v>
      </c>
      <c r="AD46" s="156">
        <f>Poor!AD46</f>
        <v>0.25</v>
      </c>
      <c r="AE46" s="147">
        <f t="shared" si="41"/>
        <v>100</v>
      </c>
      <c r="AF46" s="122">
        <f t="shared" si="28"/>
        <v>0.25</v>
      </c>
      <c r="AG46" s="147">
        <f t="shared" si="35"/>
        <v>100</v>
      </c>
      <c r="AH46" s="123">
        <f t="shared" si="36"/>
        <v>1</v>
      </c>
      <c r="AI46" s="112">
        <f t="shared" si="36"/>
        <v>400</v>
      </c>
      <c r="AJ46" s="148">
        <f t="shared" si="37"/>
        <v>200</v>
      </c>
      <c r="AK46" s="147">
        <f t="shared" si="38"/>
        <v>200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Spinach (cash): kg produced</v>
      </c>
      <c r="B47" s="104">
        <f>IF([1]Summ!$H1082="",0,[1]Summ!$H1082)</f>
        <v>100</v>
      </c>
      <c r="C47" s="104">
        <f>IF([1]Summ!$I1082="",0,[1]Summ!$I1082)</f>
        <v>0</v>
      </c>
      <c r="D47" s="38">
        <f t="shared" si="24"/>
        <v>100</v>
      </c>
      <c r="E47" s="75">
        <f>Poor!E47</f>
        <v>1</v>
      </c>
      <c r="F47" s="75">
        <f>Poor!F47</f>
        <v>1</v>
      </c>
      <c r="G47" s="75">
        <f>Poor!G47</f>
        <v>1</v>
      </c>
      <c r="H47" s="24">
        <f t="shared" si="29"/>
        <v>1</v>
      </c>
      <c r="I47" s="39">
        <f t="shared" si="30"/>
        <v>100</v>
      </c>
      <c r="J47" s="38">
        <f t="shared" si="31"/>
        <v>100</v>
      </c>
      <c r="K47" s="40">
        <f t="shared" si="32"/>
        <v>2.9025048616956434E-3</v>
      </c>
      <c r="L47" s="22">
        <f t="shared" si="33"/>
        <v>2.9025048616956434E-3</v>
      </c>
      <c r="M47" s="24">
        <f t="shared" si="34"/>
        <v>2.9025048616956434E-3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9"/>
        <v>25</v>
      </c>
      <c r="AB47" s="156">
        <f>Poor!AB47</f>
        <v>0.25</v>
      </c>
      <c r="AC47" s="147">
        <f t="shared" si="40"/>
        <v>25</v>
      </c>
      <c r="AD47" s="156">
        <f>Poor!AD47</f>
        <v>0.25</v>
      </c>
      <c r="AE47" s="147">
        <f t="shared" si="41"/>
        <v>25</v>
      </c>
      <c r="AF47" s="122">
        <f t="shared" si="28"/>
        <v>0.25</v>
      </c>
      <c r="AG47" s="147">
        <f t="shared" si="35"/>
        <v>25</v>
      </c>
      <c r="AH47" s="123">
        <f t="shared" si="36"/>
        <v>1</v>
      </c>
      <c r="AI47" s="112">
        <f t="shared" si="36"/>
        <v>100</v>
      </c>
      <c r="AJ47" s="148">
        <f t="shared" si="37"/>
        <v>50</v>
      </c>
      <c r="AK47" s="147">
        <f t="shared" si="38"/>
        <v>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Tomatoes (cash): kg produced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4"/>
        <v>0</v>
      </c>
      <c r="E48" s="75">
        <f>Poor!E48</f>
        <v>1</v>
      </c>
      <c r="F48" s="75">
        <f>Poor!F48</f>
        <v>1</v>
      </c>
      <c r="G48" s="75">
        <f>Poor!G48</f>
        <v>1</v>
      </c>
      <c r="H48" s="24">
        <f t="shared" si="29"/>
        <v>1</v>
      </c>
      <c r="I48" s="39">
        <f t="shared" si="30"/>
        <v>0</v>
      </c>
      <c r="J48" s="38">
        <f t="shared" si="31"/>
        <v>0</v>
      </c>
      <c r="K48" s="40">
        <f t="shared" si="32"/>
        <v>0</v>
      </c>
      <c r="L48" s="22">
        <f t="shared" si="33"/>
        <v>0</v>
      </c>
      <c r="M48" s="24">
        <f t="shared" si="34"/>
        <v>0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9"/>
        <v>0</v>
      </c>
      <c r="AB48" s="156">
        <f>Poor!AB48</f>
        <v>0.25</v>
      </c>
      <c r="AC48" s="147">
        <f t="shared" si="40"/>
        <v>0</v>
      </c>
      <c r="AD48" s="156">
        <f>Poor!AD48</f>
        <v>0.25</v>
      </c>
      <c r="AE48" s="147">
        <f t="shared" si="41"/>
        <v>0</v>
      </c>
      <c r="AF48" s="122">
        <f t="shared" si="28"/>
        <v>0.25</v>
      </c>
      <c r="AG48" s="147">
        <f t="shared" si="35"/>
        <v>0</v>
      </c>
      <c r="AH48" s="123">
        <f t="shared" si="36"/>
        <v>1</v>
      </c>
      <c r="AI48" s="112">
        <f t="shared" si="36"/>
        <v>0</v>
      </c>
      <c r="AJ48" s="148">
        <f t="shared" si="37"/>
        <v>0</v>
      </c>
      <c r="AK48" s="147">
        <f t="shared" si="38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Cabbage (cash): kg produced</v>
      </c>
      <c r="B49" s="104">
        <f>IF([1]Summ!$H1084="",0,[1]Summ!$H1084)</f>
        <v>0</v>
      </c>
      <c r="C49" s="104">
        <f>IF([1]Summ!$I1084="",0,[1]Summ!$I1084)</f>
        <v>0</v>
      </c>
      <c r="D49" s="38">
        <f t="shared" si="24"/>
        <v>0</v>
      </c>
      <c r="E49" s="75">
        <f>Poor!E49</f>
        <v>1</v>
      </c>
      <c r="F49" s="75">
        <f>Poor!F49</f>
        <v>1</v>
      </c>
      <c r="G49" s="75">
        <f>Poor!G49</f>
        <v>1</v>
      </c>
      <c r="H49" s="24">
        <f t="shared" si="29"/>
        <v>1</v>
      </c>
      <c r="I49" s="39">
        <f t="shared" si="30"/>
        <v>0</v>
      </c>
      <c r="J49" s="38">
        <f t="shared" si="31"/>
        <v>0</v>
      </c>
      <c r="K49" s="40">
        <f t="shared" si="32"/>
        <v>0</v>
      </c>
      <c r="L49" s="22">
        <f t="shared" si="33"/>
        <v>0</v>
      </c>
      <c r="M49" s="24">
        <f t="shared" si="34"/>
        <v>0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9"/>
        <v>0</v>
      </c>
      <c r="AB49" s="156">
        <f>Poor!AB49</f>
        <v>0.25</v>
      </c>
      <c r="AC49" s="147">
        <f t="shared" si="40"/>
        <v>0</v>
      </c>
      <c r="AD49" s="156">
        <f>Poor!AD49</f>
        <v>0.25</v>
      </c>
      <c r="AE49" s="147">
        <f t="shared" si="41"/>
        <v>0</v>
      </c>
      <c r="AF49" s="122">
        <f t="shared" si="28"/>
        <v>0.25</v>
      </c>
      <c r="AG49" s="147">
        <f t="shared" si="35"/>
        <v>0</v>
      </c>
      <c r="AH49" s="123">
        <f t="shared" si="36"/>
        <v>1</v>
      </c>
      <c r="AI49" s="112">
        <f t="shared" si="36"/>
        <v>0</v>
      </c>
      <c r="AJ49" s="148">
        <f t="shared" si="37"/>
        <v>0</v>
      </c>
      <c r="AK49" s="147">
        <f t="shared" si="38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Agricultural cash income -- see Data2</v>
      </c>
      <c r="B50" s="104">
        <f>IF([1]Summ!$H1085="",0,[1]Summ!$H1085)</f>
        <v>752</v>
      </c>
      <c r="C50" s="104">
        <f>IF([1]Summ!$I1085="",0,[1]Summ!$I1085)</f>
        <v>0</v>
      </c>
      <c r="D50" s="38">
        <f t="shared" si="24"/>
        <v>752</v>
      </c>
      <c r="E50" s="75">
        <f>Poor!E50</f>
        <v>1</v>
      </c>
      <c r="F50" s="75">
        <f>Poor!F50</f>
        <v>1</v>
      </c>
      <c r="G50" s="75">
        <f>Poor!G50</f>
        <v>1</v>
      </c>
      <c r="H50" s="24">
        <f t="shared" si="29"/>
        <v>1</v>
      </c>
      <c r="I50" s="39">
        <f t="shared" si="30"/>
        <v>752</v>
      </c>
      <c r="J50" s="38">
        <f t="shared" si="31"/>
        <v>752</v>
      </c>
      <c r="K50" s="40">
        <f t="shared" si="32"/>
        <v>2.1826836559951237E-2</v>
      </c>
      <c r="L50" s="22">
        <f t="shared" si="33"/>
        <v>2.1826836559951237E-2</v>
      </c>
      <c r="M50" s="24">
        <f t="shared" si="34"/>
        <v>2.1826836559951237E-2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9"/>
        <v>188</v>
      </c>
      <c r="AB50" s="156">
        <f>Poor!AB55</f>
        <v>0.25</v>
      </c>
      <c r="AC50" s="147">
        <f t="shared" si="40"/>
        <v>188</v>
      </c>
      <c r="AD50" s="156">
        <f>Poor!AD55</f>
        <v>0.25</v>
      </c>
      <c r="AE50" s="147">
        <f t="shared" si="41"/>
        <v>188</v>
      </c>
      <c r="AF50" s="122">
        <f t="shared" si="28"/>
        <v>0.25</v>
      </c>
      <c r="AG50" s="147">
        <f t="shared" si="35"/>
        <v>188</v>
      </c>
      <c r="AH50" s="123">
        <f t="shared" si="36"/>
        <v>1</v>
      </c>
      <c r="AI50" s="112">
        <f t="shared" si="36"/>
        <v>752</v>
      </c>
      <c r="AJ50" s="148">
        <f t="shared" si="37"/>
        <v>376</v>
      </c>
      <c r="AK50" s="147">
        <f t="shared" si="38"/>
        <v>376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Labour migration(formal employment): no. people per HH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4"/>
        <v>0</v>
      </c>
      <c r="E51" s="75">
        <f>Poor!E51</f>
        <v>1</v>
      </c>
      <c r="F51" s="75">
        <f>Poor!F51</f>
        <v>1</v>
      </c>
      <c r="G51" s="75">
        <f>Poor!G51</f>
        <v>1</v>
      </c>
      <c r="H51" s="24">
        <f t="shared" si="29"/>
        <v>1</v>
      </c>
      <c r="I51" s="39">
        <f t="shared" si="30"/>
        <v>0</v>
      </c>
      <c r="J51" s="38">
        <f t="shared" si="31"/>
        <v>0</v>
      </c>
      <c r="K51" s="40">
        <f t="shared" si="32"/>
        <v>0</v>
      </c>
      <c r="L51" s="22">
        <f t="shared" si="33"/>
        <v>0</v>
      </c>
      <c r="M51" s="24">
        <f t="shared" si="34"/>
        <v>0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9"/>
        <v>0</v>
      </c>
      <c r="AB51" s="156">
        <f>Poor!AB56</f>
        <v>0.25</v>
      </c>
      <c r="AC51" s="147">
        <f t="shared" si="40"/>
        <v>0</v>
      </c>
      <c r="AD51" s="156">
        <f>Poor!AD56</f>
        <v>0.25</v>
      </c>
      <c r="AE51" s="147">
        <f t="shared" si="41"/>
        <v>0</v>
      </c>
      <c r="AF51" s="122">
        <f t="shared" si="28"/>
        <v>0.25</v>
      </c>
      <c r="AG51" s="147">
        <f t="shared" si="35"/>
        <v>0</v>
      </c>
      <c r="AH51" s="123">
        <f t="shared" si="36"/>
        <v>1</v>
      </c>
      <c r="AI51" s="112">
        <f t="shared" si="36"/>
        <v>0</v>
      </c>
      <c r="AJ51" s="148">
        <f t="shared" si="37"/>
        <v>0</v>
      </c>
      <c r="AK51" s="147">
        <f t="shared" si="38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Formal Employment (conservancies, etc.)</v>
      </c>
      <c r="B52" s="104">
        <f>IF([1]Summ!$H1087="",0,[1]Summ!$H1087)</f>
        <v>0</v>
      </c>
      <c r="C52" s="104">
        <f>IF([1]Summ!$I1087="",0,[1]Summ!$I1087)</f>
        <v>0</v>
      </c>
      <c r="D52" s="38">
        <f t="shared" si="24"/>
        <v>0</v>
      </c>
      <c r="E52" s="75">
        <f>Poor!E52</f>
        <v>1</v>
      </c>
      <c r="F52" s="75">
        <f>Poor!F52</f>
        <v>1</v>
      </c>
      <c r="G52" s="75">
        <f>Poor!G52</f>
        <v>1</v>
      </c>
      <c r="H52" s="24">
        <f t="shared" si="29"/>
        <v>1</v>
      </c>
      <c r="I52" s="39">
        <f t="shared" si="30"/>
        <v>0</v>
      </c>
      <c r="J52" s="38">
        <f t="shared" si="31"/>
        <v>0</v>
      </c>
      <c r="K52" s="40">
        <f t="shared" si="32"/>
        <v>0</v>
      </c>
      <c r="L52" s="22">
        <f t="shared" si="33"/>
        <v>0</v>
      </c>
      <c r="M52" s="24">
        <f t="shared" si="34"/>
        <v>0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9"/>
        <v>0</v>
      </c>
      <c r="AB52" s="156">
        <f>Poor!AB57</f>
        <v>0.25</v>
      </c>
      <c r="AC52" s="147">
        <f t="shared" si="40"/>
        <v>0</v>
      </c>
      <c r="AD52" s="156">
        <f>Poor!AD57</f>
        <v>0.25</v>
      </c>
      <c r="AE52" s="147">
        <f t="shared" si="41"/>
        <v>0</v>
      </c>
      <c r="AF52" s="122">
        <f t="shared" si="28"/>
        <v>0.25</v>
      </c>
      <c r="AG52" s="147">
        <f t="shared" si="35"/>
        <v>0</v>
      </c>
      <c r="AH52" s="123">
        <f t="shared" si="36"/>
        <v>1</v>
      </c>
      <c r="AI52" s="112">
        <f t="shared" si="36"/>
        <v>0</v>
      </c>
      <c r="AJ52" s="148">
        <f t="shared" si="37"/>
        <v>0</v>
      </c>
      <c r="AK52" s="147">
        <f t="shared" si="38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>Self-employment -- see Data2</v>
      </c>
      <c r="B53" s="104">
        <f>IF([1]Summ!$H1088="",0,[1]Summ!$H1088)</f>
        <v>429</v>
      </c>
      <c r="C53" s="104">
        <f>IF([1]Summ!$I1088="",0,[1]Summ!$I1088)</f>
        <v>85.799999999999955</v>
      </c>
      <c r="D53" s="38">
        <f t="shared" si="24"/>
        <v>514.79999999999995</v>
      </c>
      <c r="E53" s="75">
        <f>Poor!E53</f>
        <v>1</v>
      </c>
      <c r="F53" s="75">
        <f>Poor!F53</f>
        <v>1</v>
      </c>
      <c r="G53" s="75">
        <f>Poor!G53</f>
        <v>1</v>
      </c>
      <c r="H53" s="24">
        <f t="shared" si="29"/>
        <v>1</v>
      </c>
      <c r="I53" s="39">
        <f t="shared" si="30"/>
        <v>514.79999999999995</v>
      </c>
      <c r="J53" s="38">
        <f t="shared" si="31"/>
        <v>445.66000447988648</v>
      </c>
      <c r="K53" s="40">
        <f t="shared" si="32"/>
        <v>1.245174585667431E-2</v>
      </c>
      <c r="L53" s="22">
        <f t="shared" si="33"/>
        <v>1.245174585667431E-2</v>
      </c>
      <c r="M53" s="24">
        <f t="shared" si="34"/>
        <v>1.2935303296661727E-2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>Small business -- see Data2</v>
      </c>
      <c r="B54" s="104">
        <f>IF([1]Summ!$H1089="",0,[1]Summ!$H1089)</f>
        <v>2160</v>
      </c>
      <c r="C54" s="104">
        <f>IF([1]Summ!$I1089="",0,[1]Summ!$I1089)</f>
        <v>0</v>
      </c>
      <c r="D54" s="38">
        <f t="shared" si="24"/>
        <v>2160</v>
      </c>
      <c r="E54" s="75">
        <f>Poor!E54</f>
        <v>1</v>
      </c>
      <c r="F54" s="75">
        <f>Poor!F54</f>
        <v>1</v>
      </c>
      <c r="G54" s="75">
        <f>Poor!G54</f>
        <v>1</v>
      </c>
      <c r="H54" s="24">
        <f t="shared" si="29"/>
        <v>1</v>
      </c>
      <c r="I54" s="39">
        <f t="shared" si="30"/>
        <v>2160</v>
      </c>
      <c r="J54" s="38">
        <f t="shared" si="31"/>
        <v>2160</v>
      </c>
      <c r="K54" s="40">
        <f t="shared" si="32"/>
        <v>6.26941050126259E-2</v>
      </c>
      <c r="L54" s="22">
        <f t="shared" si="33"/>
        <v>6.26941050126259E-2</v>
      </c>
      <c r="M54" s="24">
        <f t="shared" si="34"/>
        <v>6.26941050126259E-2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>Social development -- see Data2</v>
      </c>
      <c r="B55" s="104">
        <f>IF([1]Summ!$H1090="",0,[1]Summ!$H1090)</f>
        <v>22020</v>
      </c>
      <c r="C55" s="104">
        <f>IF([1]Summ!$I1090="",0,[1]Summ!$I1090)</f>
        <v>0</v>
      </c>
      <c r="D55" s="38">
        <f t="shared" si="24"/>
        <v>22020</v>
      </c>
      <c r="E55" s="75">
        <f>Poor!E55</f>
        <v>1</v>
      </c>
      <c r="F55" s="75">
        <f>Poor!F55</f>
        <v>1</v>
      </c>
      <c r="G55" s="75">
        <f>Poor!G55</f>
        <v>1</v>
      </c>
      <c r="H55" s="24">
        <f t="shared" si="29"/>
        <v>1</v>
      </c>
      <c r="I55" s="39">
        <f t="shared" si="30"/>
        <v>22020</v>
      </c>
      <c r="J55" s="38">
        <f t="shared" si="31"/>
        <v>22020</v>
      </c>
      <c r="K55" s="40">
        <f t="shared" si="32"/>
        <v>0.63913157054538061</v>
      </c>
      <c r="L55" s="22">
        <f t="shared" si="33"/>
        <v>0.63913157054538061</v>
      </c>
      <c r="M55" s="24">
        <f t="shared" si="34"/>
        <v>0.63913157054538061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>Public works -- see Data2</v>
      </c>
      <c r="B56" s="104">
        <f>IF([1]Summ!$H1091="",0,[1]Summ!$H1091)</f>
        <v>371</v>
      </c>
      <c r="C56" s="104">
        <f>IF([1]Summ!$I1091="",0,[1]Summ!$I1091)</f>
        <v>0</v>
      </c>
      <c r="D56" s="38">
        <f t="shared" si="24"/>
        <v>371</v>
      </c>
      <c r="E56" s="75">
        <f>Poor!E56</f>
        <v>1</v>
      </c>
      <c r="F56" s="75">
        <f>Poor!F56</f>
        <v>1</v>
      </c>
      <c r="G56" s="75">
        <f>Poor!G56</f>
        <v>1</v>
      </c>
      <c r="H56" s="24">
        <f t="shared" si="29"/>
        <v>1</v>
      </c>
      <c r="I56" s="39">
        <f t="shared" si="30"/>
        <v>371</v>
      </c>
      <c r="J56" s="38">
        <f t="shared" si="31"/>
        <v>371</v>
      </c>
      <c r="K56" s="40">
        <f t="shared" si="32"/>
        <v>1.0768293036890838E-2</v>
      </c>
      <c r="L56" s="22">
        <f t="shared" si="33"/>
        <v>1.0768293036890838E-2</v>
      </c>
      <c r="M56" s="24">
        <f t="shared" si="34"/>
        <v>1.0768293036890838E-2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>Other income: e.g. Credit (cotton loans)</v>
      </c>
      <c r="B57" s="104">
        <f>IF([1]Summ!$H1092="",0,[1]Summ!$H1092)</f>
        <v>1600</v>
      </c>
      <c r="C57" s="104">
        <f>IF([1]Summ!$I1092="",0,[1]Summ!$I1092)</f>
        <v>0</v>
      </c>
      <c r="D57" s="38">
        <f t="shared" si="24"/>
        <v>1600</v>
      </c>
      <c r="E57" s="75">
        <f>Poor!E57</f>
        <v>1</v>
      </c>
      <c r="F57" s="75">
        <f>Poor!F57</f>
        <v>1</v>
      </c>
      <c r="G57" s="75">
        <f>Poor!G57</f>
        <v>1</v>
      </c>
      <c r="H57" s="24">
        <f t="shared" si="29"/>
        <v>1</v>
      </c>
      <c r="I57" s="39">
        <f t="shared" si="30"/>
        <v>1600</v>
      </c>
      <c r="J57" s="38">
        <f t="shared" si="31"/>
        <v>1600</v>
      </c>
      <c r="K57" s="40">
        <f t="shared" si="32"/>
        <v>4.6440077787130295E-2</v>
      </c>
      <c r="L57" s="22">
        <f t="shared" si="33"/>
        <v>4.6440077787130295E-2</v>
      </c>
      <c r="M57" s="24">
        <f t="shared" si="34"/>
        <v>4.6440077787130295E-2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4"/>
        <v>0</v>
      </c>
      <c r="E58" s="75">
        <f>Poor!E58</f>
        <v>1</v>
      </c>
      <c r="F58" s="75">
        <f>Poor!F58</f>
        <v>1</v>
      </c>
      <c r="G58" s="75">
        <f>Poor!G58</f>
        <v>1</v>
      </c>
      <c r="H58" s="24">
        <f t="shared" si="29"/>
        <v>1</v>
      </c>
      <c r="I58" s="39">
        <f t="shared" si="30"/>
        <v>0</v>
      </c>
      <c r="J58" s="38">
        <f t="shared" si="31"/>
        <v>0</v>
      </c>
      <c r="K58" s="40">
        <f t="shared" si="32"/>
        <v>0</v>
      </c>
      <c r="L58" s="22">
        <f t="shared" si="33"/>
        <v>0</v>
      </c>
      <c r="M58" s="24">
        <f t="shared" si="34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9"/>
        <v>0</v>
      </c>
      <c r="AB58" s="156">
        <f>Poor!AB58</f>
        <v>0.25</v>
      </c>
      <c r="AC58" s="147">
        <f t="shared" si="40"/>
        <v>0</v>
      </c>
      <c r="AD58" s="156">
        <f>Poor!AD58</f>
        <v>0.25</v>
      </c>
      <c r="AE58" s="147">
        <f t="shared" si="41"/>
        <v>0</v>
      </c>
      <c r="AF58" s="122">
        <f t="shared" si="28"/>
        <v>0.25</v>
      </c>
      <c r="AG58" s="147">
        <f t="shared" si="35"/>
        <v>0</v>
      </c>
      <c r="AH58" s="123">
        <f t="shared" si="36"/>
        <v>1</v>
      </c>
      <c r="AI58" s="112">
        <f t="shared" si="36"/>
        <v>0</v>
      </c>
      <c r="AJ58" s="148">
        <f t="shared" si="37"/>
        <v>0</v>
      </c>
      <c r="AK58" s="147">
        <f t="shared" si="38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4"/>
        <v>0</v>
      </c>
      <c r="E59" s="75">
        <f>Poor!E59</f>
        <v>1</v>
      </c>
      <c r="F59" s="75">
        <f>Poor!F59</f>
        <v>1</v>
      </c>
      <c r="G59" s="75">
        <f>Poor!G59</f>
        <v>1</v>
      </c>
      <c r="H59" s="24">
        <f t="shared" si="29"/>
        <v>1</v>
      </c>
      <c r="I59" s="39">
        <f t="shared" si="30"/>
        <v>0</v>
      </c>
      <c r="J59" s="38">
        <f t="shared" si="31"/>
        <v>0</v>
      </c>
      <c r="K59" s="40">
        <f t="shared" si="32"/>
        <v>0</v>
      </c>
      <c r="L59" s="22">
        <f t="shared" si="33"/>
        <v>0</v>
      </c>
      <c r="M59" s="24">
        <f t="shared" si="34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9"/>
        <v>0</v>
      </c>
      <c r="AB59" s="156">
        <f>Poor!AB59</f>
        <v>0.25</v>
      </c>
      <c r="AC59" s="147">
        <f t="shared" si="40"/>
        <v>0</v>
      </c>
      <c r="AD59" s="156">
        <f>Poor!AD59</f>
        <v>0.25</v>
      </c>
      <c r="AE59" s="147">
        <f t="shared" si="41"/>
        <v>0</v>
      </c>
      <c r="AF59" s="122">
        <f t="shared" si="28"/>
        <v>0.25</v>
      </c>
      <c r="AG59" s="147">
        <f t="shared" si="35"/>
        <v>0</v>
      </c>
      <c r="AH59" s="123">
        <f t="shared" ref="AH59:AI64" si="42">SUM(Z59,AB59,AD59,AF59)</f>
        <v>1</v>
      </c>
      <c r="AI59" s="112">
        <f t="shared" si="42"/>
        <v>0</v>
      </c>
      <c r="AJ59" s="148">
        <f t="shared" si="37"/>
        <v>0</v>
      </c>
      <c r="AK59" s="147">
        <f t="shared" si="38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4"/>
        <v>0</v>
      </c>
      <c r="E60" s="75">
        <f>Poor!E60</f>
        <v>1</v>
      </c>
      <c r="F60" s="75">
        <f>Poor!F60</f>
        <v>1</v>
      </c>
      <c r="G60" s="75">
        <f>Poor!G60</f>
        <v>1</v>
      </c>
      <c r="H60" s="24">
        <f t="shared" si="29"/>
        <v>1</v>
      </c>
      <c r="I60" s="39">
        <f t="shared" si="30"/>
        <v>0</v>
      </c>
      <c r="J60" s="38">
        <f t="shared" si="31"/>
        <v>0</v>
      </c>
      <c r="K60" s="40">
        <f t="shared" si="32"/>
        <v>0</v>
      </c>
      <c r="L60" s="22">
        <f t="shared" si="33"/>
        <v>0</v>
      </c>
      <c r="M60" s="24">
        <f t="shared" si="34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9"/>
        <v>0</v>
      </c>
      <c r="AB60" s="156">
        <f>Poor!AB60</f>
        <v>0.25</v>
      </c>
      <c r="AC60" s="147">
        <f t="shared" si="40"/>
        <v>0</v>
      </c>
      <c r="AD60" s="156">
        <f>Poor!AD60</f>
        <v>0.25</v>
      </c>
      <c r="AE60" s="147">
        <f t="shared" si="41"/>
        <v>0</v>
      </c>
      <c r="AF60" s="122">
        <f t="shared" si="28"/>
        <v>0.25</v>
      </c>
      <c r="AG60" s="147">
        <f t="shared" si="35"/>
        <v>0</v>
      </c>
      <c r="AH60" s="123">
        <f t="shared" si="42"/>
        <v>1</v>
      </c>
      <c r="AI60" s="112">
        <f t="shared" si="42"/>
        <v>0</v>
      </c>
      <c r="AJ60" s="148">
        <f t="shared" si="37"/>
        <v>0</v>
      </c>
      <c r="AK60" s="147">
        <f t="shared" si="38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4"/>
        <v>0</v>
      </c>
      <c r="E61" s="75">
        <f>Poor!E61</f>
        <v>1</v>
      </c>
      <c r="F61" s="75">
        <f>Poor!F61</f>
        <v>1</v>
      </c>
      <c r="G61" s="75">
        <f>Poor!G61</f>
        <v>1</v>
      </c>
      <c r="H61" s="24">
        <f t="shared" si="29"/>
        <v>1</v>
      </c>
      <c r="I61" s="39">
        <f t="shared" si="30"/>
        <v>0</v>
      </c>
      <c r="J61" s="38">
        <f t="shared" si="31"/>
        <v>0</v>
      </c>
      <c r="K61" s="40">
        <f t="shared" si="32"/>
        <v>0</v>
      </c>
      <c r="L61" s="22">
        <f t="shared" si="33"/>
        <v>0</v>
      </c>
      <c r="M61" s="24">
        <f t="shared" si="34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9"/>
        <v>0</v>
      </c>
      <c r="AB61" s="156">
        <f>Poor!AB61</f>
        <v>0.25</v>
      </c>
      <c r="AC61" s="147">
        <f t="shared" si="40"/>
        <v>0</v>
      </c>
      <c r="AD61" s="156">
        <f>Poor!AD61</f>
        <v>0.25</v>
      </c>
      <c r="AE61" s="147">
        <f t="shared" si="41"/>
        <v>0</v>
      </c>
      <c r="AF61" s="122">
        <f t="shared" si="28"/>
        <v>0.25</v>
      </c>
      <c r="AG61" s="147">
        <f t="shared" si="35"/>
        <v>0</v>
      </c>
      <c r="AH61" s="123">
        <f t="shared" si="42"/>
        <v>1</v>
      </c>
      <c r="AI61" s="112">
        <f t="shared" si="42"/>
        <v>0</v>
      </c>
      <c r="AJ61" s="148">
        <f t="shared" si="37"/>
        <v>0</v>
      </c>
      <c r="AK61" s="147">
        <f t="shared" si="38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4"/>
        <v>0</v>
      </c>
      <c r="E62" s="75">
        <f>Poor!E62</f>
        <v>1</v>
      </c>
      <c r="F62" s="75">
        <f>Poor!F62</f>
        <v>1</v>
      </c>
      <c r="G62" s="75">
        <f>Poor!G62</f>
        <v>1</v>
      </c>
      <c r="H62" s="24">
        <f t="shared" si="29"/>
        <v>1</v>
      </c>
      <c r="I62" s="39">
        <f t="shared" si="30"/>
        <v>0</v>
      </c>
      <c r="J62" s="38">
        <f t="shared" si="31"/>
        <v>0</v>
      </c>
      <c r="K62" s="40">
        <f t="shared" si="32"/>
        <v>0</v>
      </c>
      <c r="L62" s="22">
        <f t="shared" si="33"/>
        <v>0</v>
      </c>
      <c r="M62" s="24">
        <f t="shared" si="34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9"/>
        <v>0</v>
      </c>
      <c r="AB62" s="156">
        <f>Poor!AB62</f>
        <v>0.25</v>
      </c>
      <c r="AC62" s="147">
        <f t="shared" si="40"/>
        <v>0</v>
      </c>
      <c r="AD62" s="156">
        <f>Poor!AD62</f>
        <v>0.25</v>
      </c>
      <c r="AE62" s="147">
        <f t="shared" si="41"/>
        <v>0</v>
      </c>
      <c r="AF62" s="122">
        <f t="shared" si="28"/>
        <v>0.25</v>
      </c>
      <c r="AG62" s="147">
        <f t="shared" si="35"/>
        <v>0</v>
      </c>
      <c r="AH62" s="123">
        <f t="shared" si="42"/>
        <v>1</v>
      </c>
      <c r="AI62" s="112">
        <f t="shared" si="42"/>
        <v>0</v>
      </c>
      <c r="AJ62" s="148">
        <f t="shared" si="37"/>
        <v>0</v>
      </c>
      <c r="AK62" s="147">
        <f t="shared" si="38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4"/>
        <v>0</v>
      </c>
      <c r="E63" s="75">
        <f>Poor!E63</f>
        <v>1</v>
      </c>
      <c r="F63" s="75">
        <f>Poor!F63</f>
        <v>1</v>
      </c>
      <c r="G63" s="75">
        <f>Poor!G63</f>
        <v>1</v>
      </c>
      <c r="H63" s="24">
        <f t="shared" si="29"/>
        <v>1</v>
      </c>
      <c r="I63" s="39">
        <f t="shared" si="30"/>
        <v>0</v>
      </c>
      <c r="J63" s="38">
        <f t="shared" si="31"/>
        <v>0</v>
      </c>
      <c r="K63" s="40">
        <f t="shared" si="32"/>
        <v>0</v>
      </c>
      <c r="L63" s="22">
        <f t="shared" si="33"/>
        <v>0</v>
      </c>
      <c r="M63" s="24">
        <f t="shared" si="34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9"/>
        <v>0</v>
      </c>
      <c r="AB63" s="156">
        <f>Poor!AB63</f>
        <v>0.25</v>
      </c>
      <c r="AC63" s="147">
        <f t="shared" si="40"/>
        <v>0</v>
      </c>
      <c r="AD63" s="156">
        <f>Poor!AD63</f>
        <v>0.25</v>
      </c>
      <c r="AE63" s="147">
        <f t="shared" si="41"/>
        <v>0</v>
      </c>
      <c r="AF63" s="122">
        <f t="shared" si="28"/>
        <v>0.25</v>
      </c>
      <c r="AG63" s="147">
        <f t="shared" si="35"/>
        <v>0</v>
      </c>
      <c r="AH63" s="123">
        <f t="shared" si="42"/>
        <v>1</v>
      </c>
      <c r="AI63" s="112">
        <f t="shared" si="42"/>
        <v>0</v>
      </c>
      <c r="AJ63" s="148">
        <f t="shared" si="37"/>
        <v>0</v>
      </c>
      <c r="AK63" s="147">
        <f t="shared" si="38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4"/>
        <v>0</v>
      </c>
      <c r="E64" s="75">
        <f>Poor!E64</f>
        <v>1</v>
      </c>
      <c r="F64" s="75">
        <f>Poor!F64</f>
        <v>1</v>
      </c>
      <c r="G64" s="75">
        <f>Poor!G64</f>
        <v>1</v>
      </c>
      <c r="H64" s="24">
        <f t="shared" si="29"/>
        <v>1</v>
      </c>
      <c r="I64" s="39">
        <f t="shared" si="30"/>
        <v>0</v>
      </c>
      <c r="J64" s="38">
        <f t="shared" si="31"/>
        <v>0</v>
      </c>
      <c r="K64" s="40">
        <f t="shared" si="32"/>
        <v>0</v>
      </c>
      <c r="L64" s="22">
        <f t="shared" si="33"/>
        <v>0</v>
      </c>
      <c r="M64" s="24">
        <f t="shared" si="34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9"/>
        <v>0</v>
      </c>
      <c r="AB64" s="156">
        <f>Poor!AB64</f>
        <v>0.25</v>
      </c>
      <c r="AC64" s="149">
        <f t="shared" si="40"/>
        <v>0</v>
      </c>
      <c r="AD64" s="156">
        <f>Poor!AD64</f>
        <v>0.25</v>
      </c>
      <c r="AE64" s="149">
        <f t="shared" si="41"/>
        <v>0</v>
      </c>
      <c r="AF64" s="150">
        <f t="shared" si="28"/>
        <v>0.25</v>
      </c>
      <c r="AG64" s="149">
        <f t="shared" si="35"/>
        <v>0</v>
      </c>
      <c r="AH64" s="123">
        <f t="shared" si="42"/>
        <v>1</v>
      </c>
      <c r="AI64" s="112">
        <f t="shared" si="42"/>
        <v>0</v>
      </c>
      <c r="AJ64" s="151">
        <f t="shared" si="37"/>
        <v>0</v>
      </c>
      <c r="AK64" s="149">
        <f t="shared" si="38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34453</v>
      </c>
      <c r="C65" s="39">
        <f>SUM(C37:C64)</f>
        <v>1027.3</v>
      </c>
      <c r="D65" s="42">
        <f>SUM(D37:D64)</f>
        <v>35480.300000000003</v>
      </c>
      <c r="E65" s="32"/>
      <c r="F65" s="32"/>
      <c r="G65" s="32"/>
      <c r="H65" s="31"/>
      <c r="I65" s="39">
        <f>SUM(I37:I64)</f>
        <v>35480.300000000003</v>
      </c>
      <c r="J65" s="39">
        <f>SUM(J37:J64)</f>
        <v>34652.473456901949</v>
      </c>
      <c r="K65" s="40">
        <f>SUM(K37:K64)</f>
        <v>1</v>
      </c>
      <c r="L65" s="22">
        <f>SUM(L37:L64)</f>
        <v>1</v>
      </c>
      <c r="M65" s="24">
        <f>SUM(M37:M64)</f>
        <v>1.0057897267843714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3394.7822374042034</v>
      </c>
      <c r="AB65" s="137"/>
      <c r="AC65" s="153">
        <f>SUM(AC37:AC64)</f>
        <v>1803.0902912411775</v>
      </c>
      <c r="AD65" s="137"/>
      <c r="AE65" s="153">
        <f>SUM(AE37:AE64)</f>
        <v>619.71946134765494</v>
      </c>
      <c r="AF65" s="137"/>
      <c r="AG65" s="153">
        <f>SUM(AG37:AG64)</f>
        <v>2238.2214624290291</v>
      </c>
      <c r="AH65" s="137"/>
      <c r="AI65" s="153">
        <f>SUM(AI37:AI64)</f>
        <v>8055.8134524220641</v>
      </c>
      <c r="AJ65" s="153">
        <f>SUM(AJ37:AJ64)</f>
        <v>5197.8725286453819</v>
      </c>
      <c r="AK65" s="153">
        <f>SUM(AK37:AK64)</f>
        <v>2857.940923776684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13579.12894961681</v>
      </c>
      <c r="C70" s="39"/>
      <c r="D70" s="38"/>
      <c r="E70" s="75">
        <f>Poor!E70</f>
        <v>1</v>
      </c>
      <c r="F70" s="75">
        <f>Poor!F70</f>
        <v>1</v>
      </c>
      <c r="G70" s="22"/>
      <c r="H70" s="24">
        <f>(E70*F70)</f>
        <v>1</v>
      </c>
      <c r="I70" s="39">
        <f>I124*I$83</f>
        <v>13579.128949616812</v>
      </c>
      <c r="J70" s="51">
        <f t="shared" ref="J70:J77" si="43">J124*I$83</f>
        <v>13579.128949616812</v>
      </c>
      <c r="K70" s="40">
        <f>B70/B$76</f>
        <v>0.39413487793854846</v>
      </c>
      <c r="L70" s="22">
        <f t="shared" ref="L70:L75" si="44">(L124*G$37*F$9/F$7)/B$130</f>
        <v>0.39413487793854857</v>
      </c>
      <c r="M70" s="24">
        <f>J70/B$76</f>
        <v>0.39413487793854851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3394.782237404203</v>
      </c>
      <c r="AB70" s="156">
        <f>Poor!AB70</f>
        <v>0.25</v>
      </c>
      <c r="AC70" s="147">
        <f>$J70*AB70</f>
        <v>3394.782237404203</v>
      </c>
      <c r="AD70" s="156">
        <f>Poor!AD70</f>
        <v>0.25</v>
      </c>
      <c r="AE70" s="147">
        <f>$J70*AD70</f>
        <v>3394.782237404203</v>
      </c>
      <c r="AF70" s="156">
        <f>Poor!AF70</f>
        <v>0.25</v>
      </c>
      <c r="AG70" s="147">
        <f>$J70*AF70</f>
        <v>3394.782237404203</v>
      </c>
      <c r="AH70" s="155">
        <f>SUM(Z70,AB70,AD70,AF70)</f>
        <v>1</v>
      </c>
      <c r="AI70" s="147">
        <f>SUM(AA70,AC70,AE70,AG70)</f>
        <v>13579.128949616812</v>
      </c>
      <c r="AJ70" s="148">
        <f>(AA70+AC70)</f>
        <v>6789.564474808406</v>
      </c>
      <c r="AK70" s="147">
        <f>(AE70+AG70)</f>
        <v>6789.564474808406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13978.666666666668</v>
      </c>
      <c r="C71" s="39"/>
      <c r="D71" s="38"/>
      <c r="E71" s="75">
        <f>Poor!E71</f>
        <v>1</v>
      </c>
      <c r="F71" s="75">
        <f>Poor!F71</f>
        <v>1</v>
      </c>
      <c r="G71" s="22"/>
      <c r="H71" s="24">
        <f t="shared" ref="H71:H72" si="45">(E71*F71)</f>
        <v>1</v>
      </c>
      <c r="I71" s="39">
        <f>I125*I$83</f>
        <v>13978.666666666666</v>
      </c>
      <c r="J71" s="51">
        <f t="shared" si="43"/>
        <v>13978.666666666666</v>
      </c>
      <c r="K71" s="40">
        <f t="shared" ref="K71:K72" si="46">B71/B$76</f>
        <v>0.40573147960022837</v>
      </c>
      <c r="L71" s="22">
        <f t="shared" si="44"/>
        <v>0.40573147960022837</v>
      </c>
      <c r="M71" s="24">
        <f t="shared" ref="M71:M72" si="47">J71/B$76</f>
        <v>0.40573147960022832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27744</v>
      </c>
      <c r="C72" s="39"/>
      <c r="D72" s="38"/>
      <c r="E72" s="75">
        <f>Poor!E72</f>
        <v>1</v>
      </c>
      <c r="F72" s="75">
        <f>Poor!F72</f>
        <v>1</v>
      </c>
      <c r="G72" s="22"/>
      <c r="H72" s="24">
        <f t="shared" si="45"/>
        <v>1</v>
      </c>
      <c r="I72" s="39">
        <f>I126*I$83</f>
        <v>0</v>
      </c>
      <c r="J72" s="51">
        <f t="shared" si="43"/>
        <v>4555.4910723974936</v>
      </c>
      <c r="K72" s="40">
        <f t="shared" si="46"/>
        <v>0.80527094882883932</v>
      </c>
      <c r="L72" s="22">
        <f t="shared" si="44"/>
        <v>0.11883143445682025</v>
      </c>
      <c r="M72" s="24">
        <f t="shared" si="47"/>
        <v>0.13222334985044826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7510</v>
      </c>
      <c r="C73" s="39"/>
      <c r="D73" s="38"/>
      <c r="E73" s="75">
        <f>Poor!E73</f>
        <v>1</v>
      </c>
      <c r="F73" s="75">
        <f>Poor!F73</f>
        <v>1</v>
      </c>
      <c r="G73" s="22"/>
      <c r="H73" s="24">
        <f>(E73*F73)</f>
        <v>1</v>
      </c>
      <c r="I73" s="39">
        <f>I127*I$83</f>
        <v>0</v>
      </c>
      <c r="J73" s="51">
        <f t="shared" si="43"/>
        <v>0</v>
      </c>
      <c r="K73" s="40">
        <f>B73/B$76</f>
        <v>0.21797811511334281</v>
      </c>
      <c r="L73" s="22">
        <f t="shared" si="44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675.9</v>
      </c>
      <c r="AB73" s="156">
        <f>Poor!AB73</f>
        <v>0.09</v>
      </c>
      <c r="AC73" s="147">
        <f>$H$73*$B$73*AB73</f>
        <v>675.9</v>
      </c>
      <c r="AD73" s="156">
        <f>Poor!AD73</f>
        <v>0.23</v>
      </c>
      <c r="AE73" s="147">
        <f>$H$73*$B$73*AD73</f>
        <v>1727.3000000000002</v>
      </c>
      <c r="AF73" s="156">
        <f>Poor!AF73</f>
        <v>0.59</v>
      </c>
      <c r="AG73" s="147">
        <f>$H$73*$B$73*AF73</f>
        <v>4430.8999999999996</v>
      </c>
      <c r="AH73" s="155">
        <f>SUM(Z73,AB73,AD73,AF73)</f>
        <v>1</v>
      </c>
      <c r="AI73" s="147">
        <f>SUM(AA73,AC73,AE73,AG73)</f>
        <v>7510</v>
      </c>
      <c r="AJ73" s="148">
        <f>(AA73+AC73)</f>
        <v>1351.8</v>
      </c>
      <c r="AK73" s="147">
        <f>(AE73+AG73)</f>
        <v>6158.2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2801.104972375691</v>
      </c>
      <c r="C74" s="39"/>
      <c r="D74" s="38"/>
      <c r="E74" s="32"/>
      <c r="F74" s="32"/>
      <c r="G74" s="32"/>
      <c r="H74" s="31"/>
      <c r="I74" s="39">
        <f>I128*I$83</f>
        <v>21901.171050383186</v>
      </c>
      <c r="J74" s="51">
        <f t="shared" si="43"/>
        <v>2539.1867682209781</v>
      </c>
      <c r="K74" s="40">
        <f>B74/B$76</f>
        <v>8.130220800440284E-2</v>
      </c>
      <c r="L74" s="22">
        <f t="shared" si="44"/>
        <v>8.130220800440284E-2</v>
      </c>
      <c r="M74" s="24">
        <f>J74/B$76</f>
        <v>7.3700019395146379E-2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0</v>
      </c>
      <c r="AB74" s="156"/>
      <c r="AC74" s="147">
        <f>AC30*$I$84/4</f>
        <v>-1591.691946163025</v>
      </c>
      <c r="AD74" s="156"/>
      <c r="AE74" s="147">
        <f>AE30*$I$84/4</f>
        <v>-2775.062776056548</v>
      </c>
      <c r="AF74" s="156"/>
      <c r="AG74" s="147">
        <f>AG30*$I$84/4</f>
        <v>-1156.5607749751739</v>
      </c>
      <c r="AH74" s="155"/>
      <c r="AI74" s="147">
        <f>SUM(AA74,AC74,AE74,AG74)</f>
        <v>-5523.3154971947479</v>
      </c>
      <c r="AJ74" s="148">
        <f>(AA74+AC74)</f>
        <v>-1591.691946163025</v>
      </c>
      <c r="AK74" s="147">
        <f>(AE74+AG74)</f>
        <v>-3931.6235510317219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3"/>
        <v>-6.0233062586636187E-12</v>
      </c>
      <c r="K75" s="40">
        <f>B75/B$76</f>
        <v>0</v>
      </c>
      <c r="L75" s="22">
        <f t="shared" si="44"/>
        <v>0</v>
      </c>
      <c r="M75" s="24">
        <f>J75/B$76</f>
        <v>-1.7482675699252949E-16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4.5474735088646412E-13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34453</v>
      </c>
      <c r="C76" s="39"/>
      <c r="D76" s="38"/>
      <c r="E76" s="32"/>
      <c r="F76" s="32"/>
      <c r="G76" s="32"/>
      <c r="H76" s="31"/>
      <c r="I76" s="39">
        <f>I130*I$83</f>
        <v>35480.299999999996</v>
      </c>
      <c r="J76" s="51">
        <f t="shared" si="43"/>
        <v>34652.473456901949</v>
      </c>
      <c r="K76" s="40">
        <f>SUM(K70:K75)</f>
        <v>1.9044176294853619</v>
      </c>
      <c r="L76" s="22">
        <f>SUM(L70:L75)</f>
        <v>1</v>
      </c>
      <c r="M76" s="24">
        <f>SUM(M70:M75)</f>
        <v>1.0057897267843712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3394.7822374042034</v>
      </c>
      <c r="AB76" s="137"/>
      <c r="AC76" s="153">
        <f>AC65</f>
        <v>1803.0902912411775</v>
      </c>
      <c r="AD76" s="137"/>
      <c r="AE76" s="153">
        <f>AE65</f>
        <v>619.71946134765494</v>
      </c>
      <c r="AF76" s="137"/>
      <c r="AG76" s="153">
        <f>AG65</f>
        <v>2238.2214624290291</v>
      </c>
      <c r="AH76" s="137"/>
      <c r="AI76" s="153">
        <f>SUM(AA76,AC76,AE76,AG76)</f>
        <v>8055.813452422065</v>
      </c>
      <c r="AJ76" s="154">
        <f>SUM(AA76,AC76)</f>
        <v>5197.872528645381</v>
      </c>
      <c r="AK76" s="154">
        <f>SUM(AE76,AG76)</f>
        <v>2857.940923776684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13978.666666666666</v>
      </c>
      <c r="J77" s="100">
        <f t="shared" si="43"/>
        <v>0</v>
      </c>
      <c r="K77" s="40"/>
      <c r="L77" s="22">
        <f>-(L131*G$37*F$9/F$7)/B$130</f>
        <v>-0.28690004514340817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1591.691946163025</v>
      </c>
      <c r="AD77" s="112"/>
      <c r="AE77" s="111">
        <f>AE31*$I$84/4</f>
        <v>2775.062776056548</v>
      </c>
      <c r="AF77" s="112"/>
      <c r="AG77" s="111">
        <f>AG31*$I$84/4</f>
        <v>191.1948440293352</v>
      </c>
      <c r="AH77" s="110"/>
      <c r="AI77" s="154">
        <f>SUM(AA77,AC77,AE77,AG77)</f>
        <v>4557.9495662489089</v>
      </c>
      <c r="AJ77" s="153">
        <f>SUM(AA77,AC77)</f>
        <v>1591.691946163025</v>
      </c>
      <c r="AK77" s="160">
        <f>SUM(AE77,AG77)</f>
        <v>2966.2576200858834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4.5474735088646412E-13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34" t="str">
        <f>[1]Summ!$H1037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4.5474735088646412E-13</v>
      </c>
      <c r="AB79" s="112"/>
      <c r="AC79" s="112">
        <f>AA79-AA74+AC65-AC70</f>
        <v>-1591.691946163025</v>
      </c>
      <c r="AD79" s="112"/>
      <c r="AE79" s="112">
        <f>AC79-AC74+AE65-AE70</f>
        <v>-2775.062776056548</v>
      </c>
      <c r="AF79" s="112"/>
      <c r="AG79" s="112">
        <f>AE79-AE74+AG65-AG70</f>
        <v>-1156.5607749751739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[1]Summ!$H1039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6781.6399555139624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6781.6399555139624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4264.9563055690251</v>
      </c>
      <c r="AB83" s="112"/>
      <c r="AC83" s="165">
        <f>$I$84*AB82/4</f>
        <v>4264.9563055690251</v>
      </c>
      <c r="AD83" s="112"/>
      <c r="AE83" s="165">
        <f>$I$84*AD82/4</f>
        <v>4264.9563055690251</v>
      </c>
      <c r="AF83" s="112"/>
      <c r="AG83" s="165">
        <f>$I$84*AF82/4</f>
        <v>4264.9563055690251</v>
      </c>
      <c r="AH83" s="165">
        <f>SUM(AA83,AC83,AE83,AG83)</f>
        <v>17059.8252222761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17059.8252222761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17059.8252222761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8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8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49">(B37/$B$83)</f>
        <v>0.29491391656288918</v>
      </c>
      <c r="C91" s="75">
        <f t="shared" si="49"/>
        <v>0</v>
      </c>
      <c r="D91" s="24">
        <f t="shared" ref="D91" si="50">(B91+C91)</f>
        <v>0.29491391656288918</v>
      </c>
      <c r="H91" s="24">
        <f>(E37*F37/G37*F$7/F$9)</f>
        <v>1</v>
      </c>
      <c r="I91" s="22">
        <f t="shared" ref="I91" si="51">(D91*H91)</f>
        <v>0.29491391656288918</v>
      </c>
      <c r="J91" s="24">
        <f>IF(I$32&lt;=1+I$131,I91,L91+J$33*(I91-L91))</f>
        <v>0.29491391656288918</v>
      </c>
      <c r="K91" s="22">
        <f t="shared" ref="K91" si="52">(B91)</f>
        <v>0.29491391656288918</v>
      </c>
      <c r="L91" s="22">
        <f t="shared" ref="L91" si="53">(K91*H91)</f>
        <v>0.29491391656288918</v>
      </c>
      <c r="M91" s="231">
        <f t="shared" si="48"/>
        <v>0.29491391656288918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4">IF(A38="","",A38)</f>
        <v>Goat sales - local: no. sold</v>
      </c>
      <c r="B92" s="75">
        <f t="shared" si="49"/>
        <v>0.22118543742216687</v>
      </c>
      <c r="C92" s="75">
        <f t="shared" si="49"/>
        <v>0.14745695828144459</v>
      </c>
      <c r="D92" s="24">
        <f t="shared" ref="D92:D118" si="55">(B92+C92)</f>
        <v>0.36864239570361146</v>
      </c>
      <c r="H92" s="24">
        <f t="shared" ref="H92:H118" si="56">(E38*F38/G38*F$7/F$9)</f>
        <v>1</v>
      </c>
      <c r="I92" s="22">
        <f t="shared" ref="I92:I118" si="57">(D92*H92)</f>
        <v>0.36864239570361146</v>
      </c>
      <c r="J92" s="24">
        <f t="shared" ref="J92:J118" si="58">IF(I$32&lt;=1+I$131,I92,L92+J$33*(I92-L92))</f>
        <v>0.24981753049395361</v>
      </c>
      <c r="K92" s="22">
        <f t="shared" ref="K92:K118" si="59">(B92)</f>
        <v>0.22118543742216687</v>
      </c>
      <c r="L92" s="22">
        <f t="shared" ref="L92:L118" si="60">(K92*H92)</f>
        <v>0.22118543742216687</v>
      </c>
      <c r="M92" s="231">
        <f t="shared" ref="M92:M118" si="61">(J92)</f>
        <v>0.24981753049395361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4"/>
        <v>Chicken sales: no. sold</v>
      </c>
      <c r="B93" s="75">
        <f t="shared" si="49"/>
        <v>0</v>
      </c>
      <c r="C93" s="75">
        <f t="shared" si="49"/>
        <v>0</v>
      </c>
      <c r="D93" s="24">
        <f t="shared" si="55"/>
        <v>0</v>
      </c>
      <c r="H93" s="24">
        <f t="shared" si="56"/>
        <v>1</v>
      </c>
      <c r="I93" s="22">
        <f t="shared" si="57"/>
        <v>0</v>
      </c>
      <c r="J93" s="24">
        <f t="shared" si="58"/>
        <v>0</v>
      </c>
      <c r="K93" s="22">
        <f t="shared" si="59"/>
        <v>0</v>
      </c>
      <c r="L93" s="22">
        <f t="shared" si="60"/>
        <v>0</v>
      </c>
      <c r="M93" s="231">
        <f t="shared" si="61"/>
        <v>0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4"/>
        <v>Maize: kg produced</v>
      </c>
      <c r="B94" s="75">
        <f t="shared" si="49"/>
        <v>7.3728479140722294E-2</v>
      </c>
      <c r="C94" s="75">
        <f t="shared" si="49"/>
        <v>-7.3728479140722294E-2</v>
      </c>
      <c r="D94" s="24">
        <f t="shared" si="55"/>
        <v>0</v>
      </c>
      <c r="H94" s="24">
        <f t="shared" si="56"/>
        <v>1</v>
      </c>
      <c r="I94" s="22">
        <f t="shared" si="57"/>
        <v>0</v>
      </c>
      <c r="J94" s="24">
        <f t="shared" si="58"/>
        <v>5.9412432604828917E-2</v>
      </c>
      <c r="K94" s="22">
        <f t="shared" si="59"/>
        <v>7.3728479140722294E-2</v>
      </c>
      <c r="L94" s="22">
        <f t="shared" si="60"/>
        <v>7.3728479140722294E-2</v>
      </c>
      <c r="M94" s="231">
        <f t="shared" si="61"/>
        <v>5.9412432604828917E-2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4"/>
        <v>Beans: kg produced</v>
      </c>
      <c r="B95" s="75">
        <f t="shared" si="49"/>
        <v>0.18432119785180573</v>
      </c>
      <c r="C95" s="75">
        <f t="shared" si="49"/>
        <v>0.26726573688511829</v>
      </c>
      <c r="D95" s="24">
        <f t="shared" si="55"/>
        <v>0.45158693473692402</v>
      </c>
      <c r="H95" s="24">
        <f t="shared" si="56"/>
        <v>1</v>
      </c>
      <c r="I95" s="22">
        <f t="shared" si="57"/>
        <v>0.45158693473692402</v>
      </c>
      <c r="J95" s="24">
        <f t="shared" si="58"/>
        <v>0.2362168665444192</v>
      </c>
      <c r="K95" s="22">
        <f t="shared" si="59"/>
        <v>0.18432119785180573</v>
      </c>
      <c r="L95" s="22">
        <f t="shared" si="60"/>
        <v>0.18432119785180573</v>
      </c>
      <c r="M95" s="231">
        <f t="shared" si="61"/>
        <v>0.2362168665444192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4"/>
        <v>Water melon: no. local meas (Bhece)</v>
      </c>
      <c r="B96" s="75">
        <f t="shared" si="49"/>
        <v>1.4598238869863013E-2</v>
      </c>
      <c r="C96" s="75">
        <f t="shared" si="49"/>
        <v>-1.4598238869863013E-2</v>
      </c>
      <c r="D96" s="24">
        <f t="shared" si="55"/>
        <v>0</v>
      </c>
      <c r="H96" s="24">
        <f t="shared" si="56"/>
        <v>1</v>
      </c>
      <c r="I96" s="22">
        <f t="shared" si="57"/>
        <v>0</v>
      </c>
      <c r="J96" s="24">
        <f t="shared" si="58"/>
        <v>1.1763661655756125E-2</v>
      </c>
      <c r="K96" s="22">
        <f t="shared" si="59"/>
        <v>1.4598238869863013E-2</v>
      </c>
      <c r="L96" s="22">
        <f t="shared" si="60"/>
        <v>1.4598238869863013E-2</v>
      </c>
      <c r="M96" s="231">
        <f t="shared" si="61"/>
        <v>1.1763661655756125E-2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4"/>
        <v>Sweet poatato: no. local meas</v>
      </c>
      <c r="B97" s="75">
        <f t="shared" si="49"/>
        <v>3.6864239570361147E-2</v>
      </c>
      <c r="C97" s="75">
        <f t="shared" si="49"/>
        <v>-3.6864239570361147E-2</v>
      </c>
      <c r="D97" s="24">
        <f t="shared" si="55"/>
        <v>0</v>
      </c>
      <c r="H97" s="24">
        <f t="shared" si="56"/>
        <v>1</v>
      </c>
      <c r="I97" s="22">
        <f t="shared" si="57"/>
        <v>0</v>
      </c>
      <c r="J97" s="24">
        <f t="shared" si="58"/>
        <v>2.9706216302414459E-2</v>
      </c>
      <c r="K97" s="22">
        <f t="shared" si="59"/>
        <v>3.6864239570361147E-2</v>
      </c>
      <c r="L97" s="22">
        <f t="shared" si="60"/>
        <v>3.6864239570361147E-2</v>
      </c>
      <c r="M97" s="231">
        <f t="shared" si="61"/>
        <v>2.9706216302414459E-2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4"/>
        <v>Groundnuts (dry): no. local meas</v>
      </c>
      <c r="B98" s="75">
        <f t="shared" si="49"/>
        <v>3.6864239570361147E-2</v>
      </c>
      <c r="C98" s="75">
        <f t="shared" si="49"/>
        <v>-3.6864239570361147E-2</v>
      </c>
      <c r="D98" s="24">
        <f t="shared" si="55"/>
        <v>0</v>
      </c>
      <c r="H98" s="24">
        <f t="shared" si="56"/>
        <v>1</v>
      </c>
      <c r="I98" s="22">
        <f t="shared" si="57"/>
        <v>0</v>
      </c>
      <c r="J98" s="24">
        <f t="shared" si="58"/>
        <v>2.9706216302414459E-2</v>
      </c>
      <c r="K98" s="22">
        <f t="shared" si="59"/>
        <v>3.6864239570361147E-2</v>
      </c>
      <c r="L98" s="22">
        <f t="shared" si="60"/>
        <v>3.6864239570361147E-2</v>
      </c>
      <c r="M98" s="231">
        <f t="shared" si="61"/>
        <v>2.9706216302414459E-2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4"/>
        <v>Irish potato: type</v>
      </c>
      <c r="B99" s="75">
        <f t="shared" si="49"/>
        <v>0.11383677179327521</v>
      </c>
      <c r="C99" s="75">
        <f t="shared" si="49"/>
        <v>-0.11383677179327521</v>
      </c>
      <c r="D99" s="24">
        <f t="shared" si="55"/>
        <v>0</v>
      </c>
      <c r="H99" s="24">
        <f t="shared" si="56"/>
        <v>1</v>
      </c>
      <c r="I99" s="22">
        <f t="shared" si="57"/>
        <v>0</v>
      </c>
      <c r="J99" s="24">
        <f t="shared" si="58"/>
        <v>9.1732795941855849E-2</v>
      </c>
      <c r="K99" s="22">
        <f t="shared" si="59"/>
        <v>0.11383677179327521</v>
      </c>
      <c r="L99" s="22">
        <f t="shared" si="60"/>
        <v>0.11383677179327521</v>
      </c>
      <c r="M99" s="231">
        <f t="shared" si="61"/>
        <v>9.1732795941855849E-2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4"/>
        <v>Yam: type</v>
      </c>
      <c r="B100" s="75">
        <f t="shared" si="49"/>
        <v>5.8982783312577829E-2</v>
      </c>
      <c r="C100" s="75">
        <f t="shared" si="49"/>
        <v>0</v>
      </c>
      <c r="D100" s="24">
        <f t="shared" si="55"/>
        <v>5.8982783312577829E-2</v>
      </c>
      <c r="H100" s="24">
        <f t="shared" si="56"/>
        <v>1</v>
      </c>
      <c r="I100" s="22">
        <f t="shared" si="57"/>
        <v>5.8982783312577829E-2</v>
      </c>
      <c r="J100" s="24">
        <f t="shared" si="58"/>
        <v>5.8982783312577829E-2</v>
      </c>
      <c r="K100" s="22">
        <f t="shared" si="59"/>
        <v>5.8982783312577829E-2</v>
      </c>
      <c r="L100" s="22">
        <f t="shared" si="60"/>
        <v>5.8982783312577829E-2</v>
      </c>
      <c r="M100" s="231">
        <f t="shared" si="61"/>
        <v>5.8982783312577829E-2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4"/>
        <v>Spinach (cash): kg produced</v>
      </c>
      <c r="B101" s="75">
        <f t="shared" si="49"/>
        <v>1.4745695828144457E-2</v>
      </c>
      <c r="C101" s="75">
        <f t="shared" si="49"/>
        <v>0</v>
      </c>
      <c r="D101" s="24">
        <f t="shared" si="55"/>
        <v>1.4745695828144457E-2</v>
      </c>
      <c r="H101" s="24">
        <f t="shared" si="56"/>
        <v>1</v>
      </c>
      <c r="I101" s="22">
        <f t="shared" si="57"/>
        <v>1.4745695828144457E-2</v>
      </c>
      <c r="J101" s="24">
        <f t="shared" si="58"/>
        <v>1.4745695828144457E-2</v>
      </c>
      <c r="K101" s="22">
        <f t="shared" si="59"/>
        <v>1.4745695828144457E-2</v>
      </c>
      <c r="L101" s="22">
        <f t="shared" si="60"/>
        <v>1.4745695828144457E-2</v>
      </c>
      <c r="M101" s="231">
        <f t="shared" si="61"/>
        <v>1.4745695828144457E-2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4"/>
        <v>Tomatoes (cash): kg produced</v>
      </c>
      <c r="B102" s="75">
        <f t="shared" si="49"/>
        <v>0</v>
      </c>
      <c r="C102" s="75">
        <f t="shared" si="49"/>
        <v>0</v>
      </c>
      <c r="D102" s="24">
        <f t="shared" si="55"/>
        <v>0</v>
      </c>
      <c r="H102" s="24">
        <f t="shared" si="56"/>
        <v>1</v>
      </c>
      <c r="I102" s="22">
        <f t="shared" si="57"/>
        <v>0</v>
      </c>
      <c r="J102" s="24">
        <f t="shared" si="58"/>
        <v>0</v>
      </c>
      <c r="K102" s="22">
        <f t="shared" si="59"/>
        <v>0</v>
      </c>
      <c r="L102" s="22">
        <f t="shared" si="60"/>
        <v>0</v>
      </c>
      <c r="M102" s="231">
        <f t="shared" si="61"/>
        <v>0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4"/>
        <v>Cabbage (cash): kg produced</v>
      </c>
      <c r="B103" s="75">
        <f t="shared" si="49"/>
        <v>0</v>
      </c>
      <c r="C103" s="75">
        <f t="shared" si="49"/>
        <v>0</v>
      </c>
      <c r="D103" s="24">
        <f t="shared" si="55"/>
        <v>0</v>
      </c>
      <c r="H103" s="24">
        <f t="shared" si="56"/>
        <v>1</v>
      </c>
      <c r="I103" s="22">
        <f t="shared" si="57"/>
        <v>0</v>
      </c>
      <c r="J103" s="24">
        <f t="shared" si="58"/>
        <v>0</v>
      </c>
      <c r="K103" s="22">
        <f t="shared" si="59"/>
        <v>0</v>
      </c>
      <c r="L103" s="22">
        <f t="shared" si="60"/>
        <v>0</v>
      </c>
      <c r="M103" s="231">
        <f t="shared" si="61"/>
        <v>0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4"/>
        <v>Agricultural cash income -- see Data2</v>
      </c>
      <c r="B104" s="75">
        <f t="shared" si="49"/>
        <v>0.11088763262764632</v>
      </c>
      <c r="C104" s="75">
        <f t="shared" si="49"/>
        <v>0</v>
      </c>
      <c r="D104" s="24">
        <f t="shared" si="55"/>
        <v>0.11088763262764632</v>
      </c>
      <c r="H104" s="24">
        <f t="shared" si="56"/>
        <v>1</v>
      </c>
      <c r="I104" s="22">
        <f t="shared" si="57"/>
        <v>0.11088763262764632</v>
      </c>
      <c r="J104" s="24">
        <f t="shared" si="58"/>
        <v>0.11088763262764632</v>
      </c>
      <c r="K104" s="22">
        <f t="shared" si="59"/>
        <v>0.11088763262764632</v>
      </c>
      <c r="L104" s="22">
        <f t="shared" si="60"/>
        <v>0.11088763262764632</v>
      </c>
      <c r="M104" s="231">
        <f t="shared" si="61"/>
        <v>0.11088763262764632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4"/>
        <v>Labour migration(formal employment): no. people per HH</v>
      </c>
      <c r="B105" s="75">
        <f t="shared" si="49"/>
        <v>0</v>
      </c>
      <c r="C105" s="75">
        <f t="shared" si="49"/>
        <v>0</v>
      </c>
      <c r="D105" s="24">
        <f t="shared" si="55"/>
        <v>0</v>
      </c>
      <c r="H105" s="24">
        <f t="shared" si="56"/>
        <v>1</v>
      </c>
      <c r="I105" s="22">
        <f t="shared" si="57"/>
        <v>0</v>
      </c>
      <c r="J105" s="24">
        <f t="shared" si="58"/>
        <v>0</v>
      </c>
      <c r="K105" s="22">
        <f t="shared" si="59"/>
        <v>0</v>
      </c>
      <c r="L105" s="22">
        <f t="shared" si="60"/>
        <v>0</v>
      </c>
      <c r="M105" s="231">
        <f t="shared" si="61"/>
        <v>0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4"/>
        <v>Formal Employment (conservancies, etc.)</v>
      </c>
      <c r="B106" s="75">
        <f t="shared" si="49"/>
        <v>0</v>
      </c>
      <c r="C106" s="75">
        <f t="shared" si="49"/>
        <v>0</v>
      </c>
      <c r="D106" s="24">
        <f t="shared" si="55"/>
        <v>0</v>
      </c>
      <c r="H106" s="24">
        <f t="shared" si="56"/>
        <v>1</v>
      </c>
      <c r="I106" s="22">
        <f t="shared" si="57"/>
        <v>0</v>
      </c>
      <c r="J106" s="24">
        <f t="shared" si="58"/>
        <v>0</v>
      </c>
      <c r="K106" s="22">
        <f t="shared" si="59"/>
        <v>0</v>
      </c>
      <c r="L106" s="22">
        <f t="shared" si="60"/>
        <v>0</v>
      </c>
      <c r="M106" s="231">
        <f t="shared" si="61"/>
        <v>0</v>
      </c>
      <c r="N106" s="233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4"/>
        <v>Self-employment -- see Data2</v>
      </c>
      <c r="B107" s="75">
        <f t="shared" si="49"/>
        <v>6.3259035102739725E-2</v>
      </c>
      <c r="C107" s="75">
        <f t="shared" si="49"/>
        <v>1.2651807020547938E-2</v>
      </c>
      <c r="D107" s="24">
        <f t="shared" si="55"/>
        <v>7.5910842123287664E-2</v>
      </c>
      <c r="H107" s="24">
        <f t="shared" si="56"/>
        <v>1</v>
      </c>
      <c r="I107" s="22">
        <f t="shared" si="57"/>
        <v>7.5910842123287664E-2</v>
      </c>
      <c r="J107" s="24">
        <f t="shared" si="58"/>
        <v>6.571566868829902E-2</v>
      </c>
      <c r="K107" s="22">
        <f t="shared" si="59"/>
        <v>6.3259035102739725E-2</v>
      </c>
      <c r="L107" s="22">
        <f t="shared" si="60"/>
        <v>6.3259035102739725E-2</v>
      </c>
      <c r="M107" s="231">
        <f t="shared" si="61"/>
        <v>6.571566868829902E-2</v>
      </c>
      <c r="N107" s="233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4"/>
        <v>Small business -- see Data2</v>
      </c>
      <c r="B108" s="75">
        <f t="shared" si="49"/>
        <v>0.31850702988792029</v>
      </c>
      <c r="C108" s="75">
        <f t="shared" si="49"/>
        <v>0</v>
      </c>
      <c r="D108" s="24">
        <f t="shared" si="55"/>
        <v>0.31850702988792029</v>
      </c>
      <c r="H108" s="24">
        <f t="shared" si="56"/>
        <v>1</v>
      </c>
      <c r="I108" s="22">
        <f t="shared" si="57"/>
        <v>0.31850702988792029</v>
      </c>
      <c r="J108" s="24">
        <f t="shared" si="58"/>
        <v>0.31850702988792029</v>
      </c>
      <c r="K108" s="22">
        <f t="shared" si="59"/>
        <v>0.31850702988792029</v>
      </c>
      <c r="L108" s="22">
        <f t="shared" si="60"/>
        <v>0.31850702988792029</v>
      </c>
      <c r="M108" s="231">
        <f t="shared" si="61"/>
        <v>0.31850702988792029</v>
      </c>
      <c r="N108" s="233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4"/>
        <v>Social development -- see Data2</v>
      </c>
      <c r="B109" s="75">
        <f t="shared" si="49"/>
        <v>3.2470022213574095</v>
      </c>
      <c r="C109" s="75">
        <f t="shared" si="49"/>
        <v>0</v>
      </c>
      <c r="D109" s="24">
        <f t="shared" si="55"/>
        <v>3.2470022213574095</v>
      </c>
      <c r="H109" s="24">
        <f t="shared" si="56"/>
        <v>1</v>
      </c>
      <c r="I109" s="22">
        <f t="shared" si="57"/>
        <v>3.2470022213574095</v>
      </c>
      <c r="J109" s="24">
        <f t="shared" si="58"/>
        <v>3.2470022213574095</v>
      </c>
      <c r="K109" s="22">
        <f t="shared" si="59"/>
        <v>3.2470022213574095</v>
      </c>
      <c r="L109" s="22">
        <f t="shared" si="60"/>
        <v>3.2470022213574095</v>
      </c>
      <c r="M109" s="231">
        <f t="shared" si="61"/>
        <v>3.2470022213574095</v>
      </c>
      <c r="N109" s="233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4"/>
        <v>Public works -- see Data2</v>
      </c>
      <c r="B110" s="75">
        <f t="shared" si="49"/>
        <v>5.470653152241594E-2</v>
      </c>
      <c r="C110" s="75">
        <f t="shared" si="49"/>
        <v>0</v>
      </c>
      <c r="D110" s="24">
        <f t="shared" si="55"/>
        <v>5.470653152241594E-2</v>
      </c>
      <c r="H110" s="24">
        <f t="shared" si="56"/>
        <v>1</v>
      </c>
      <c r="I110" s="22">
        <f t="shared" si="57"/>
        <v>5.470653152241594E-2</v>
      </c>
      <c r="J110" s="24">
        <f t="shared" si="58"/>
        <v>5.470653152241594E-2</v>
      </c>
      <c r="K110" s="22">
        <f t="shared" si="59"/>
        <v>5.470653152241594E-2</v>
      </c>
      <c r="L110" s="22">
        <f t="shared" si="60"/>
        <v>5.470653152241594E-2</v>
      </c>
      <c r="M110" s="231">
        <f t="shared" si="61"/>
        <v>5.470653152241594E-2</v>
      </c>
      <c r="N110" s="233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4"/>
        <v>Other income: e.g. Credit (cotton loans)</v>
      </c>
      <c r="B111" s="75">
        <f t="shared" si="49"/>
        <v>0.23593113325031131</v>
      </c>
      <c r="C111" s="75">
        <f t="shared" si="49"/>
        <v>0</v>
      </c>
      <c r="D111" s="24">
        <f t="shared" si="55"/>
        <v>0.23593113325031131</v>
      </c>
      <c r="H111" s="24">
        <f t="shared" si="56"/>
        <v>1</v>
      </c>
      <c r="I111" s="22">
        <f t="shared" si="57"/>
        <v>0.23593113325031131</v>
      </c>
      <c r="J111" s="24">
        <f t="shared" si="58"/>
        <v>0.23593113325031131</v>
      </c>
      <c r="K111" s="22">
        <f t="shared" si="59"/>
        <v>0.23593113325031131</v>
      </c>
      <c r="L111" s="22">
        <f t="shared" si="60"/>
        <v>0.23593113325031131</v>
      </c>
      <c r="M111" s="231">
        <f t="shared" si="61"/>
        <v>0.23593113325031131</v>
      </c>
      <c r="N111" s="233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4"/>
        <v/>
      </c>
      <c r="B112" s="75">
        <f t="shared" si="49"/>
        <v>0</v>
      </c>
      <c r="C112" s="75">
        <f t="shared" si="49"/>
        <v>0</v>
      </c>
      <c r="D112" s="24">
        <f t="shared" si="55"/>
        <v>0</v>
      </c>
      <c r="H112" s="24">
        <f t="shared" si="56"/>
        <v>1</v>
      </c>
      <c r="I112" s="22">
        <f t="shared" si="57"/>
        <v>0</v>
      </c>
      <c r="J112" s="24">
        <f t="shared" si="58"/>
        <v>0</v>
      </c>
      <c r="K112" s="22">
        <f t="shared" si="59"/>
        <v>0</v>
      </c>
      <c r="L112" s="22">
        <f t="shared" si="60"/>
        <v>0</v>
      </c>
      <c r="M112" s="231">
        <f t="shared" si="61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4"/>
        <v/>
      </c>
      <c r="B113" s="75">
        <f t="shared" si="49"/>
        <v>0</v>
      </c>
      <c r="C113" s="75">
        <f t="shared" si="49"/>
        <v>0</v>
      </c>
      <c r="D113" s="24">
        <f t="shared" si="55"/>
        <v>0</v>
      </c>
      <c r="H113" s="24">
        <f t="shared" si="56"/>
        <v>1</v>
      </c>
      <c r="I113" s="22">
        <f t="shared" si="57"/>
        <v>0</v>
      </c>
      <c r="J113" s="24">
        <f t="shared" si="58"/>
        <v>0</v>
      </c>
      <c r="K113" s="22">
        <f t="shared" si="59"/>
        <v>0</v>
      </c>
      <c r="L113" s="22">
        <f t="shared" si="60"/>
        <v>0</v>
      </c>
      <c r="M113" s="231">
        <f t="shared" si="61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4"/>
        <v/>
      </c>
      <c r="B114" s="75">
        <f t="shared" si="49"/>
        <v>0</v>
      </c>
      <c r="C114" s="75">
        <f t="shared" si="49"/>
        <v>0</v>
      </c>
      <c r="D114" s="24">
        <f t="shared" si="55"/>
        <v>0</v>
      </c>
      <c r="H114" s="24">
        <f t="shared" si="56"/>
        <v>1</v>
      </c>
      <c r="I114" s="22">
        <f t="shared" si="57"/>
        <v>0</v>
      </c>
      <c r="J114" s="24">
        <f t="shared" si="58"/>
        <v>0</v>
      </c>
      <c r="K114" s="22">
        <f t="shared" si="59"/>
        <v>0</v>
      </c>
      <c r="L114" s="22">
        <f t="shared" si="60"/>
        <v>0</v>
      </c>
      <c r="M114" s="231">
        <f t="shared" si="61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4"/>
        <v/>
      </c>
      <c r="B115" s="75">
        <f t="shared" si="49"/>
        <v>0</v>
      </c>
      <c r="C115" s="75">
        <f t="shared" si="49"/>
        <v>0</v>
      </c>
      <c r="D115" s="24">
        <f t="shared" si="55"/>
        <v>0</v>
      </c>
      <c r="H115" s="24">
        <f t="shared" si="56"/>
        <v>1</v>
      </c>
      <c r="I115" s="22">
        <f t="shared" si="57"/>
        <v>0</v>
      </c>
      <c r="J115" s="24">
        <f t="shared" si="58"/>
        <v>0</v>
      </c>
      <c r="K115" s="22">
        <f t="shared" si="59"/>
        <v>0</v>
      </c>
      <c r="L115" s="22">
        <f t="shared" si="60"/>
        <v>0</v>
      </c>
      <c r="M115" s="231">
        <f t="shared" si="61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4"/>
        <v/>
      </c>
      <c r="B116" s="75">
        <f t="shared" si="49"/>
        <v>0</v>
      </c>
      <c r="C116" s="75">
        <f t="shared" si="49"/>
        <v>0</v>
      </c>
      <c r="D116" s="24">
        <f t="shared" si="55"/>
        <v>0</v>
      </c>
      <c r="H116" s="24">
        <f t="shared" si="56"/>
        <v>1</v>
      </c>
      <c r="I116" s="22">
        <f t="shared" si="57"/>
        <v>0</v>
      </c>
      <c r="J116" s="24">
        <f t="shared" si="58"/>
        <v>0</v>
      </c>
      <c r="K116" s="22">
        <f t="shared" si="59"/>
        <v>0</v>
      </c>
      <c r="L116" s="22">
        <f t="shared" si="60"/>
        <v>0</v>
      </c>
      <c r="M116" s="231">
        <f t="shared" si="61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4"/>
        <v/>
      </c>
      <c r="B117" s="75">
        <f t="shared" si="49"/>
        <v>0</v>
      </c>
      <c r="C117" s="75">
        <f t="shared" si="49"/>
        <v>0</v>
      </c>
      <c r="D117" s="24">
        <f t="shared" si="55"/>
        <v>0</v>
      </c>
      <c r="H117" s="24">
        <f t="shared" si="56"/>
        <v>1</v>
      </c>
      <c r="I117" s="22">
        <f t="shared" si="57"/>
        <v>0</v>
      </c>
      <c r="J117" s="24">
        <f t="shared" si="58"/>
        <v>0</v>
      </c>
      <c r="K117" s="22">
        <f t="shared" si="59"/>
        <v>0</v>
      </c>
      <c r="L117" s="22">
        <f t="shared" si="60"/>
        <v>0</v>
      </c>
      <c r="M117" s="231">
        <f t="shared" si="61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4"/>
        <v/>
      </c>
      <c r="B118" s="75">
        <f t="shared" si="49"/>
        <v>0</v>
      </c>
      <c r="C118" s="75">
        <f t="shared" si="49"/>
        <v>0</v>
      </c>
      <c r="D118" s="24">
        <f t="shared" si="55"/>
        <v>0</v>
      </c>
      <c r="H118" s="24">
        <f t="shared" si="56"/>
        <v>1</v>
      </c>
      <c r="I118" s="22">
        <f t="shared" si="57"/>
        <v>0</v>
      </c>
      <c r="J118" s="24">
        <f t="shared" si="58"/>
        <v>0</v>
      </c>
      <c r="K118" s="22">
        <f t="shared" si="59"/>
        <v>0</v>
      </c>
      <c r="L118" s="22">
        <f t="shared" si="60"/>
        <v>0</v>
      </c>
      <c r="M118" s="231">
        <f t="shared" si="61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5.0803345836706093</v>
      </c>
      <c r="C119" s="22">
        <f>SUM(C91:C118)</f>
        <v>0.15148253324252794</v>
      </c>
      <c r="D119" s="24">
        <f>SUM(D91:D118)</f>
        <v>5.2318171169131373</v>
      </c>
      <c r="E119" s="22"/>
      <c r="F119" s="2"/>
      <c r="G119" s="2"/>
      <c r="H119" s="31"/>
      <c r="I119" s="22">
        <f>SUM(I91:I118)</f>
        <v>5.2318171169131373</v>
      </c>
      <c r="J119" s="24">
        <f>SUM(J91:J118)</f>
        <v>5.1097483328832558</v>
      </c>
      <c r="K119" s="22">
        <f>SUM(K91:K118)</f>
        <v>5.0803345836706093</v>
      </c>
      <c r="L119" s="22">
        <f>SUM(L91:L118)</f>
        <v>5.0803345836706093</v>
      </c>
      <c r="M119" s="57">
        <f t="shared" si="48"/>
        <v>5.1097483328832558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2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2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2.0023370510220024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2.0023370510220024</v>
      </c>
      <c r="J124" s="241">
        <f>IF(SUMPRODUCT($B$124:$B124,$H$124:$H124)&lt;J$119,($B124*$H124),J$119)</f>
        <v>2.0023370510220024</v>
      </c>
      <c r="K124" s="22">
        <f>(B124)</f>
        <v>2.0023370510220024</v>
      </c>
      <c r="L124" s="29">
        <f>IF(SUMPRODUCT($B$124:$B124,$H$124:$H124)&lt;L$119,($B124*$H124),L$119)</f>
        <v>2.0023370510220024</v>
      </c>
      <c r="M124" s="57">
        <f t="shared" si="62"/>
        <v>2.0023370510220024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2.0612516674968866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2.0612516674968866</v>
      </c>
      <c r="J125" s="241">
        <f>IF(SUMPRODUCT($B$124:$B125,$H$124:$H125)&lt;J$119,($B125*$H125),IF(SUMPRODUCT($B$124:$B124,$H$124:$H124)&lt;J$119,J$119-SUMPRODUCT($B$124:$B124,$H$124:$H124),0))</f>
        <v>2.0612516674968866</v>
      </c>
      <c r="K125" s="22">
        <f t="shared" ref="K125:K126" si="63">(B125)</f>
        <v>2.0612516674968866</v>
      </c>
      <c r="L125" s="29">
        <f>IF(SUMPRODUCT($B$124:$B125,$H$124:$H125)&lt;L$119,($B125*$H125),IF(SUMPRODUCT($B$124:$B124,$H$124:$H124)&lt;L$119,L$119-SUMPRODUCT($B$124:$B124,$H$124:$H124),0))</f>
        <v>2.0612516674968866</v>
      </c>
      <c r="M125" s="57">
        <f t="shared" ref="M125:M126" si="64">(J125)</f>
        <v>2.0612516674968866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4.0910458505603984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0.67173885701401037</v>
      </c>
      <c r="K126" s="22">
        <f t="shared" si="63"/>
        <v>4.0910458505603984</v>
      </c>
      <c r="L126" s="29">
        <f>IF(SUMPRODUCT($B$124:$B126,$H$124:$H126)&lt;(L$119-L$128),($B126*$H126),IF(SUMPRODUCT($B$124:$B125,$H$124:$H125)&lt;(L$119-L$128),L$119-L$128-SUMPRODUCT($B$124:$B125,$H$124:$H125),0))</f>
        <v>0.60370344609817117</v>
      </c>
      <c r="M126" s="57">
        <f t="shared" si="64"/>
        <v>0.67173885701401037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1.1074017566936487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1.1074017566936487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2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0.41304241905354921</v>
      </c>
      <c r="C128" s="2"/>
      <c r="D128" s="31"/>
      <c r="E128" s="2"/>
      <c r="F128" s="2"/>
      <c r="G128" s="2"/>
      <c r="H128" s="24"/>
      <c r="I128" s="29">
        <f>(I30)</f>
        <v>3.2294800658911349</v>
      </c>
      <c r="J128" s="232">
        <f>(J30)</f>
        <v>0.37442075735035685</v>
      </c>
      <c r="K128" s="22">
        <f>(B128)</f>
        <v>0.41304241905354921</v>
      </c>
      <c r="L128" s="22">
        <f>IF(L124=L119,0,(L119-L124)/(B119-B124)*K128)</f>
        <v>0.41304241905354921</v>
      </c>
      <c r="M128" s="57">
        <f t="shared" si="62"/>
        <v>0.37442075735035685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-8.8817841970012523E-16</v>
      </c>
      <c r="K129" s="29">
        <f>(B129)</f>
        <v>0</v>
      </c>
      <c r="L129" s="60">
        <f>IF(SUM(L124:L128)&gt;L130,0,L130-SUM(L124:L128))</f>
        <v>0</v>
      </c>
      <c r="M129" s="57">
        <f t="shared" si="62"/>
        <v>-8.8817841970012523E-16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5.0803345836706093</v>
      </c>
      <c r="C130" s="2"/>
      <c r="D130" s="31"/>
      <c r="E130" s="2"/>
      <c r="F130" s="2"/>
      <c r="G130" s="2"/>
      <c r="H130" s="24"/>
      <c r="I130" s="29">
        <f>(I119)</f>
        <v>5.2318171169131373</v>
      </c>
      <c r="J130" s="232">
        <f>(J119)</f>
        <v>5.1097483328832558</v>
      </c>
      <c r="K130" s="22">
        <f>(B130)</f>
        <v>5.0803345836706093</v>
      </c>
      <c r="L130" s="22">
        <f>(L119)</f>
        <v>5.0803345836706093</v>
      </c>
      <c r="M130" s="57">
        <f t="shared" si="62"/>
        <v>5.1097483328832558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2.0612516674968866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1.4575482213987154</v>
      </c>
      <c r="M131" s="241">
        <f>IF(I131&lt;SUM(M126:M127),0,I131-(SUM(M126:M127)))</f>
        <v>1.3895128104828762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91" priority="113" operator="equal">
      <formula>16</formula>
    </cfRule>
    <cfRule type="cellIs" dxfId="190" priority="114" operator="equal">
      <formula>15</formula>
    </cfRule>
    <cfRule type="cellIs" dxfId="189" priority="115" operator="equal">
      <formula>14</formula>
    </cfRule>
    <cfRule type="cellIs" dxfId="188" priority="116" operator="equal">
      <formula>13</formula>
    </cfRule>
    <cfRule type="cellIs" dxfId="187" priority="117" operator="equal">
      <formula>12</formula>
    </cfRule>
    <cfRule type="cellIs" dxfId="186" priority="118" operator="equal">
      <formula>11</formula>
    </cfRule>
    <cfRule type="cellIs" dxfId="185" priority="119" operator="equal">
      <formula>10</formula>
    </cfRule>
    <cfRule type="cellIs" dxfId="184" priority="120" operator="equal">
      <formula>9</formula>
    </cfRule>
    <cfRule type="cellIs" dxfId="183" priority="121" operator="equal">
      <formula>8</formula>
    </cfRule>
    <cfRule type="cellIs" dxfId="182" priority="122" operator="equal">
      <formula>7</formula>
    </cfRule>
    <cfRule type="cellIs" dxfId="181" priority="123" operator="equal">
      <formula>6</formula>
    </cfRule>
    <cfRule type="cellIs" dxfId="180" priority="124" operator="equal">
      <formula>5</formula>
    </cfRule>
    <cfRule type="cellIs" dxfId="179" priority="125" operator="equal">
      <formula>4</formula>
    </cfRule>
    <cfRule type="cellIs" dxfId="178" priority="126" operator="equal">
      <formula>3</formula>
    </cfRule>
    <cfRule type="cellIs" dxfId="177" priority="127" operator="equal">
      <formula>2</formula>
    </cfRule>
    <cfRule type="cellIs" dxfId="176" priority="128" operator="equal">
      <formula>1</formula>
    </cfRule>
  </conditionalFormatting>
  <conditionalFormatting sqref="N29">
    <cfRule type="cellIs" dxfId="175" priority="97" operator="equal">
      <formula>16</formula>
    </cfRule>
    <cfRule type="cellIs" dxfId="174" priority="98" operator="equal">
      <formula>15</formula>
    </cfRule>
    <cfRule type="cellIs" dxfId="173" priority="99" operator="equal">
      <formula>14</formula>
    </cfRule>
    <cfRule type="cellIs" dxfId="172" priority="100" operator="equal">
      <formula>13</formula>
    </cfRule>
    <cfRule type="cellIs" dxfId="171" priority="101" operator="equal">
      <formula>12</formula>
    </cfRule>
    <cfRule type="cellIs" dxfId="170" priority="102" operator="equal">
      <formula>11</formula>
    </cfRule>
    <cfRule type="cellIs" dxfId="169" priority="103" operator="equal">
      <formula>10</formula>
    </cfRule>
    <cfRule type="cellIs" dxfId="168" priority="104" operator="equal">
      <formula>9</formula>
    </cfRule>
    <cfRule type="cellIs" dxfId="167" priority="105" operator="equal">
      <formula>8</formula>
    </cfRule>
    <cfRule type="cellIs" dxfId="166" priority="106" operator="equal">
      <formula>7</formula>
    </cfRule>
    <cfRule type="cellIs" dxfId="165" priority="107" operator="equal">
      <formula>6</formula>
    </cfRule>
    <cfRule type="cellIs" dxfId="164" priority="108" operator="equal">
      <formula>5</formula>
    </cfRule>
    <cfRule type="cellIs" dxfId="163" priority="109" operator="equal">
      <formula>4</formula>
    </cfRule>
    <cfRule type="cellIs" dxfId="162" priority="110" operator="equal">
      <formula>3</formula>
    </cfRule>
    <cfRule type="cellIs" dxfId="161" priority="111" operator="equal">
      <formula>2</formula>
    </cfRule>
    <cfRule type="cellIs" dxfId="160" priority="112" operator="equal">
      <formula>1</formula>
    </cfRule>
  </conditionalFormatting>
  <conditionalFormatting sqref="N113:N118">
    <cfRule type="cellIs" dxfId="159" priority="49" operator="equal">
      <formula>16</formula>
    </cfRule>
    <cfRule type="cellIs" dxfId="158" priority="50" operator="equal">
      <formula>15</formula>
    </cfRule>
    <cfRule type="cellIs" dxfId="157" priority="51" operator="equal">
      <formula>14</formula>
    </cfRule>
    <cfRule type="cellIs" dxfId="156" priority="52" operator="equal">
      <formula>13</formula>
    </cfRule>
    <cfRule type="cellIs" dxfId="155" priority="53" operator="equal">
      <formula>12</formula>
    </cfRule>
    <cfRule type="cellIs" dxfId="154" priority="54" operator="equal">
      <formula>11</formula>
    </cfRule>
    <cfRule type="cellIs" dxfId="153" priority="55" operator="equal">
      <formula>10</formula>
    </cfRule>
    <cfRule type="cellIs" dxfId="152" priority="56" operator="equal">
      <formula>9</formula>
    </cfRule>
    <cfRule type="cellIs" dxfId="151" priority="57" operator="equal">
      <formula>8</formula>
    </cfRule>
    <cfRule type="cellIs" dxfId="150" priority="58" operator="equal">
      <formula>7</formula>
    </cfRule>
    <cfRule type="cellIs" dxfId="149" priority="59" operator="equal">
      <formula>6</formula>
    </cfRule>
    <cfRule type="cellIs" dxfId="148" priority="60" operator="equal">
      <formula>5</formula>
    </cfRule>
    <cfRule type="cellIs" dxfId="147" priority="61" operator="equal">
      <formula>4</formula>
    </cfRule>
    <cfRule type="cellIs" dxfId="146" priority="62" operator="equal">
      <formula>3</formula>
    </cfRule>
    <cfRule type="cellIs" dxfId="145" priority="63" operator="equal">
      <formula>2</formula>
    </cfRule>
    <cfRule type="cellIs" dxfId="144" priority="64" operator="equal">
      <formula>1</formula>
    </cfRule>
  </conditionalFormatting>
  <conditionalFormatting sqref="N6:N28">
    <cfRule type="cellIs" dxfId="143" priority="33" operator="equal">
      <formula>16</formula>
    </cfRule>
    <cfRule type="cellIs" dxfId="142" priority="34" operator="equal">
      <formula>15</formula>
    </cfRule>
    <cfRule type="cellIs" dxfId="141" priority="35" operator="equal">
      <formula>14</formula>
    </cfRule>
    <cfRule type="cellIs" dxfId="140" priority="36" operator="equal">
      <formula>13</formula>
    </cfRule>
    <cfRule type="cellIs" dxfId="139" priority="37" operator="equal">
      <formula>12</formula>
    </cfRule>
    <cfRule type="cellIs" dxfId="138" priority="38" operator="equal">
      <formula>11</formula>
    </cfRule>
    <cfRule type="cellIs" dxfId="137" priority="39" operator="equal">
      <formula>10</formula>
    </cfRule>
    <cfRule type="cellIs" dxfId="136" priority="40" operator="equal">
      <formula>9</formula>
    </cfRule>
    <cfRule type="cellIs" dxfId="135" priority="41" operator="equal">
      <formula>8</formula>
    </cfRule>
    <cfRule type="cellIs" dxfId="134" priority="42" operator="equal">
      <formula>7</formula>
    </cfRule>
    <cfRule type="cellIs" dxfId="133" priority="43" operator="equal">
      <formula>6</formula>
    </cfRule>
    <cfRule type="cellIs" dxfId="132" priority="44" operator="equal">
      <formula>5</formula>
    </cfRule>
    <cfRule type="cellIs" dxfId="131" priority="45" operator="equal">
      <formula>4</formula>
    </cfRule>
    <cfRule type="cellIs" dxfId="130" priority="46" operator="equal">
      <formula>3</formula>
    </cfRule>
    <cfRule type="cellIs" dxfId="129" priority="47" operator="equal">
      <formula>2</formula>
    </cfRule>
    <cfRule type="cellIs" dxfId="128" priority="48" operator="equal">
      <formula>1</formula>
    </cfRule>
  </conditionalFormatting>
  <conditionalFormatting sqref="N91:N109">
    <cfRule type="cellIs" dxfId="127" priority="17" operator="equal">
      <formula>16</formula>
    </cfRule>
    <cfRule type="cellIs" dxfId="126" priority="18" operator="equal">
      <formula>15</formula>
    </cfRule>
    <cfRule type="cellIs" dxfId="125" priority="19" operator="equal">
      <formula>14</formula>
    </cfRule>
    <cfRule type="cellIs" dxfId="124" priority="20" operator="equal">
      <formula>13</formula>
    </cfRule>
    <cfRule type="cellIs" dxfId="123" priority="21" operator="equal">
      <formula>12</formula>
    </cfRule>
    <cfRule type="cellIs" dxfId="122" priority="22" operator="equal">
      <formula>11</formula>
    </cfRule>
    <cfRule type="cellIs" dxfId="121" priority="23" operator="equal">
      <formula>10</formula>
    </cfRule>
    <cfRule type="cellIs" dxfId="120" priority="24" operator="equal">
      <formula>9</formula>
    </cfRule>
    <cfRule type="cellIs" dxfId="119" priority="25" operator="equal">
      <formula>8</formula>
    </cfRule>
    <cfRule type="cellIs" dxfId="118" priority="26" operator="equal">
      <formula>7</formula>
    </cfRule>
    <cfRule type="cellIs" dxfId="117" priority="27" operator="equal">
      <formula>6</formula>
    </cfRule>
    <cfRule type="cellIs" dxfId="116" priority="28" operator="equal">
      <formula>5</formula>
    </cfRule>
    <cfRule type="cellIs" dxfId="115" priority="29" operator="equal">
      <formula>4</formula>
    </cfRule>
    <cfRule type="cellIs" dxfId="114" priority="30" operator="equal">
      <formula>3</formula>
    </cfRule>
    <cfRule type="cellIs" dxfId="113" priority="31" operator="equal">
      <formula>2</formula>
    </cfRule>
    <cfRule type="cellIs" dxfId="112" priority="32" operator="equal">
      <formula>1</formula>
    </cfRule>
  </conditionalFormatting>
  <conditionalFormatting sqref="N110:N112">
    <cfRule type="cellIs" dxfId="111" priority="1" operator="equal">
      <formula>16</formula>
    </cfRule>
    <cfRule type="cellIs" dxfId="110" priority="2" operator="equal">
      <formula>15</formula>
    </cfRule>
    <cfRule type="cellIs" dxfId="109" priority="3" operator="equal">
      <formula>14</formula>
    </cfRule>
    <cfRule type="cellIs" dxfId="108" priority="4" operator="equal">
      <formula>13</formula>
    </cfRule>
    <cfRule type="cellIs" dxfId="107" priority="5" operator="equal">
      <formula>12</formula>
    </cfRule>
    <cfRule type="cellIs" dxfId="106" priority="6" operator="equal">
      <formula>11</formula>
    </cfRule>
    <cfRule type="cellIs" dxfId="105" priority="7" operator="equal">
      <formula>10</formula>
    </cfRule>
    <cfRule type="cellIs" dxfId="104" priority="8" operator="equal">
      <formula>9</formula>
    </cfRule>
    <cfRule type="cellIs" dxfId="103" priority="9" operator="equal">
      <formula>8</formula>
    </cfRule>
    <cfRule type="cellIs" dxfId="102" priority="10" operator="equal">
      <formula>7</formula>
    </cfRule>
    <cfRule type="cellIs" dxfId="101" priority="11" operator="equal">
      <formula>6</formula>
    </cfRule>
    <cfRule type="cellIs" dxfId="100" priority="12" operator="equal">
      <formula>5</formula>
    </cfRule>
    <cfRule type="cellIs" dxfId="99" priority="13" operator="equal">
      <formula>4</formula>
    </cfRule>
    <cfRule type="cellIs" dxfId="98" priority="14" operator="equal">
      <formula>3</formula>
    </cfRule>
    <cfRule type="cellIs" dxfId="97" priority="15" operator="equal">
      <formula>2</formula>
    </cfRule>
    <cfRule type="cellIs" dxfId="96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tabSelected="1" workbookViewId="0">
      <pane xSplit="1" ySplit="2" topLeftCell="B64" activePane="bottomRight" state="frozen"/>
      <selection pane="topRight" activeCell="B1" sqref="B1"/>
      <selection pane="bottomLeft" activeCell="A3" sqref="A3"/>
      <selection pane="bottomRight" activeCell="L131" sqref="L131:M1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ZACNI: 59106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1" t="str">
        <f>Poor!Z1</f>
        <v>Apr-Jun</v>
      </c>
      <c r="AA1" s="182"/>
      <c r="AB1" s="181" t="str">
        <f>Poor!AB1</f>
        <v>Jul-Sep</v>
      </c>
      <c r="AC1" s="182"/>
      <c r="AD1" s="181" t="str">
        <f>Poor!AD1</f>
        <v>Oct-Dec</v>
      </c>
      <c r="AE1" s="182"/>
      <c r="AF1" s="181" t="str">
        <f>Poor!AF1</f>
        <v>Jan-Mar</v>
      </c>
      <c r="AG1" s="182"/>
      <c r="AH1" s="117"/>
      <c r="AI1" s="110"/>
      <c r="AJ1" s="181" t="str">
        <f>LEFT(Z1,4) &amp; MID(AB1,5,3)</f>
        <v>Apr-Sep</v>
      </c>
      <c r="AK1" s="182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61" t="str">
        <f>Poor!Z2</f>
        <v>Q1</v>
      </c>
      <c r="AA2" s="262"/>
      <c r="AB2" s="261" t="str">
        <f>Poor!AB2</f>
        <v>Q2</v>
      </c>
      <c r="AC2" s="262"/>
      <c r="AD2" s="261" t="str">
        <f>Poor!AD2</f>
        <v>Q3</v>
      </c>
      <c r="AE2" s="262"/>
      <c r="AF2" s="261" t="str">
        <f>Poor!AF2</f>
        <v>Q4</v>
      </c>
      <c r="AG2" s="262"/>
      <c r="AH2" s="117"/>
      <c r="AI2" s="110"/>
      <c r="AJ2" s="198" t="str">
        <f>Poor!AJ2</f>
        <v>H1</v>
      </c>
      <c r="AK2" s="199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8.5476684654766849E-2</v>
      </c>
      <c r="C6" s="102">
        <f>IF([1]Summ!$K1044="",0,[1]Summ!$K1044)</f>
        <v>0</v>
      </c>
      <c r="D6" s="24">
        <f t="shared" ref="D6:D29" si="0">(B6+C6)</f>
        <v>8.5476684654766849E-2</v>
      </c>
      <c r="E6" s="75">
        <f>Middle!E6</f>
        <v>1</v>
      </c>
      <c r="F6" s="2" t="s">
        <v>21</v>
      </c>
      <c r="H6" s="24">
        <f t="shared" ref="H6:H29" si="1">(E6*F$7/F$9)</f>
        <v>1</v>
      </c>
      <c r="I6" s="22">
        <f t="shared" ref="I6:I29" si="2">(D6*H6)</f>
        <v>8.5476684654766849E-2</v>
      </c>
      <c r="J6" s="24">
        <f t="shared" ref="J6:J13" si="3">IF(I$32&lt;=1+I$131,I6,B6*H6+J$33*(I6-B6*H6))</f>
        <v>8.5476684654766849E-2</v>
      </c>
      <c r="K6" s="22">
        <f t="shared" ref="K6:K31" si="4">B6</f>
        <v>8.5476684654766849E-2</v>
      </c>
      <c r="L6" s="22">
        <f t="shared" ref="L6:L29" si="5">IF(K6="","",K6*H6)</f>
        <v>8.5476684654766849E-2</v>
      </c>
      <c r="M6" s="177">
        <f t="shared" ref="M6:M31" si="6">J6</f>
        <v>8.5476684654766849E-2</v>
      </c>
      <c r="N6" s="233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4">
        <f>M6*4</f>
        <v>0.3419067386190674</v>
      </c>
      <c r="Z6" s="156">
        <f>Poor!Z6</f>
        <v>0.17</v>
      </c>
      <c r="AA6" s="121">
        <f>$M6*Z6*4</f>
        <v>5.812414556524146E-2</v>
      </c>
      <c r="AB6" s="156">
        <f>Poor!AB6</f>
        <v>0.17</v>
      </c>
      <c r="AC6" s="121">
        <f t="shared" ref="AC6:AC29" si="7">$M6*AB6*4</f>
        <v>5.812414556524146E-2</v>
      </c>
      <c r="AD6" s="156">
        <f>Poor!AD6</f>
        <v>0.33</v>
      </c>
      <c r="AE6" s="121">
        <f t="shared" ref="AE6:AE29" si="8">$M6*AD6*4</f>
        <v>0.11282922374429225</v>
      </c>
      <c r="AF6" s="122">
        <f>1-SUM(Z6,AB6,AD6)</f>
        <v>0.32999999999999996</v>
      </c>
      <c r="AG6" s="121">
        <f>$M6*AF6*4</f>
        <v>0.11282922374429223</v>
      </c>
      <c r="AH6" s="123">
        <f>SUM(Z6,AB6,AD6,AF6)</f>
        <v>1</v>
      </c>
      <c r="AI6" s="184">
        <f>SUM(AA6,AC6,AE6,AG6)/4</f>
        <v>8.5476684654766849E-2</v>
      </c>
      <c r="AJ6" s="120">
        <f>(AA6+AC6)/2</f>
        <v>5.812414556524146E-2</v>
      </c>
      <c r="AK6" s="119">
        <f>(AE6+AG6)/2</f>
        <v>0.11282922374429225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Cows' milk - season 2</v>
      </c>
      <c r="B7" s="101">
        <f>IF([1]Summ!$J1045="",0,[1]Summ!$J1045)</f>
        <v>0</v>
      </c>
      <c r="C7" s="102">
        <f>IF([1]Summ!$K1045="",0,[1]Summ!$K1045)</f>
        <v>0</v>
      </c>
      <c r="D7" s="24">
        <f t="shared" si="0"/>
        <v>0</v>
      </c>
      <c r="E7" s="75">
        <f>Middle!E7</f>
        <v>1</v>
      </c>
      <c r="F7" s="27">
        <v>8800</v>
      </c>
      <c r="H7" s="24">
        <f t="shared" si="1"/>
        <v>1</v>
      </c>
      <c r="I7" s="22">
        <f t="shared" si="2"/>
        <v>0</v>
      </c>
      <c r="J7" s="24">
        <f t="shared" si="3"/>
        <v>0</v>
      </c>
      <c r="K7" s="22">
        <f t="shared" si="4"/>
        <v>0</v>
      </c>
      <c r="L7" s="22">
        <f t="shared" si="5"/>
        <v>0</v>
      </c>
      <c r="M7" s="177">
        <f t="shared" si="6"/>
        <v>0</v>
      </c>
      <c r="N7" s="233">
        <v>3</v>
      </c>
      <c r="O7" s="2"/>
      <c r="P7" s="22"/>
      <c r="Q7" s="59" t="s">
        <v>71</v>
      </c>
      <c r="R7" s="226">
        <f>IF($B$81=0,0,(SUMIF($N$6:$N$28,$U7,K$6:K$28)+SUMIF($N$91:$N$118,$U7,K$91:K$118))*$B$83*$H$84*Poor!$B$81/$B$81)</f>
        <v>3337.8721544275227</v>
      </c>
      <c r="S7" s="226">
        <f>IF($B$81=0,0,(SUMIF($N$6:$N$28,$U7,L$6:L$28)+SUMIF($N$91:$N$118,$U7,L$91:L$118))*$B$83*$H$84*Poor!$B$81/$B$81)</f>
        <v>3337.8721544275227</v>
      </c>
      <c r="T7" s="226">
        <f>IF($B$81=0,0,(SUMIF($N$6:$N$28,$U7,M$6:M$28)+SUMIF($N$91:$N$118,$U7,M$91:M$118))*$B$83*$H$84*Poor!$B$81/$B$81)</f>
        <v>3472.9701944839458</v>
      </c>
      <c r="U7" s="227">
        <v>1</v>
      </c>
      <c r="V7" s="56"/>
      <c r="W7" s="115"/>
      <c r="X7" s="118">
        <f>Poor!X7</f>
        <v>4</v>
      </c>
      <c r="Y7" s="184">
        <f t="shared" ref="Y7:Y29" si="9">M7*4</f>
        <v>0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0</v>
      </c>
      <c r="AH7" s="123">
        <f t="shared" ref="AH7:AH30" si="12">SUM(Z7,AB7,AD7,AF7)</f>
        <v>1</v>
      </c>
      <c r="AI7" s="184">
        <f t="shared" ref="AI7:AI30" si="13">SUM(AA7,AC7,AE7,AG7)/4</f>
        <v>0</v>
      </c>
      <c r="AJ7" s="120">
        <f t="shared" ref="AJ7:AJ31" si="14">(AA7+AC7)/2</f>
        <v>0</v>
      </c>
      <c r="AK7" s="119">
        <f t="shared" ref="AK7:AK31" si="15">(AE7+AG7)/2</f>
        <v>0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Own meat</v>
      </c>
      <c r="B8" s="101">
        <f>IF([1]Summ!$J1046="",0,[1]Summ!$J1046)</f>
        <v>6.942878268991283E-2</v>
      </c>
      <c r="C8" s="102">
        <f>IF([1]Summ!$K1046="",0,[1]Summ!$K1046)</f>
        <v>0</v>
      </c>
      <c r="D8" s="24">
        <f t="shared" si="0"/>
        <v>6.942878268991283E-2</v>
      </c>
      <c r="E8" s="75">
        <f>Middle!E8</f>
        <v>1</v>
      </c>
      <c r="F8" s="22" t="s">
        <v>23</v>
      </c>
      <c r="H8" s="24">
        <f t="shared" si="1"/>
        <v>1</v>
      </c>
      <c r="I8" s="22">
        <f t="shared" si="2"/>
        <v>6.942878268991283E-2</v>
      </c>
      <c r="J8" s="24">
        <f t="shared" si="3"/>
        <v>6.942878268991283E-2</v>
      </c>
      <c r="K8" s="22">
        <f t="shared" si="4"/>
        <v>6.942878268991283E-2</v>
      </c>
      <c r="L8" s="22">
        <f t="shared" si="5"/>
        <v>6.942878268991283E-2</v>
      </c>
      <c r="M8" s="228">
        <f t="shared" si="6"/>
        <v>6.942878268991283E-2</v>
      </c>
      <c r="N8" s="233">
        <v>3</v>
      </c>
      <c r="O8" s="2"/>
      <c r="P8" s="22"/>
      <c r="Q8" s="59" t="s">
        <v>72</v>
      </c>
      <c r="R8" s="226">
        <f>IF($B$81=0,0,(SUMIF($N$6:$N$28,$U8,K$6:K$28)+SUMIF($N$91:$N$118,$U8,K$91:K$118))*$B$83*$H$84*Poor!$B$81/$B$81)</f>
        <v>5132.4444444444443</v>
      </c>
      <c r="S8" s="226">
        <f>IF($B$81=0,0,(SUMIF($N$6:$N$28,$U8,L$6:L$28)+SUMIF($N$91:$N$118,$U8,L$91:L$118))*$B$83*$H$84*Poor!$B$81/$B$81)</f>
        <v>5132.4444444444443</v>
      </c>
      <c r="T8" s="226">
        <f>IF($B$81=0,0,(SUMIF($N$6:$N$28,$U8,M$6:M$28)+SUMIF($N$91:$N$118,$U8,M$91:M$118))*$B$83*$H$84*Poor!$B$81/$B$81)</f>
        <v>4883.3232914162963</v>
      </c>
      <c r="U8" s="227">
        <v>2</v>
      </c>
      <c r="V8" s="56"/>
      <c r="W8" s="115"/>
      <c r="X8" s="118">
        <f>Poor!X8</f>
        <v>1</v>
      </c>
      <c r="Y8" s="184">
        <f t="shared" si="9"/>
        <v>0.27771513075965132</v>
      </c>
      <c r="Z8" s="125">
        <f>IF($Y8=0,0,AA8/$Y8)</f>
        <v>0.21543191461063491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5.9828702335894511E-2</v>
      </c>
      <c r="AB8" s="125">
        <f>IF($Y8=0,0,AC8/$Y8)</f>
        <v>0.248899287992776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6.9123098310897899E-2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0.53566879739658912</v>
      </c>
      <c r="AG8" s="121">
        <f t="shared" si="11"/>
        <v>0.14876333011285892</v>
      </c>
      <c r="AH8" s="123">
        <f t="shared" si="12"/>
        <v>1</v>
      </c>
      <c r="AI8" s="184">
        <f t="shared" si="13"/>
        <v>6.942878268991283E-2</v>
      </c>
      <c r="AJ8" s="120">
        <f t="shared" si="14"/>
        <v>6.4475900323396201E-2</v>
      </c>
      <c r="AK8" s="119">
        <f t="shared" si="15"/>
        <v>7.4381665056429458E-2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Green cons - Season 1: no of months</v>
      </c>
      <c r="B9" s="101">
        <f>IF([1]Summ!$J1047="",0,[1]Summ!$J1047)</f>
        <v>0.05</v>
      </c>
      <c r="C9" s="102">
        <f>IF([1]Summ!$K1047="",0,[1]Summ!$K1047)</f>
        <v>0</v>
      </c>
      <c r="D9" s="24">
        <f t="shared" si="0"/>
        <v>0.05</v>
      </c>
      <c r="E9" s="75">
        <f>Middle!E9</f>
        <v>1</v>
      </c>
      <c r="F9" s="76">
        <f>Poor!F9</f>
        <v>8800</v>
      </c>
      <c r="H9" s="24">
        <f t="shared" si="1"/>
        <v>1</v>
      </c>
      <c r="I9" s="22">
        <f t="shared" si="2"/>
        <v>0.05</v>
      </c>
      <c r="J9" s="24">
        <f t="shared" si="3"/>
        <v>0.05</v>
      </c>
      <c r="K9" s="22">
        <f t="shared" si="4"/>
        <v>0.05</v>
      </c>
      <c r="L9" s="22">
        <f t="shared" si="5"/>
        <v>0.05</v>
      </c>
      <c r="M9" s="228">
        <f t="shared" si="6"/>
        <v>0.05</v>
      </c>
      <c r="N9" s="233">
        <v>1</v>
      </c>
      <c r="O9" s="2"/>
      <c r="P9" s="22"/>
      <c r="Q9" s="59" t="s">
        <v>73</v>
      </c>
      <c r="R9" s="226">
        <f>IF($B$81=0,0,(SUMIF($N$6:$N$28,$U9,K$6:K$28)+SUMIF($N$91:$N$118,$U9,K$91:K$118))*$B$83*$H$84*Poor!$B$81/$B$81)</f>
        <v>1050.5131066722433</v>
      </c>
      <c r="S9" s="226">
        <f>IF($B$81=0,0,(SUMIF($N$6:$N$28,$U9,L$6:L$28)+SUMIF($N$91:$N$118,$U9,L$91:L$118))*$B$83*$H$84*Poor!$B$81/$B$81)</f>
        <v>1050.5131066722433</v>
      </c>
      <c r="T9" s="226">
        <f>IF($B$81=0,0,(SUMIF($N$6:$N$28,$U9,M$6:M$28)+SUMIF($N$91:$N$118,$U9,M$91:M$118))*$B$83*$H$84*Poor!$B$81/$B$81)</f>
        <v>1050.5131066722433</v>
      </c>
      <c r="U9" s="227">
        <v>3</v>
      </c>
      <c r="V9" s="56"/>
      <c r="W9" s="115"/>
      <c r="X9" s="118">
        <f>Poor!X9</f>
        <v>1</v>
      </c>
      <c r="Y9" s="184">
        <f t="shared" si="9"/>
        <v>0.2</v>
      </c>
      <c r="Z9" s="125">
        <f>IF($Y9=0,0,AA9/$Y9)</f>
        <v>0.21543191461063491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4.3086382922126985E-2</v>
      </c>
      <c r="AB9" s="125">
        <f>IF($Y9=0,0,AC9/$Y9)</f>
        <v>0.24889928799277597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4.9779857598555195E-2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0.53566879739658912</v>
      </c>
      <c r="AG9" s="121">
        <f t="shared" si="11"/>
        <v>0.10713375947931783</v>
      </c>
      <c r="AH9" s="123">
        <f t="shared" si="12"/>
        <v>1</v>
      </c>
      <c r="AI9" s="184">
        <f t="shared" si="13"/>
        <v>0.05</v>
      </c>
      <c r="AJ9" s="120">
        <f t="shared" si="14"/>
        <v>4.643312026034109E-2</v>
      </c>
      <c r="AK9" s="119">
        <f t="shared" si="15"/>
        <v>5.3566879739658915E-2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Maize: kg produced</v>
      </c>
      <c r="B10" s="101">
        <f>IF([1]Summ!$J1048="",0,[1]Summ!$J1048)</f>
        <v>0.16245357534246571</v>
      </c>
      <c r="C10" s="102">
        <f>IF([1]Summ!$K1048="",0,[1]Summ!$K1048)</f>
        <v>6.8871904109589072E-2</v>
      </c>
      <c r="D10" s="24">
        <f t="shared" si="0"/>
        <v>0.23132547945205478</v>
      </c>
      <c r="E10" s="75">
        <f>Middle!E10</f>
        <v>1</v>
      </c>
      <c r="H10" s="24">
        <f t="shared" si="1"/>
        <v>1</v>
      </c>
      <c r="I10" s="22">
        <f t="shared" si="2"/>
        <v>0.23132547945205478</v>
      </c>
      <c r="J10" s="24">
        <f t="shared" si="3"/>
        <v>0.17289280150980102</v>
      </c>
      <c r="K10" s="22">
        <f t="shared" si="4"/>
        <v>0.16245357534246571</v>
      </c>
      <c r="L10" s="22">
        <f t="shared" si="5"/>
        <v>0.16245357534246571</v>
      </c>
      <c r="M10" s="228">
        <f t="shared" si="6"/>
        <v>0.17289280150980102</v>
      </c>
      <c r="N10" s="233">
        <v>1</v>
      </c>
      <c r="O10" s="2"/>
      <c r="P10" s="22"/>
      <c r="Q10" s="59" t="s">
        <v>74</v>
      </c>
      <c r="R10" s="226">
        <f>IF($B$81=0,0,(SUMIF($N$6:$N$28,$U10,K$6:K$28)+SUMIF($N$91:$N$118,$U10,K$91:K$118))*$B$83*$H$84*Poor!$B$81/$B$81)</f>
        <v>0</v>
      </c>
      <c r="S10" s="226">
        <f>IF($B$81=0,0,(SUMIF($N$6:$N$28,$U10,L$6:L$28)+SUMIF($N$91:$N$118,$U10,L$91:L$118))*$B$83*$H$84*Poor!$B$81/$B$81)</f>
        <v>0</v>
      </c>
      <c r="T10" s="226">
        <f>IF($B$81=0,0,(SUMIF($N$6:$N$28,$U10,M$6:M$28)+SUMIF($N$91:$N$118,$U10,M$91:M$118))*$B$83*$H$84*Poor!$B$81/$B$81)</f>
        <v>0</v>
      </c>
      <c r="U10" s="227">
        <v>4</v>
      </c>
      <c r="V10" s="56"/>
      <c r="W10" s="115"/>
      <c r="X10" s="118">
        <f>Poor!X10</f>
        <v>1</v>
      </c>
      <c r="Y10" s="184">
        <f t="shared" si="9"/>
        <v>0.69157120603920408</v>
      </c>
      <c r="Z10" s="125">
        <f>IF($Y10=0,0,AA10/$Y10)</f>
        <v>0.21543191461063491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0.14898650900661162</v>
      </c>
      <c r="AB10" s="125">
        <f>IF($Y10=0,0,AC10/$Y10)</f>
        <v>0.24889928799277594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0.17213158077946325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0.53566879739658912</v>
      </c>
      <c r="AG10" s="121">
        <f t="shared" si="11"/>
        <v>0.37045311625312921</v>
      </c>
      <c r="AH10" s="123">
        <f t="shared" si="12"/>
        <v>1</v>
      </c>
      <c r="AI10" s="184">
        <f t="shared" si="13"/>
        <v>0.17289280150980102</v>
      </c>
      <c r="AJ10" s="120">
        <f t="shared" si="14"/>
        <v>0.16055904489303743</v>
      </c>
      <c r="AK10" s="119">
        <f t="shared" si="15"/>
        <v>0.18522655812656461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>Sorghum: kg produced</v>
      </c>
      <c r="B11" s="101">
        <f>IF([1]Summ!$J1049="",0,[1]Summ!$J1049)</f>
        <v>3.8561488169364881E-2</v>
      </c>
      <c r="C11" s="102">
        <f>IF([1]Summ!$K1049="",0,[1]Summ!$K1049)</f>
        <v>0</v>
      </c>
      <c r="D11" s="24">
        <f t="shared" si="0"/>
        <v>3.8561488169364881E-2</v>
      </c>
      <c r="E11" s="75">
        <f>Middle!E11</f>
        <v>1</v>
      </c>
      <c r="H11" s="24">
        <f t="shared" si="1"/>
        <v>1</v>
      </c>
      <c r="I11" s="22">
        <f t="shared" si="2"/>
        <v>3.8561488169364881E-2</v>
      </c>
      <c r="J11" s="24">
        <f t="shared" si="3"/>
        <v>3.8561488169364881E-2</v>
      </c>
      <c r="K11" s="22">
        <f t="shared" si="4"/>
        <v>3.8561488169364881E-2</v>
      </c>
      <c r="L11" s="22">
        <f t="shared" si="5"/>
        <v>3.8561488169364881E-2</v>
      </c>
      <c r="M11" s="228">
        <f t="shared" si="6"/>
        <v>3.8561488169364881E-2</v>
      </c>
      <c r="N11" s="233">
        <v>1</v>
      </c>
      <c r="O11" s="2"/>
      <c r="P11" s="22"/>
      <c r="Q11" s="59" t="s">
        <v>75</v>
      </c>
      <c r="R11" s="226">
        <f>IF($B$81=0,0,(SUMIF($N$6:$N$28,$U11,K$6:K$28)+SUMIF($N$91:$N$118,$U11,K$91:K$118))*$B$83*$H$84*Poor!$B$81/$B$81)</f>
        <v>9822.2222222222226</v>
      </c>
      <c r="S11" s="226">
        <f>IF($B$81=0,0,(SUMIF($N$6:$N$28,$U11,L$6:L$28)+SUMIF($N$91:$N$118,$U11,L$91:L$118))*$B$83*$H$84*Poor!$B$81/$B$81)</f>
        <v>9822.2222222222226</v>
      </c>
      <c r="T11" s="226">
        <f>IF($B$81=0,0,(SUMIF($N$6:$N$28,$U11,M$6:M$28)+SUMIF($N$91:$N$118,$U11,M$91:M$118))*$B$83*$H$84*Poor!$B$81/$B$81)</f>
        <v>10159.054500518798</v>
      </c>
      <c r="U11" s="227">
        <v>5</v>
      </c>
      <c r="V11" s="56"/>
      <c r="W11" s="115"/>
      <c r="X11" s="118">
        <f>Poor!X11</f>
        <v>1</v>
      </c>
      <c r="Y11" s="184">
        <f t="shared" si="9"/>
        <v>0.15424595267745952</v>
      </c>
      <c r="Z11" s="125">
        <f>IF($Y11=0,0,AA11/$Y11)</f>
        <v>0.21543191461063493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3.3229500906246497E-2</v>
      </c>
      <c r="AB11" s="125">
        <f>IF($Y11=0,0,AC11/$Y11)</f>
        <v>0.24889928799277597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3.8391707797187091E-2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0.53566879739658912</v>
      </c>
      <c r="AG11" s="121">
        <f t="shared" si="11"/>
        <v>8.2624743974025944E-2</v>
      </c>
      <c r="AH11" s="123">
        <f t="shared" si="12"/>
        <v>1</v>
      </c>
      <c r="AI11" s="184">
        <f t="shared" si="13"/>
        <v>3.8561488169364881E-2</v>
      </c>
      <c r="AJ11" s="120">
        <f t="shared" si="14"/>
        <v>3.581060435171679E-2</v>
      </c>
      <c r="AK11" s="119">
        <f t="shared" si="15"/>
        <v>4.1312371987012972E-2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>Beans: kg produced</v>
      </c>
      <c r="B12" s="101">
        <f>IF([1]Summ!$J1050="",0,[1]Summ!$J1050)</f>
        <v>6.6773290161892901E-2</v>
      </c>
      <c r="C12" s="102">
        <f>IF([1]Summ!$K1050="",0,[1]Summ!$K1050)</f>
        <v>-2.1112143212951434E-2</v>
      </c>
      <c r="D12" s="24">
        <f t="shared" si="0"/>
        <v>4.5661146948941467E-2</v>
      </c>
      <c r="E12" s="75">
        <f>Middle!E12</f>
        <v>1</v>
      </c>
      <c r="H12" s="24">
        <f t="shared" si="1"/>
        <v>1</v>
      </c>
      <c r="I12" s="22">
        <f t="shared" si="2"/>
        <v>4.5661146948941467E-2</v>
      </c>
      <c r="J12" s="24">
        <f t="shared" si="3"/>
        <v>6.3573227077728986E-2</v>
      </c>
      <c r="K12" s="22">
        <f t="shared" si="4"/>
        <v>6.6773290161892901E-2</v>
      </c>
      <c r="L12" s="22">
        <f t="shared" si="5"/>
        <v>6.6773290161892901E-2</v>
      </c>
      <c r="M12" s="228">
        <f t="shared" si="6"/>
        <v>6.3573227077728986E-2</v>
      </c>
      <c r="N12" s="233">
        <v>1</v>
      </c>
      <c r="O12" s="2"/>
      <c r="P12" s="22"/>
      <c r="Q12" s="126" t="s">
        <v>124</v>
      </c>
      <c r="R12" s="226">
        <f>IF($B$81=0,0,(SUMIF($N$6:$N$28,$U12,K$6:K$28)+SUMIF($N$91:$N$118,$U12,K$91:K$118))*$B$83*$H$84*Poor!$B$81/$B$81)</f>
        <v>79.386569840387608</v>
      </c>
      <c r="S12" s="226">
        <f>IF($B$81=0,0,(SUMIF($N$6:$N$28,$U12,L$6:L$28)+SUMIF($N$91:$N$118,$U12,L$91:L$118))*$B$83*$H$84*Poor!$B$81/$B$81)</f>
        <v>79.386569840387608</v>
      </c>
      <c r="T12" s="226">
        <f>IF($B$81=0,0,(SUMIF($N$6:$N$28,$U12,M$6:M$28)+SUMIF($N$91:$N$118,$U12,M$91:M$118))*$B$83*$H$84*Poor!$B$81/$B$81)</f>
        <v>67.353588206918005</v>
      </c>
      <c r="U12" s="227">
        <v>6</v>
      </c>
      <c r="V12" s="56"/>
      <c r="W12" s="117"/>
      <c r="X12" s="118"/>
      <c r="Y12" s="184">
        <f t="shared" si="9"/>
        <v>0.25429290831091594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0.17037624856831368</v>
      </c>
      <c r="AF12" s="122">
        <f>1-SUM(Z12,AB12,AD12)</f>
        <v>0.32999999999999996</v>
      </c>
      <c r="AG12" s="121">
        <f>$M12*AF12*4</f>
        <v>8.3916659742602248E-2</v>
      </c>
      <c r="AH12" s="123">
        <f t="shared" si="12"/>
        <v>1</v>
      </c>
      <c r="AI12" s="184">
        <f t="shared" si="13"/>
        <v>6.3573227077728986E-2</v>
      </c>
      <c r="AJ12" s="120">
        <f t="shared" si="14"/>
        <v>0</v>
      </c>
      <c r="AK12" s="119">
        <f t="shared" si="15"/>
        <v>0.12714645415545797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>Cassava: no. local meas.</v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9">
        <f t="shared" si="6"/>
        <v>0</v>
      </c>
      <c r="N13" s="233">
        <v>1</v>
      </c>
      <c r="O13" s="2"/>
      <c r="P13" s="22"/>
      <c r="Q13" s="59" t="s">
        <v>76</v>
      </c>
      <c r="R13" s="226">
        <f>IF($B$81=0,0,(SUMIF($N$6:$N$28,$U13,K$6:K$28)+SUMIF($N$91:$N$118,$U13,K$91:K$118))*$B$83*$H$84*Poor!$B$81/$B$81)</f>
        <v>0</v>
      </c>
      <c r="S13" s="226">
        <f>IF($B$81=0,0,(SUMIF($N$6:$N$28,$U13,L$6:L$28)+SUMIF($N$91:$N$118,$U13,L$91:L$118))*$B$83*$H$84*Poor!$B$81/$B$81)</f>
        <v>0</v>
      </c>
      <c r="T13" s="226">
        <f>IF($B$81=0,0,(SUMIF($N$6:$N$28,$U13,M$6:M$28)+SUMIF($N$91:$N$118,$U13,M$91:M$118))*$B$83*$H$84*Poor!$B$81/$B$81)</f>
        <v>0</v>
      </c>
      <c r="U13" s="227">
        <v>7</v>
      </c>
      <c r="V13" s="56"/>
      <c r="W13" s="110"/>
      <c r="X13" s="118"/>
      <c r="Y13" s="184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4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>Water melon: no. local meas (Bhece)</v>
      </c>
      <c r="B14" s="101">
        <f>IF([1]Summ!$J1052="",0,[1]Summ!$J1052)</f>
        <v>1.9986799501867992E-3</v>
      </c>
      <c r="C14" s="102">
        <f>IF([1]Summ!$K1052="",0,[1]Summ!$K1052)</f>
        <v>9.9933997509339982E-4</v>
      </c>
      <c r="D14" s="24">
        <f t="shared" si="0"/>
        <v>2.998019925280199E-3</v>
      </c>
      <c r="E14" s="75">
        <f>Middle!E14</f>
        <v>1</v>
      </c>
      <c r="F14" s="22"/>
      <c r="H14" s="24">
        <f t="shared" si="1"/>
        <v>1</v>
      </c>
      <c r="I14" s="22">
        <f t="shared" si="2"/>
        <v>2.998019925280199E-3</v>
      </c>
      <c r="J14" s="24">
        <f>IF(I$32&lt;=1+I131,I14,B14*H14+J$33*(I14-B14*H14))</f>
        <v>2.1501544324583986E-3</v>
      </c>
      <c r="K14" s="22">
        <f t="shared" si="4"/>
        <v>1.9986799501867992E-3</v>
      </c>
      <c r="L14" s="22">
        <f t="shared" si="5"/>
        <v>1.9986799501867992E-3</v>
      </c>
      <c r="M14" s="229">
        <f t="shared" si="6"/>
        <v>2.1501544324583986E-3</v>
      </c>
      <c r="N14" s="233">
        <v>1</v>
      </c>
      <c r="O14" s="2"/>
      <c r="P14" s="22"/>
      <c r="Q14" s="126" t="s">
        <v>77</v>
      </c>
      <c r="R14" s="226">
        <f>IF($B$81=0,0,(SUMIF($N$6:$N$28,$U14,K$6:K$28)+SUMIF($N$91:$N$118,$U14,K$91:K$118))*$B$83*$H$84*Poor!$B$81/$B$81)</f>
        <v>30897.777777777777</v>
      </c>
      <c r="S14" s="226">
        <f>IF($B$81=0,0,(SUMIF($N$6:$N$28,$U14,L$6:L$28)+SUMIF($N$91:$N$118,$U14,L$91:L$118))*$B$83*$H$84*Poor!$B$81/$B$81)</f>
        <v>30897.777777777777</v>
      </c>
      <c r="T14" s="226">
        <f>IF($B$81=0,0,(SUMIF($N$6:$N$28,$U14,M$6:M$28)+SUMIF($N$91:$N$118,$U14,M$91:M$118))*$B$83*$H$84*Poor!$B$81/$B$81)</f>
        <v>30897.777777777777</v>
      </c>
      <c r="U14" s="227">
        <v>8</v>
      </c>
      <c r="V14" s="56"/>
      <c r="W14" s="110"/>
      <c r="X14" s="118"/>
      <c r="Y14" s="184">
        <f>M14*4</f>
        <v>8.6006177298335942E-3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8.6006177298335942E-3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4">
        <f>SUM(AA14,AC14,AE14,AG14)/4</f>
        <v>2.1501544324583986E-3</v>
      </c>
      <c r="AJ14" s="120">
        <f t="shared" si="14"/>
        <v>4.3003088649167971E-3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>Pumpkin: no. local meas</v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30">
        <f t="shared" si="6"/>
        <v>0</v>
      </c>
      <c r="N15" s="233">
        <v>1</v>
      </c>
      <c r="O15" s="2"/>
      <c r="P15" s="22"/>
      <c r="Q15" s="59" t="s">
        <v>126</v>
      </c>
      <c r="R15" s="226">
        <f>IF($B$81=0,0,(SUMIF($N$6:$N$28,$U15,K$6:K$28)+SUMIF($N$91:$N$118,$U15,K$91:K$118))*$B$83*$H$84*Poor!$B$81/$B$81)</f>
        <v>0</v>
      </c>
      <c r="S15" s="226">
        <f>IF($B$81=0,0,(SUMIF($N$6:$N$28,$U15,L$6:L$28)+SUMIF($N$91:$N$118,$U15,L$91:L$118))*$B$83*$H$84*Poor!$B$81/$B$81)</f>
        <v>0</v>
      </c>
      <c r="T15" s="226">
        <f>IF($B$81=0,0,(SUMIF($N$6:$N$28,$U15,M$6:M$28)+SUMIF($N$91:$N$118,$U15,M$91:M$118))*$B$83*$H$84*Poor!$B$81/$B$81)</f>
        <v>0</v>
      </c>
      <c r="U15" s="227">
        <v>9</v>
      </c>
      <c r="V15" s="56"/>
      <c r="W15" s="110"/>
      <c r="X15" s="118"/>
      <c r="Y15" s="184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4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>Sweet poatato: no. local meas</v>
      </c>
      <c r="B16" s="101">
        <f>IF([1]Summ!$J1054="",0,[1]Summ!$J1054)</f>
        <v>3.7951432129514323E-2</v>
      </c>
      <c r="C16" s="102">
        <f>IF([1]Summ!$K1054="",0,[1]Summ!$K1054)</f>
        <v>2.4750933997509342E-2</v>
      </c>
      <c r="D16" s="24">
        <f t="shared" si="0"/>
        <v>6.2702366127023665E-2</v>
      </c>
      <c r="E16" s="75">
        <f>Middle!E16</f>
        <v>1</v>
      </c>
      <c r="F16" s="22"/>
      <c r="H16" s="24">
        <f t="shared" si="1"/>
        <v>1</v>
      </c>
      <c r="I16" s="22">
        <f t="shared" si="2"/>
        <v>6.2702366127023665E-2</v>
      </c>
      <c r="J16" s="24">
        <f>IF(I$32&lt;=1+I131,I16,B16*H16+J$33*(I16-B16*H16))</f>
        <v>4.170304319927149E-2</v>
      </c>
      <c r="K16" s="22">
        <f t="shared" si="4"/>
        <v>3.7951432129514323E-2</v>
      </c>
      <c r="L16" s="22">
        <f t="shared" si="5"/>
        <v>3.7951432129514323E-2</v>
      </c>
      <c r="M16" s="228">
        <f t="shared" si="6"/>
        <v>4.170304319927149E-2</v>
      </c>
      <c r="N16" s="233">
        <v>1</v>
      </c>
      <c r="O16" s="2"/>
      <c r="P16" s="22"/>
      <c r="Q16" s="126" t="s">
        <v>78</v>
      </c>
      <c r="R16" s="226">
        <f>IF($B$81=0,0,(SUMIF($N$6:$N$28,$U16,K$6:K$28)+SUMIF($N$91:$N$118,$U16,K$91:K$118))*$B$83*$H$84*Poor!$B$81/$B$81)</f>
        <v>0</v>
      </c>
      <c r="S16" s="226">
        <f>IF($B$81=0,0,(SUMIF($N$6:$N$28,$U16,L$6:L$28)+SUMIF($N$91:$N$118,$U16,L$91:L$118))*$B$83*$H$84*Poor!$B$81/$B$81)</f>
        <v>0</v>
      </c>
      <c r="T16" s="226">
        <f>IF($B$81=0,0,(SUMIF($N$6:$N$28,$U16,M$6:M$28)+SUMIF($N$91:$N$118,$U16,M$91:M$118))*$B$83*$H$84*Poor!$B$81/$B$81)</f>
        <v>0</v>
      </c>
      <c r="U16" s="227">
        <v>10</v>
      </c>
      <c r="V16" s="56"/>
      <c r="W16" s="110"/>
      <c r="X16" s="118"/>
      <c r="Y16" s="184">
        <f t="shared" si="9"/>
        <v>0.16681217279708596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0.16681217279708596</v>
      </c>
      <c r="AH16" s="123">
        <f t="shared" si="12"/>
        <v>1</v>
      </c>
      <c r="AI16" s="184">
        <f t="shared" si="13"/>
        <v>4.170304319927149E-2</v>
      </c>
      <c r="AJ16" s="120">
        <f t="shared" si="14"/>
        <v>0</v>
      </c>
      <c r="AK16" s="119">
        <f t="shared" si="15"/>
        <v>8.3406086398542981E-2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>Groundnuts (dry): no. local meas</v>
      </c>
      <c r="B17" s="101">
        <f>IF([1]Summ!$J1055="",0,[1]Summ!$J1055)</f>
        <v>0.10482207347447074</v>
      </c>
      <c r="C17" s="102">
        <f>IF([1]Summ!$K1055="",0,[1]Summ!$K1055)</f>
        <v>5.0314595267745968E-2</v>
      </c>
      <c r="D17" s="24">
        <f t="shared" si="0"/>
        <v>0.15513666874221671</v>
      </c>
      <c r="E17" s="75">
        <f>Middle!E17</f>
        <v>1</v>
      </c>
      <c r="F17" s="22"/>
      <c r="H17" s="24">
        <f t="shared" si="1"/>
        <v>1</v>
      </c>
      <c r="I17" s="22">
        <f t="shared" si="2"/>
        <v>0.15513666874221671</v>
      </c>
      <c r="J17" s="24">
        <f t="shared" ref="J17:J25" si="17">IF(I$32&lt;=1+I131,I17,B17*H17+J$33*(I17-B17*H17))</f>
        <v>0.11244848436449299</v>
      </c>
      <c r="K17" s="22">
        <f t="shared" si="4"/>
        <v>0.10482207347447074</v>
      </c>
      <c r="L17" s="22">
        <f t="shared" si="5"/>
        <v>0.10482207347447074</v>
      </c>
      <c r="M17" s="229">
        <f t="shared" si="6"/>
        <v>0.11244848436449299</v>
      </c>
      <c r="N17" s="233">
        <v>1</v>
      </c>
      <c r="O17" s="2"/>
      <c r="P17" s="22"/>
      <c r="Q17" s="126" t="s">
        <v>125</v>
      </c>
      <c r="R17" s="226">
        <f>IF($B$81=0,0,(SUMIF($N$6:$N$28,$U17,K$6:K$28)+SUMIF($N$91:$N$118,$U17,K$91:K$118))*$B$83*$H$84*Poor!$B$81/$B$81)</f>
        <v>0</v>
      </c>
      <c r="S17" s="226">
        <f>IF($B$81=0,0,(SUMIF($N$6:$N$28,$U17,L$6:L$28)+SUMIF($N$91:$N$118,$U17,L$91:L$118))*$B$83*$H$84*Poor!$B$81/$B$81)</f>
        <v>0</v>
      </c>
      <c r="T17" s="226">
        <f>IF($B$81=0,0,(SUMIF($N$6:$N$28,$U17,M$6:M$28)+SUMIF($N$91:$N$118,$U17,M$91:M$118))*$B$83*$H$84*Poor!$B$81/$B$81)</f>
        <v>0</v>
      </c>
      <c r="U17" s="227">
        <v>11</v>
      </c>
      <c r="V17" s="56"/>
      <c r="W17" s="110"/>
      <c r="X17" s="118"/>
      <c r="Y17" s="184">
        <f t="shared" si="9"/>
        <v>0.44979393745797197</v>
      </c>
      <c r="Z17" s="156">
        <f>Poor!Z17</f>
        <v>0.29409999999999997</v>
      </c>
      <c r="AA17" s="121">
        <f t="shared" si="16"/>
        <v>0.13228439700638955</v>
      </c>
      <c r="AB17" s="156">
        <f>Poor!AB17</f>
        <v>0.17649999999999999</v>
      </c>
      <c r="AC17" s="121">
        <f t="shared" si="7"/>
        <v>7.9388629961332044E-2</v>
      </c>
      <c r="AD17" s="156">
        <f>Poor!AD17</f>
        <v>0.23530000000000001</v>
      </c>
      <c r="AE17" s="121">
        <f t="shared" si="8"/>
        <v>0.10583651348386081</v>
      </c>
      <c r="AF17" s="122">
        <f t="shared" si="10"/>
        <v>0.29410000000000003</v>
      </c>
      <c r="AG17" s="121">
        <f t="shared" si="11"/>
        <v>0.13228439700638958</v>
      </c>
      <c r="AH17" s="123">
        <f t="shared" si="12"/>
        <v>1</v>
      </c>
      <c r="AI17" s="184">
        <f t="shared" si="13"/>
        <v>0.11244848436449301</v>
      </c>
      <c r="AJ17" s="120">
        <f t="shared" si="14"/>
        <v>0.10583651348386081</v>
      </c>
      <c r="AK17" s="119">
        <f t="shared" si="15"/>
        <v>0.11906045524512519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>Irish potato: type</v>
      </c>
      <c r="B18" s="101">
        <f>IF([1]Summ!$J1056="",0,[1]Summ!$J1056)</f>
        <v>7.0603293206032928E-3</v>
      </c>
      <c r="C18" s="102">
        <f>IF([1]Summ!$K1056="",0,[1]Summ!$K1056)</f>
        <v>7.6034315760343165E-3</v>
      </c>
      <c r="D18" s="24">
        <f t="shared" ref="D18:D25" si="18">(B18+C18)</f>
        <v>1.4663760896637609E-2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1.4663760896637609E-2</v>
      </c>
      <c r="J18" s="24">
        <f t="shared" si="17"/>
        <v>8.2128158518857877E-3</v>
      </c>
      <c r="K18" s="22">
        <f t="shared" ref="K18:K25" si="21">B18</f>
        <v>7.0603293206032928E-3</v>
      </c>
      <c r="L18" s="22">
        <f t="shared" ref="L18:L25" si="22">IF(K18="","",K18*H18)</f>
        <v>7.0603293206032928E-3</v>
      </c>
      <c r="M18" s="229">
        <f t="shared" ref="M18:M25" si="23">J18</f>
        <v>8.2128158518857877E-3</v>
      </c>
      <c r="N18" s="233">
        <v>1</v>
      </c>
      <c r="O18" s="2"/>
      <c r="P18" s="22"/>
      <c r="Q18" s="59" t="s">
        <v>79</v>
      </c>
      <c r="R18" s="226">
        <f>IF($B$81=0,0,(SUMIF($N$6:$N$28,$U18,K$6:K$28)+SUMIF($N$91:$N$118,$U18,K$91:K$118))*$B$83*$H$84*Poor!$B$81/$B$81)</f>
        <v>717.63385772634524</v>
      </c>
      <c r="S18" s="226">
        <f>IF($B$81=0,0,(SUMIF($N$6:$N$28,$U18,L$6:L$28)+SUMIF($N$91:$N$118,$U18,L$91:L$118))*$B$83*$H$84*Poor!$B$81/$B$81)</f>
        <v>717.63385772634524</v>
      </c>
      <c r="T18" s="226">
        <f>IF($B$81=0,0,(SUMIF($N$6:$N$28,$U18,M$6:M$28)+SUMIF($N$91:$N$118,$U18,M$91:M$118))*$B$83*$H$84*Poor!$B$81/$B$81)</f>
        <v>717.63385772634524</v>
      </c>
      <c r="U18" s="227">
        <v>12</v>
      </c>
      <c r="V18" s="56"/>
      <c r="W18" s="110"/>
      <c r="X18" s="118"/>
      <c r="Y18" s="184"/>
      <c r="Z18" s="156"/>
      <c r="AA18" s="121"/>
      <c r="AB18" s="156"/>
      <c r="AC18" s="121"/>
      <c r="AD18" s="156"/>
      <c r="AE18" s="121"/>
      <c r="AF18" s="122"/>
      <c r="AG18" s="121"/>
      <c r="AH18" s="123"/>
      <c r="AI18" s="184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>Yam: type</v>
      </c>
      <c r="B19" s="101">
        <f>IF([1]Summ!$J1057="",0,[1]Summ!$J1057)</f>
        <v>2.2571606475716065E-2</v>
      </c>
      <c r="C19" s="102">
        <f>IF([1]Summ!$K1057="",0,[1]Summ!$K1057)</f>
        <v>0</v>
      </c>
      <c r="D19" s="24">
        <f t="shared" si="18"/>
        <v>2.2571606475716065E-2</v>
      </c>
      <c r="E19" s="75">
        <f>Middle!E19</f>
        <v>1</v>
      </c>
      <c r="F19" s="22"/>
      <c r="H19" s="24">
        <f t="shared" si="19"/>
        <v>1</v>
      </c>
      <c r="I19" s="22">
        <f t="shared" si="20"/>
        <v>2.2571606475716065E-2</v>
      </c>
      <c r="J19" s="24">
        <f t="shared" si="17"/>
        <v>2.2571606475716065E-2</v>
      </c>
      <c r="K19" s="22">
        <f t="shared" si="21"/>
        <v>2.2571606475716065E-2</v>
      </c>
      <c r="L19" s="22">
        <f t="shared" si="22"/>
        <v>2.2571606475716065E-2</v>
      </c>
      <c r="M19" s="229">
        <f t="shared" si="23"/>
        <v>2.2571606475716065E-2</v>
      </c>
      <c r="N19" s="233">
        <v>1</v>
      </c>
      <c r="O19" s="2"/>
      <c r="P19" s="22"/>
      <c r="Q19" s="59" t="s">
        <v>80</v>
      </c>
      <c r="R19" s="226">
        <f>IF($B$81=0,0,(SUMIF($N$6:$N$28,$U19,K$6:K$28)+SUMIF($N$91:$N$118,$U19,K$91:K$118))*$B$83*$H$84*Poor!$B$81/$B$81)</f>
        <v>536.5007336043949</v>
      </c>
      <c r="S19" s="226">
        <f>IF($B$81=0,0,(SUMIF($N$6:$N$28,$U19,L$6:L$28)+SUMIF($N$91:$N$118,$U19,L$91:L$118))*$B$83*$H$84*Poor!$B$81/$B$81)</f>
        <v>536.5007336043949</v>
      </c>
      <c r="T19" s="226">
        <f>IF($B$81=0,0,(SUMIF($N$6:$N$28,$U19,M$6:M$28)+SUMIF($N$91:$N$118,$U19,M$91:M$118))*$B$83*$H$84*Poor!$B$81/$B$81)</f>
        <v>536.5007336043949</v>
      </c>
      <c r="U19" s="227">
        <v>13</v>
      </c>
      <c r="V19" s="56"/>
      <c r="W19" s="110"/>
      <c r="X19" s="118"/>
      <c r="Y19" s="184"/>
      <c r="Z19" s="156"/>
      <c r="AA19" s="121"/>
      <c r="AB19" s="156"/>
      <c r="AC19" s="121"/>
      <c r="AD19" s="156"/>
      <c r="AE19" s="121"/>
      <c r="AF19" s="122"/>
      <c r="AG19" s="121"/>
      <c r="AH19" s="123"/>
      <c r="AI19" s="184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>FISHING -- see worksheet Data 3</v>
      </c>
      <c r="B20" s="101">
        <f>IF([1]Summ!$J1058="",0,[1]Summ!$J1058)</f>
        <v>1.1706102117061022E-2</v>
      </c>
      <c r="C20" s="102">
        <f>IF([1]Summ!$K1058="",0,[1]Summ!$K1058)</f>
        <v>-1.1706102117061022E-2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9.9317552463331037E-3</v>
      </c>
      <c r="K20" s="22">
        <f t="shared" si="21"/>
        <v>1.1706102117061022E-2</v>
      </c>
      <c r="L20" s="22">
        <f t="shared" si="22"/>
        <v>1.1706102117061022E-2</v>
      </c>
      <c r="M20" s="229">
        <f t="shared" si="23"/>
        <v>9.9317552463331037E-3</v>
      </c>
      <c r="N20" s="233">
        <v>6</v>
      </c>
      <c r="O20" s="2"/>
      <c r="P20" s="22"/>
      <c r="Q20" s="59" t="s">
        <v>81</v>
      </c>
      <c r="R20" s="226">
        <f>IF($B$81=0,0,(SUMIF($N$6:$N$28,$U20,K$6:K$28)+SUMIF($N$91:$N$118,$U20,K$91:K$118))*$B$83*$H$84*Poor!$B$81/$B$81)</f>
        <v>5477.333333333333</v>
      </c>
      <c r="S20" s="226">
        <f>IF($B$81=0,0,(SUMIF($N$6:$N$28,$U20,L$6:L$28)+SUMIF($N$91:$N$118,$U20,L$91:L$118))*$B$83*$H$84*Poor!$B$81/$B$81)</f>
        <v>5477.333333333333</v>
      </c>
      <c r="T20" s="226">
        <f>IF($B$81=0,0,(SUMIF($N$6:$N$28,$U20,M$6:M$28)+SUMIF($N$91:$N$118,$U20,M$91:M$118))*$B$83*$H$84*Poor!$B$81/$B$81)</f>
        <v>5477.333333333333</v>
      </c>
      <c r="U20" s="227">
        <v>14</v>
      </c>
      <c r="V20" s="56"/>
      <c r="W20" s="110"/>
      <c r="X20" s="118"/>
      <c r="Y20" s="184"/>
      <c r="Z20" s="156"/>
      <c r="AA20" s="121"/>
      <c r="AB20" s="156"/>
      <c r="AC20" s="121"/>
      <c r="AD20" s="156"/>
      <c r="AE20" s="121"/>
      <c r="AF20" s="122"/>
      <c r="AG20" s="121"/>
      <c r="AH20" s="123"/>
      <c r="AI20" s="184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>Labour: Land clearing, construction, herding, slaughtering</v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9">
        <f t="shared" si="23"/>
        <v>0</v>
      </c>
      <c r="N21" s="233">
        <v>7</v>
      </c>
      <c r="O21" s="2"/>
      <c r="P21" s="22"/>
      <c r="Q21" s="59" t="s">
        <v>82</v>
      </c>
      <c r="R21" s="226">
        <f>IF($B$81=0,0,(SUMIF($N$6:$N$28,$U21,K$6:K$28)+SUMIF($N$91:$N$118,$U21,K$91:K$118))*$B$83*$H$84*Poor!$B$81/$B$81)</f>
        <v>0</v>
      </c>
      <c r="S21" s="226">
        <f>IF($B$81=0,0,(SUMIF($N$6:$N$28,$U21,L$6:L$28)+SUMIF($N$91:$N$118,$U21,L$91:L$118))*$B$83*$H$84*Poor!$B$81/$B$81)</f>
        <v>0</v>
      </c>
      <c r="T21" s="226">
        <f>IF($B$81=0,0,(SUMIF($N$6:$N$28,$U21,M$6:M$28)+SUMIF($N$91:$N$118,$U21,M$91:M$118))*$B$83*$H$84*Poor!$B$81/$B$81)</f>
        <v>0</v>
      </c>
      <c r="U21" s="227">
        <v>15</v>
      </c>
      <c r="V21" s="56"/>
      <c r="W21" s="110"/>
      <c r="X21" s="118"/>
      <c r="Y21" s="184"/>
      <c r="Z21" s="156"/>
      <c r="AA21" s="121"/>
      <c r="AB21" s="156"/>
      <c r="AC21" s="121"/>
      <c r="AD21" s="156"/>
      <c r="AE21" s="121"/>
      <c r="AF21" s="122"/>
      <c r="AG21" s="121"/>
      <c r="AH21" s="123"/>
      <c r="AI21" s="184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>Labour: Weeding</v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9">
        <f t="shared" si="23"/>
        <v>0</v>
      </c>
      <c r="N22" s="233">
        <v>7</v>
      </c>
      <c r="O22" s="2"/>
      <c r="P22" s="22"/>
      <c r="Q22" s="59" t="s">
        <v>83</v>
      </c>
      <c r="R22" s="226">
        <f>IF($B$81=0,0,(SUMIF($N$6:$N$28,$U22,K$6:K$28)+SUMIF($N$91:$N$118,$U22,K$91:K$118))*$B$83*$H$84*Poor!$B$81/$B$81)</f>
        <v>0</v>
      </c>
      <c r="S22" s="226">
        <f>IF($B$81=0,0,(SUMIF($N$6:$N$28,$U22,L$6:L$28)+SUMIF($N$91:$N$118,$U22,L$91:L$118))*$B$83*$H$84*Poor!$B$81/$B$81)</f>
        <v>0</v>
      </c>
      <c r="T22" s="226">
        <f>IF($B$81=0,0,(SUMIF($N$6:$N$28,$U22,M$6:M$28)+SUMIF($N$91:$N$118,$U22,M$91:M$118))*$B$83*$H$84*Poor!$B$81/$B$81)</f>
        <v>0</v>
      </c>
      <c r="U22" s="227">
        <v>16</v>
      </c>
      <c r="V22" s="56"/>
      <c r="W22" s="110"/>
      <c r="X22" s="118"/>
      <c r="Y22" s="184"/>
      <c r="Z22" s="156"/>
      <c r="AA22" s="121"/>
      <c r="AB22" s="156"/>
      <c r="AC22" s="121"/>
      <c r="AD22" s="156"/>
      <c r="AE22" s="121"/>
      <c r="AF22" s="122"/>
      <c r="AG22" s="121"/>
      <c r="AH22" s="123"/>
      <c r="AI22" s="184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>Gifts/remittances: cereal</v>
      </c>
      <c r="B23" s="101">
        <f>IF([1]Summ!$J1061="",0,[1]Summ!$J1061)</f>
        <v>5.3477723536737236E-2</v>
      </c>
      <c r="C23" s="102">
        <f>IF([1]Summ!$K1061="",0,[1]Summ!$K1061)</f>
        <v>0</v>
      </c>
      <c r="D23" s="24">
        <f t="shared" si="18"/>
        <v>5.3477723536737236E-2</v>
      </c>
      <c r="E23" s="75">
        <f>Middle!E23</f>
        <v>1</v>
      </c>
      <c r="F23" s="22"/>
      <c r="H23" s="24">
        <f t="shared" si="19"/>
        <v>1</v>
      </c>
      <c r="I23" s="22">
        <f t="shared" si="20"/>
        <v>5.3477723536737236E-2</v>
      </c>
      <c r="J23" s="24">
        <f t="shared" si="17"/>
        <v>5.3477723536737236E-2</v>
      </c>
      <c r="K23" s="22">
        <f t="shared" si="21"/>
        <v>5.3477723536737236E-2</v>
      </c>
      <c r="L23" s="22">
        <f t="shared" si="22"/>
        <v>5.3477723536737236E-2</v>
      </c>
      <c r="M23" s="229">
        <f t="shared" si="23"/>
        <v>5.3477723536737236E-2</v>
      </c>
      <c r="N23" s="233">
        <v>13</v>
      </c>
      <c r="O23" s="2"/>
      <c r="P23" s="22"/>
      <c r="Q23" s="171" t="s">
        <v>100</v>
      </c>
      <c r="R23" s="179">
        <f>SUM(R7:R22)</f>
        <v>57051.684200048665</v>
      </c>
      <c r="S23" s="179">
        <f>SUM(S7:S22)</f>
        <v>57051.684200048665</v>
      </c>
      <c r="T23" s="179">
        <f>SUM(T7:T22)</f>
        <v>57262.46038374005</v>
      </c>
      <c r="U23" s="56"/>
      <c r="V23" s="56"/>
      <c r="W23" s="110"/>
      <c r="X23" s="118"/>
      <c r="Y23" s="184"/>
      <c r="Z23" s="156"/>
      <c r="AA23" s="121"/>
      <c r="AB23" s="156"/>
      <c r="AC23" s="121"/>
      <c r="AD23" s="156"/>
      <c r="AE23" s="121"/>
      <c r="AF23" s="122"/>
      <c r="AG23" s="121"/>
      <c r="AH23" s="123"/>
      <c r="AI23" s="184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>Gifts/remittances: Other</v>
      </c>
      <c r="B24" s="101">
        <f>IF([1]Summ!$J1062="",0,[1]Summ!$J1062)</f>
        <v>2.5633042756330427E-2</v>
      </c>
      <c r="C24" s="102">
        <f>IF([1]Summ!$K1062="",0,[1]Summ!$K1062)</f>
        <v>0</v>
      </c>
      <c r="D24" s="24">
        <f t="shared" si="18"/>
        <v>2.5633042756330427E-2</v>
      </c>
      <c r="E24" s="75">
        <f>Middle!E24</f>
        <v>1</v>
      </c>
      <c r="F24" s="22"/>
      <c r="H24" s="24">
        <f t="shared" si="19"/>
        <v>1</v>
      </c>
      <c r="I24" s="22">
        <f t="shared" si="20"/>
        <v>2.5633042756330427E-2</v>
      </c>
      <c r="J24" s="24">
        <f t="shared" si="17"/>
        <v>2.5633042756330427E-2</v>
      </c>
      <c r="K24" s="22">
        <f t="shared" si="21"/>
        <v>2.5633042756330427E-2</v>
      </c>
      <c r="L24" s="22">
        <f t="shared" si="22"/>
        <v>2.5633042756330427E-2</v>
      </c>
      <c r="M24" s="229">
        <f t="shared" si="23"/>
        <v>2.5633042756330427E-2</v>
      </c>
      <c r="N24" s="233">
        <v>13</v>
      </c>
      <c r="O24" s="2"/>
      <c r="P24" s="22"/>
      <c r="Q24" s="59" t="s">
        <v>137</v>
      </c>
      <c r="R24" s="41">
        <f>IF($B$81=0,0,($B$124*$H$124)+1-($D$29*$H$29)-($D$28*$H$28))*$I$83*Poor!$B$81/$B$81</f>
        <v>17059.825222276104</v>
      </c>
      <c r="S24" s="41">
        <f>IF($B$81=0,0,($B$124*($H$124)+1-($D$29*$H$29)-($D$28*$H$28))*$I$83*Poor!$B$81/$B$81)</f>
        <v>17059.825222276104</v>
      </c>
      <c r="T24" s="41">
        <f>IF($B$81=0,0,($B$124*($H$124)+1-($D$29*$H$29)-($D$28*$H$28))*$I$83*Poor!$B$81/$B$81)</f>
        <v>17059.825222276104</v>
      </c>
      <c r="U24" s="56"/>
      <c r="V24" s="56"/>
      <c r="W24" s="110"/>
      <c r="X24" s="118"/>
      <c r="Y24" s="184"/>
      <c r="Z24" s="156"/>
      <c r="AA24" s="121"/>
      <c r="AB24" s="156"/>
      <c r="AC24" s="121"/>
      <c r="AD24" s="156"/>
      <c r="AE24" s="121"/>
      <c r="AF24" s="122"/>
      <c r="AG24" s="121"/>
      <c r="AH24" s="123"/>
      <c r="AI24" s="184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9">
        <f t="shared" si="23"/>
        <v>0</v>
      </c>
      <c r="N25" s="233"/>
      <c r="O25" s="2"/>
      <c r="P25" s="22"/>
      <c r="Q25" s="142" t="s">
        <v>138</v>
      </c>
      <c r="R25" s="41">
        <f>IF($B$81=0,0,($B$124*$H$124)+($B$125*$H$125*$H$84)+1-($D$29*$H$29)-($D$28*$H$28))*$I$83*Poor!$B$81/$B$81</f>
        <v>31038.491888942764</v>
      </c>
      <c r="S25" s="41">
        <f>IF($B$81=0,0,($B$124*$H$124)+($B$125*$H$125*$H$84)+1-($D$29*$H$29)-($D$28*$H$28))*$I$83*Poor!$B$81/$B$81</f>
        <v>31038.491888942764</v>
      </c>
      <c r="T25" s="41">
        <f>IF($B$81=0,0,($B$124*$H$124)+($B$125*$H$125*$H$84)+1-($D$29*$H$29)-($D$28*$H$28))*$I$83*Poor!$B$81/$B$81</f>
        <v>31038.491888942764</v>
      </c>
      <c r="U25" s="56"/>
      <c r="V25" s="56"/>
      <c r="W25" s="110"/>
      <c r="X25" s="118"/>
      <c r="Y25" s="184"/>
      <c r="Z25" s="156"/>
      <c r="AA25" s="121"/>
      <c r="AB25" s="156"/>
      <c r="AC25" s="121"/>
      <c r="AD25" s="156"/>
      <c r="AE25" s="121"/>
      <c r="AF25" s="122"/>
      <c r="AG25" s="121"/>
      <c r="AH25" s="123"/>
      <c r="AI25" s="184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0.10582010582010581</v>
      </c>
      <c r="C26" s="102">
        <f>IF([1]Summ!$K1064="",0,[1]Summ!$K1064)</f>
        <v>0</v>
      </c>
      <c r="D26" s="24">
        <f t="shared" si="0"/>
        <v>0.10582010582010581</v>
      </c>
      <c r="E26" s="75">
        <f>Middle!E26</f>
        <v>1</v>
      </c>
      <c r="F26" s="22"/>
      <c r="H26" s="24">
        <f t="shared" si="1"/>
        <v>1</v>
      </c>
      <c r="I26" s="22">
        <f t="shared" si="2"/>
        <v>0.10582010582010581</v>
      </c>
      <c r="J26" s="24">
        <f>IF(I$32&lt;=1+I131,I26,B26*H26+J$33*(I26-B26*H26))</f>
        <v>0.10582010582010581</v>
      </c>
      <c r="K26" s="22">
        <f t="shared" si="4"/>
        <v>0.10582010582010581</v>
      </c>
      <c r="L26" s="22">
        <f t="shared" si="5"/>
        <v>0.10582010582010581</v>
      </c>
      <c r="M26" s="228">
        <f t="shared" si="6"/>
        <v>0.10582010582010581</v>
      </c>
      <c r="N26" s="233">
        <v>12</v>
      </c>
      <c r="O26" s="2"/>
      <c r="P26" s="22"/>
      <c r="Q26" s="59" t="s">
        <v>139</v>
      </c>
      <c r="R26" s="41">
        <f>IF($B$81=0,0,($B$124*$H$124)+($B$125*$H$125*$H$84)+($B$126*$H$126*$H$84)+1-($D$29*$H$29)-($D$28*$H$28))*$I$83*Poor!$B$81/$B$81</f>
        <v>58782.491888942779</v>
      </c>
      <c r="S26" s="41">
        <f>IF($B$81=0,0,($B$124*$H$124)+($B$125*$H$125*$H$84)+($B$126*$H$126*$H$84)+1-($D$29*$H$29)-($D$28*$H$28))*$I$83*Poor!$B$81/$B$81</f>
        <v>58782.491888942779</v>
      </c>
      <c r="T26" s="41">
        <f>IF($B$81=0,0,($B$124*$H$124)+($B$125*$H$125*$H$84)+($B$126*$H$126*$H$84)+1-($D$29*$H$29)-($D$28*$H$28))*$I$83*Poor!$B$81/$B$81</f>
        <v>58782.491888942779</v>
      </c>
      <c r="U26" s="56"/>
      <c r="V26" s="56"/>
      <c r="W26" s="110"/>
      <c r="X26" s="118"/>
      <c r="Y26" s="184">
        <f t="shared" si="9"/>
        <v>0.42328042328042326</v>
      </c>
      <c r="Z26" s="156">
        <f>Poor!Z26</f>
        <v>0.25</v>
      </c>
      <c r="AA26" s="121">
        <f t="shared" si="16"/>
        <v>0.10582010582010581</v>
      </c>
      <c r="AB26" s="156">
        <f>Poor!AB26</f>
        <v>0.25</v>
      </c>
      <c r="AC26" s="121">
        <f t="shared" si="7"/>
        <v>0.10582010582010581</v>
      </c>
      <c r="AD26" s="156">
        <f>Poor!AD26</f>
        <v>0.25</v>
      </c>
      <c r="AE26" s="121">
        <f t="shared" si="8"/>
        <v>0.10582010582010581</v>
      </c>
      <c r="AF26" s="122">
        <f t="shared" si="10"/>
        <v>0.25</v>
      </c>
      <c r="AG26" s="121">
        <f t="shared" si="11"/>
        <v>0.10582010582010581</v>
      </c>
      <c r="AH26" s="123">
        <f t="shared" si="12"/>
        <v>1</v>
      </c>
      <c r="AI26" s="184">
        <f t="shared" si="13"/>
        <v>0.10582010582010581</v>
      </c>
      <c r="AJ26" s="120">
        <f t="shared" si="14"/>
        <v>0.10582010582010581</v>
      </c>
      <c r="AK26" s="119">
        <f t="shared" si="15"/>
        <v>0.10582010582010581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2.7003904109589038E-2</v>
      </c>
      <c r="C27" s="102">
        <f>IF([1]Summ!$K1065="",0,[1]Summ!$K1065)</f>
        <v>-2.7003904109589038E-2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2.2910800164728219E-2</v>
      </c>
      <c r="K27" s="22">
        <f t="shared" si="4"/>
        <v>2.7003904109589038E-2</v>
      </c>
      <c r="L27" s="22">
        <f t="shared" si="5"/>
        <v>2.7003904109589038E-2</v>
      </c>
      <c r="M27" s="230">
        <f t="shared" si="6"/>
        <v>2.2910800164728219E-2</v>
      </c>
      <c r="N27" s="233"/>
      <c r="O27" s="2"/>
      <c r="P27" s="22"/>
      <c r="Q27" s="126" t="s">
        <v>140</v>
      </c>
      <c r="R27" s="41">
        <f>IF($B$81=0,0,($B$124*$H$124)+($B$125*$H$125*$H$84)+($B$126*$H$126*$H$84)+($B$127*$H$127*$H$84)+1-($D$29*$H$29)-($D$28*$H$28))*$I$83*Poor!$B$81/$B$81</f>
        <v>69013.603000053889</v>
      </c>
      <c r="S27" s="41">
        <f>IF($B$81=0,0,($B$124*$H$124)+($B$125*$H$125*$H$84)+($B$126*$H$126*$H$84)+($B$127*$H$127*$H$84)+1-($D$29*$H$29)-($D$28*$H$28))*$I$83*Poor!$B$81/$B$81</f>
        <v>69013.603000053889</v>
      </c>
      <c r="T27" s="41">
        <f>IF($B$81=0,0,($B$124*$H$124)+($B$125*$H$125*$H$84)+($B$126*$H$126*$H$84)+($B$127*$H$127*$H$84)+1-($D$29*$H$29)-($D$28*$H$28))*$I$83*Poor!$B$81/$B$81</f>
        <v>69013.603000053889</v>
      </c>
      <c r="U27" s="56"/>
      <c r="V27" s="56"/>
      <c r="W27" s="110"/>
      <c r="X27" s="118"/>
      <c r="Y27" s="184">
        <f t="shared" si="9"/>
        <v>9.1643200658912877E-2</v>
      </c>
      <c r="Z27" s="156">
        <f>Poor!Z27</f>
        <v>0.25</v>
      </c>
      <c r="AA27" s="121">
        <f t="shared" si="16"/>
        <v>2.2910800164728219E-2</v>
      </c>
      <c r="AB27" s="156">
        <f>Poor!AB27</f>
        <v>0.25</v>
      </c>
      <c r="AC27" s="121">
        <f t="shared" si="7"/>
        <v>2.2910800164728219E-2</v>
      </c>
      <c r="AD27" s="156">
        <f>Poor!AD27</f>
        <v>0.25</v>
      </c>
      <c r="AE27" s="121">
        <f t="shared" si="8"/>
        <v>2.2910800164728219E-2</v>
      </c>
      <c r="AF27" s="122">
        <f t="shared" si="10"/>
        <v>0.25</v>
      </c>
      <c r="AG27" s="121">
        <f t="shared" si="11"/>
        <v>2.2910800164728219E-2</v>
      </c>
      <c r="AH27" s="123">
        <f t="shared" si="12"/>
        <v>1</v>
      </c>
      <c r="AI27" s="184">
        <f t="shared" si="13"/>
        <v>2.2910800164728219E-2</v>
      </c>
      <c r="AJ27" s="120">
        <f t="shared" si="14"/>
        <v>2.2910800164728219E-2</v>
      </c>
      <c r="AK27" s="119">
        <f t="shared" si="15"/>
        <v>2.2910800164728219E-2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6.0134196762141955E-2</v>
      </c>
      <c r="C28" s="102">
        <f>IF([1]Summ!$K1066="",0,[1]Summ!$K1066)</f>
        <v>-6.0134196762141955E-2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5.1019384437624861E-2</v>
      </c>
      <c r="K28" s="22">
        <f t="shared" si="4"/>
        <v>6.0134196762141955E-2</v>
      </c>
      <c r="L28" s="22">
        <f t="shared" si="5"/>
        <v>6.0134196762141955E-2</v>
      </c>
      <c r="M28" s="228">
        <f t="shared" si="6"/>
        <v>5.1019384437624861E-2</v>
      </c>
      <c r="N28" s="233"/>
      <c r="O28" s="2"/>
      <c r="P28" s="22"/>
      <c r="Q28" s="59"/>
      <c r="R28" s="180"/>
      <c r="S28" s="180"/>
      <c r="T28" s="180"/>
      <c r="U28" s="56"/>
      <c r="V28" s="56"/>
      <c r="W28" s="110"/>
      <c r="X28" s="118"/>
      <c r="Y28" s="184">
        <f t="shared" si="9"/>
        <v>0.20407753775049944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0.10203876887524972</v>
      </c>
      <c r="AF28" s="122">
        <f t="shared" si="10"/>
        <v>0.5</v>
      </c>
      <c r="AG28" s="121">
        <f t="shared" si="11"/>
        <v>0.10203876887524972</v>
      </c>
      <c r="AH28" s="123">
        <f t="shared" si="12"/>
        <v>1</v>
      </c>
      <c r="AI28" s="184">
        <f t="shared" si="13"/>
        <v>5.1019384437624861E-2</v>
      </c>
      <c r="AJ28" s="120">
        <f t="shared" si="14"/>
        <v>0</v>
      </c>
      <c r="AK28" s="119">
        <f t="shared" si="15"/>
        <v>0.10203876887524972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0.37946879601494388</v>
      </c>
      <c r="C29" s="102">
        <f>IF([1]Summ!$K1067="",0,[1]Summ!$K1067)</f>
        <v>0.1072783189171555</v>
      </c>
      <c r="D29" s="24">
        <f t="shared" si="0"/>
        <v>0.48674711493209938</v>
      </c>
      <c r="E29" s="75">
        <f>Middle!E29</f>
        <v>1</v>
      </c>
      <c r="F29" s="22"/>
      <c r="H29" s="24">
        <f t="shared" si="1"/>
        <v>1</v>
      </c>
      <c r="I29" s="22">
        <f t="shared" si="2"/>
        <v>0.48674711493209938</v>
      </c>
      <c r="J29" s="24">
        <f>IF(I$32&lt;=1+I131,I29,B29*H29+J$33*(I29-B29*H29))</f>
        <v>0.39572945627265538</v>
      </c>
      <c r="K29" s="22">
        <f t="shared" si="4"/>
        <v>0.37946879601494388</v>
      </c>
      <c r="L29" s="22">
        <f t="shared" si="5"/>
        <v>0.37946879601494388</v>
      </c>
      <c r="M29" s="175">
        <f t="shared" si="6"/>
        <v>0.39572945627265538</v>
      </c>
      <c r="N29" s="233"/>
      <c r="P29" s="22"/>
      <c r="V29" s="56"/>
      <c r="W29" s="110"/>
      <c r="X29" s="118"/>
      <c r="Y29" s="184">
        <f t="shared" si="9"/>
        <v>1.5829178250906215</v>
      </c>
      <c r="Z29" s="156">
        <f>Poor!Z29</f>
        <v>0.25</v>
      </c>
      <c r="AA29" s="121">
        <f t="shared" si="16"/>
        <v>0.39572945627265538</v>
      </c>
      <c r="AB29" s="156">
        <f>Poor!AB29</f>
        <v>0.25</v>
      </c>
      <c r="AC29" s="121">
        <f t="shared" si="7"/>
        <v>0.39572945627265538</v>
      </c>
      <c r="AD29" s="156">
        <f>Poor!AD29</f>
        <v>0.25</v>
      </c>
      <c r="AE29" s="121">
        <f t="shared" si="8"/>
        <v>0.39572945627265538</v>
      </c>
      <c r="AF29" s="122">
        <f t="shared" si="10"/>
        <v>0.25</v>
      </c>
      <c r="AG29" s="121">
        <f t="shared" si="11"/>
        <v>0.39572945627265538</v>
      </c>
      <c r="AH29" s="123">
        <f t="shared" si="12"/>
        <v>1</v>
      </c>
      <c r="AI29" s="184">
        <f t="shared" si="13"/>
        <v>0.39572945627265538</v>
      </c>
      <c r="AJ29" s="120">
        <f t="shared" si="14"/>
        <v>0.39572945627265538</v>
      </c>
      <c r="AK29" s="119">
        <f t="shared" si="15"/>
        <v>0.39572945627265538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0.37766361145703609</v>
      </c>
      <c r="C30" s="65"/>
      <c r="D30" s="24">
        <f>(D119-B124)</f>
        <v>5.6519242758771258</v>
      </c>
      <c r="E30" s="75">
        <f>Middle!E30</f>
        <v>1</v>
      </c>
      <c r="H30" s="96">
        <f>(E30*F$7/F$9)</f>
        <v>1</v>
      </c>
      <c r="I30" s="29">
        <f>IF(E30&gt;=1,I119-I124,MIN(I119-I124,B30*H30))</f>
        <v>5.6519242758771258</v>
      </c>
      <c r="J30" s="235">
        <f>IF(I$32&lt;=$B$32,I30,$B$32-SUM(J6:J29))</f>
        <v>0.35646406828292565</v>
      </c>
      <c r="K30" s="22">
        <f t="shared" si="4"/>
        <v>0.37766361145703609</v>
      </c>
      <c r="L30" s="22">
        <f>IF(L124=L119,0,IF(K30="",0,(L119-L124)/(B119-B124)*K30))</f>
        <v>0.37766361145703609</v>
      </c>
      <c r="M30" s="175">
        <f t="shared" si="6"/>
        <v>0.35646406828292565</v>
      </c>
      <c r="N30" s="166" t="s">
        <v>86</v>
      </c>
      <c r="O30" s="2"/>
      <c r="P30" s="22"/>
      <c r="V30" s="56"/>
      <c r="W30" s="110"/>
      <c r="X30" s="118"/>
      <c r="Y30" s="184">
        <f>M30*4</f>
        <v>1.4258562731317026</v>
      </c>
      <c r="Z30" s="122">
        <f>IF($Y30=0,0,AA30/($Y$30))</f>
        <v>0</v>
      </c>
      <c r="AA30" s="188">
        <f>IF(AA79*4/$I$83+SUM(AA6:AA29)&lt;1,AA79*4/$I$83,1-SUM(AA6:AA29))</f>
        <v>0</v>
      </c>
      <c r="AB30" s="122">
        <f>IF($Y30=0,0,AC30/($Y$30))</f>
        <v>0</v>
      </c>
      <c r="AC30" s="188">
        <f>IF(AC79*4/$I$83+SUM(AC6:AC29)&lt;1,AC79*4/$I$83,1-SUM(AC6:AC29))</f>
        <v>0</v>
      </c>
      <c r="AD30" s="122">
        <f>IF($Y30=0,0,AE30/($Y$30))</f>
        <v>-1.0899497531453094E-2</v>
      </c>
      <c r="AE30" s="188">
        <f>IF(AE79*4/$I$83+SUM(AE6:AE29)&lt;1,AE79*4/$I$83,1-SUM(AE6:AE29))</f>
        <v>-1.55411169292059E-2</v>
      </c>
      <c r="AF30" s="122">
        <f>IF($Y30=0,0,AG30/($Y$30))</f>
        <v>-0.58302968532485078</v>
      </c>
      <c r="AG30" s="188">
        <f>IF(AG79*4/$I$83+SUM(AG6:AG29)&lt;1,AG79*4/$I$83,1-SUM(AG6:AG29))</f>
        <v>-0.83131653424244112</v>
      </c>
      <c r="AH30" s="123">
        <f t="shared" si="12"/>
        <v>-0.59392918285630392</v>
      </c>
      <c r="AI30" s="184">
        <f t="shared" si="13"/>
        <v>-0.21171441279291175</v>
      </c>
      <c r="AJ30" s="120">
        <f t="shared" si="14"/>
        <v>0</v>
      </c>
      <c r="AK30" s="119">
        <f t="shared" si="15"/>
        <v>-0.42342882558582351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6">
        <f>($B$32-SUM(J6:J30))</f>
        <v>0</v>
      </c>
      <c r="K31" s="22" t="str">
        <f t="shared" si="4"/>
        <v/>
      </c>
      <c r="L31" s="22">
        <f>(1-SUM(L6:L30))</f>
        <v>-0.68800542494284</v>
      </c>
      <c r="M31" s="178">
        <f t="shared" si="6"/>
        <v>0</v>
      </c>
      <c r="N31" s="167">
        <f>M31*I83</f>
        <v>0</v>
      </c>
      <c r="P31" s="22"/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3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1.68800542494284</v>
      </c>
      <c r="C32" s="29">
        <f>SUM(C6:C31)</f>
        <v>0.13986217764138414</v>
      </c>
      <c r="D32" s="24">
        <f>SUM(D6:D30)</f>
        <v>7.1021282670043133</v>
      </c>
      <c r="E32" s="2"/>
      <c r="F32" s="2"/>
      <c r="H32" s="17"/>
      <c r="I32" s="22">
        <f>SUM(I6:I30)</f>
        <v>7.1021282670043133</v>
      </c>
      <c r="J32" s="17"/>
      <c r="L32" s="22">
        <f>SUM(L6:L30)</f>
        <v>1.68800542494284</v>
      </c>
      <c r="M32" s="23"/>
      <c r="N32" s="56"/>
      <c r="O32" s="2"/>
      <c r="P32" s="22"/>
      <c r="V32" s="56"/>
      <c r="W32" s="110"/>
      <c r="X32" s="118"/>
      <c r="Y32" s="115">
        <f>SUM(Y6:Y31)</f>
        <v>6.2727139243033498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0.15157452523345932</v>
      </c>
      <c r="K33" s="14"/>
      <c r="L33" s="11"/>
      <c r="M33" s="30"/>
      <c r="N33" s="168" t="s">
        <v>87</v>
      </c>
      <c r="O33" s="2"/>
      <c r="P33" s="2"/>
      <c r="R33" s="180">
        <v>57052</v>
      </c>
      <c r="S33" s="180">
        <v>64618</v>
      </c>
      <c r="T33" s="22">
        <f>S33/R33</f>
        <v>1.1326158592161537</v>
      </c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R34" s="180">
        <v>17060</v>
      </c>
      <c r="S34" s="180">
        <v>19322</v>
      </c>
      <c r="T34" s="22">
        <f t="shared" ref="T34:T37" si="24">S34/R34</f>
        <v>1.132590855803048</v>
      </c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180">
        <v>31038</v>
      </c>
      <c r="S35" s="180">
        <v>35155</v>
      </c>
      <c r="T35" s="22">
        <f t="shared" si="24"/>
        <v>1.1326438559185514</v>
      </c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R36" s="180">
        <v>58782</v>
      </c>
      <c r="S36" s="180">
        <v>66578</v>
      </c>
      <c r="T36" s="22">
        <f t="shared" si="24"/>
        <v>1.1326256336973903</v>
      </c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8000</v>
      </c>
      <c r="C37" s="104">
        <f>IF([1]Summ!$K1072="",0,[1]Summ!$K1072)</f>
        <v>2000</v>
      </c>
      <c r="D37" s="38">
        <f t="shared" ref="D37:D64" si="25">B37+C37</f>
        <v>10000</v>
      </c>
      <c r="E37" s="75">
        <f>Middle!E37</f>
        <v>1</v>
      </c>
      <c r="F37" s="75">
        <f>Middle!F37</f>
        <v>1</v>
      </c>
      <c r="G37" s="75">
        <f>Middle!G37</f>
        <v>1</v>
      </c>
      <c r="H37" s="24">
        <f t="shared" ref="H37:H52" si="26">(E37*F37)</f>
        <v>1</v>
      </c>
      <c r="I37" s="39">
        <f t="shared" ref="I37:I52" si="27">D37*H37</f>
        <v>10000</v>
      </c>
      <c r="J37" s="38">
        <f>J91*I$83</f>
        <v>8303.1490504669182</v>
      </c>
      <c r="K37" s="40">
        <f t="shared" ref="K37:K52" si="28">(B37/B$65)</f>
        <v>0.13853773421535689</v>
      </c>
      <c r="L37" s="22">
        <f t="shared" ref="L37:L52" si="29">(K37*H37)</f>
        <v>0.13853773421535689</v>
      </c>
      <c r="M37" s="24">
        <f t="shared" ref="M37:M52" si="30">J37/B$65</f>
        <v>0.14378743203800987</v>
      </c>
      <c r="N37" s="2"/>
      <c r="O37" s="2"/>
      <c r="P37" s="2"/>
      <c r="Q37" s="2"/>
      <c r="R37" s="180">
        <v>69014</v>
      </c>
      <c r="S37" s="180">
        <v>78166</v>
      </c>
      <c r="T37" s="224">
        <f t="shared" si="24"/>
        <v>1.1326107746254384</v>
      </c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8303.1490504669182</v>
      </c>
      <c r="AH37" s="123">
        <f>SUM(Z37,AB37,AD37,AF37)</f>
        <v>1</v>
      </c>
      <c r="AI37" s="112">
        <f>SUM(AA37,AC37,AE37,AG37)</f>
        <v>8303.1490504669182</v>
      </c>
      <c r="AJ37" s="148">
        <f>(AA37+AC37)</f>
        <v>0</v>
      </c>
      <c r="AK37" s="147">
        <f>(AE37+AG37)</f>
        <v>8303.1490504669182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2500</v>
      </c>
      <c r="C38" s="104">
        <f>IF([1]Summ!$K1073="",0,[1]Summ!$K1073)</f>
        <v>500</v>
      </c>
      <c r="D38" s="38">
        <f t="shared" si="25"/>
        <v>3000</v>
      </c>
      <c r="E38" s="75">
        <f>Middle!E38</f>
        <v>1</v>
      </c>
      <c r="F38" s="75">
        <f>Middle!F38</f>
        <v>1</v>
      </c>
      <c r="G38" s="22">
        <f t="shared" ref="G38:G64" si="32">(G$37)</f>
        <v>1</v>
      </c>
      <c r="H38" s="24">
        <f t="shared" si="26"/>
        <v>1</v>
      </c>
      <c r="I38" s="39">
        <f t="shared" si="27"/>
        <v>3000</v>
      </c>
      <c r="J38" s="38">
        <f t="shared" ref="J38:J64" si="33">J92*I$83</f>
        <v>2575.7872626167291</v>
      </c>
      <c r="K38" s="40">
        <f t="shared" si="28"/>
        <v>4.3293041942299035E-2</v>
      </c>
      <c r="L38" s="22">
        <f t="shared" si="29"/>
        <v>4.3293041942299035E-2</v>
      </c>
      <c r="M38" s="24">
        <f t="shared" si="30"/>
        <v>4.4605466397962271E-2</v>
      </c>
      <c r="N38" s="2"/>
      <c r="O38" s="2"/>
      <c r="P38" s="2"/>
      <c r="Q38" s="59"/>
      <c r="R38" s="180"/>
      <c r="S38" s="180"/>
      <c r="T38" s="180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2575.7872626167291</v>
      </c>
      <c r="AH38" s="123">
        <f t="shared" ref="AH38:AI58" si="35">SUM(Z38,AB38,AD38,AF38)</f>
        <v>1</v>
      </c>
      <c r="AI38" s="112">
        <f t="shared" si="35"/>
        <v>2575.7872626167291</v>
      </c>
      <c r="AJ38" s="148">
        <f t="shared" ref="AJ38:AJ64" si="36">(AA38+AC38)</f>
        <v>0</v>
      </c>
      <c r="AK38" s="147">
        <f t="shared" ref="AK38:AK64" si="37">(AE38+AG38)</f>
        <v>2575.7872626167291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Chicken sales: no. sold</v>
      </c>
      <c r="B39" s="104">
        <f>IF([1]Summ!$J1074="",0,[1]Summ!$J1074)</f>
        <v>550</v>
      </c>
      <c r="C39" s="104">
        <f>IF([1]Summ!$K1074="",0,[1]Summ!$K1074)</f>
        <v>0</v>
      </c>
      <c r="D39" s="38">
        <f t="shared" si="25"/>
        <v>550</v>
      </c>
      <c r="E39" s="75">
        <f>Middle!E39</f>
        <v>1</v>
      </c>
      <c r="F39" s="75">
        <f>Middle!F39</f>
        <v>1</v>
      </c>
      <c r="G39" s="22">
        <f t="shared" si="32"/>
        <v>1</v>
      </c>
      <c r="H39" s="24">
        <f t="shared" si="26"/>
        <v>1</v>
      </c>
      <c r="I39" s="39">
        <f t="shared" si="27"/>
        <v>550</v>
      </c>
      <c r="J39" s="38">
        <f t="shared" si="33"/>
        <v>550</v>
      </c>
      <c r="K39" s="40">
        <f t="shared" si="28"/>
        <v>9.5244692273057877E-3</v>
      </c>
      <c r="L39" s="22">
        <f t="shared" si="29"/>
        <v>9.5244692273057877E-3</v>
      </c>
      <c r="M39" s="24">
        <f t="shared" si="30"/>
        <v>9.5244692273057877E-3</v>
      </c>
      <c r="N39" s="2"/>
      <c r="O39" s="2"/>
      <c r="P39" s="2"/>
      <c r="Q39" s="59"/>
      <c r="R39" s="180"/>
      <c r="S39" s="180"/>
      <c r="T39" s="180"/>
      <c r="U39" s="56"/>
      <c r="V39" s="56"/>
      <c r="W39" s="115"/>
      <c r="X39" s="118">
        <f>X8</f>
        <v>1</v>
      </c>
      <c r="Y39" s="110"/>
      <c r="Z39" s="122">
        <f>Z8</f>
        <v>0.21543191461063491</v>
      </c>
      <c r="AA39" s="147">
        <f>$J39*Z39</f>
        <v>118.4875530358492</v>
      </c>
      <c r="AB39" s="122">
        <f>AB8</f>
        <v>0.248899287992776</v>
      </c>
      <c r="AC39" s="147">
        <f>$J39*AB39</f>
        <v>136.8946083960268</v>
      </c>
      <c r="AD39" s="122">
        <f>AD8</f>
        <v>0</v>
      </c>
      <c r="AE39" s="147">
        <f>$J39*AD39</f>
        <v>0</v>
      </c>
      <c r="AF39" s="122">
        <f t="shared" si="31"/>
        <v>0.53566879739658912</v>
      </c>
      <c r="AG39" s="147">
        <f t="shared" si="34"/>
        <v>294.617838568124</v>
      </c>
      <c r="AH39" s="123">
        <f t="shared" si="35"/>
        <v>1</v>
      </c>
      <c r="AI39" s="112">
        <f t="shared" si="35"/>
        <v>550</v>
      </c>
      <c r="AJ39" s="148">
        <f t="shared" si="36"/>
        <v>255.382161431876</v>
      </c>
      <c r="AK39" s="147">
        <f t="shared" si="37"/>
        <v>294.617838568124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Maize: kg produced</v>
      </c>
      <c r="B40" s="104">
        <f>IF([1]Summ!$J1075="",0,[1]Summ!$J1075)</f>
        <v>655</v>
      </c>
      <c r="C40" s="104">
        <f>IF([1]Summ!$K1075="",0,[1]Summ!$K1075)</f>
        <v>-655</v>
      </c>
      <c r="D40" s="38">
        <f t="shared" si="25"/>
        <v>0</v>
      </c>
      <c r="E40" s="75">
        <f>Middle!E40</f>
        <v>1</v>
      </c>
      <c r="F40" s="75">
        <f>Middle!F40</f>
        <v>1</v>
      </c>
      <c r="G40" s="22">
        <f t="shared" si="32"/>
        <v>1</v>
      </c>
      <c r="H40" s="24">
        <f t="shared" si="26"/>
        <v>1</v>
      </c>
      <c r="I40" s="39">
        <f t="shared" si="27"/>
        <v>0</v>
      </c>
      <c r="J40" s="38">
        <f t="shared" si="33"/>
        <v>555.71868597208424</v>
      </c>
      <c r="K40" s="40">
        <f t="shared" si="28"/>
        <v>1.1342776988882346E-2</v>
      </c>
      <c r="L40" s="22">
        <f t="shared" si="29"/>
        <v>1.1342776988882346E-2</v>
      </c>
      <c r="M40" s="24">
        <f t="shared" si="30"/>
        <v>9.6235009519634995E-3</v>
      </c>
      <c r="N40" s="2"/>
      <c r="O40" s="2"/>
      <c r="P40" s="2"/>
      <c r="Q40" s="56"/>
      <c r="R40" s="68"/>
      <c r="S40" s="68"/>
      <c r="T40" s="68"/>
      <c r="U40" s="56"/>
      <c r="V40" s="56"/>
      <c r="W40" s="115"/>
      <c r="X40" s="118">
        <f>X9</f>
        <v>1</v>
      </c>
      <c r="Y40" s="110"/>
      <c r="Z40" s="122">
        <f>Z9</f>
        <v>0.21543191461063491</v>
      </c>
      <c r="AA40" s="147">
        <f>$J40*Z40</f>
        <v>119.71954050387228</v>
      </c>
      <c r="AB40" s="122">
        <f>AB9</f>
        <v>0.24889928799277597</v>
      </c>
      <c r="AC40" s="147">
        <f>$J40*AB40</f>
        <v>138.31798526273283</v>
      </c>
      <c r="AD40" s="122">
        <f>AD9</f>
        <v>0</v>
      </c>
      <c r="AE40" s="147">
        <f>$J40*AD40</f>
        <v>0</v>
      </c>
      <c r="AF40" s="122">
        <f t="shared" si="31"/>
        <v>0.53566879739658912</v>
      </c>
      <c r="AG40" s="147">
        <f t="shared" si="34"/>
        <v>297.6811602054791</v>
      </c>
      <c r="AH40" s="123">
        <f t="shared" si="35"/>
        <v>1</v>
      </c>
      <c r="AI40" s="112">
        <f t="shared" si="35"/>
        <v>555.71868597208413</v>
      </c>
      <c r="AJ40" s="148">
        <f t="shared" si="36"/>
        <v>258.03752576660509</v>
      </c>
      <c r="AK40" s="147">
        <f t="shared" si="37"/>
        <v>297.6811602054791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Beans: kg produced</v>
      </c>
      <c r="B41" s="104">
        <f>IF([1]Summ!$J1076="",0,[1]Summ!$J1076)</f>
        <v>1250</v>
      </c>
      <c r="C41" s="104">
        <f>IF([1]Summ!$K1076="",0,[1]Summ!$K1076)</f>
        <v>1075</v>
      </c>
      <c r="D41" s="38">
        <f t="shared" si="25"/>
        <v>2325</v>
      </c>
      <c r="E41" s="75">
        <f>Middle!E41</f>
        <v>1</v>
      </c>
      <c r="F41" s="75">
        <f>Middle!F41</f>
        <v>1</v>
      </c>
      <c r="G41" s="22">
        <f t="shared" si="32"/>
        <v>1</v>
      </c>
      <c r="H41" s="24">
        <f t="shared" si="26"/>
        <v>1</v>
      </c>
      <c r="I41" s="39">
        <f t="shared" si="27"/>
        <v>2325</v>
      </c>
      <c r="J41" s="38">
        <f t="shared" si="33"/>
        <v>1412.9426146259686</v>
      </c>
      <c r="K41" s="40">
        <f t="shared" si="28"/>
        <v>2.1646520971149517E-2</v>
      </c>
      <c r="L41" s="22">
        <f t="shared" si="29"/>
        <v>2.1646520971149517E-2</v>
      </c>
      <c r="M41" s="24">
        <f t="shared" si="30"/>
        <v>2.4468233550825488E-2</v>
      </c>
      <c r="N41" s="2"/>
      <c r="O41" s="2"/>
      <c r="P41" s="2"/>
      <c r="Q41" s="59"/>
      <c r="R41" s="219"/>
      <c r="S41" s="219"/>
      <c r="T41" s="219"/>
      <c r="U41" s="56"/>
      <c r="V41" s="56"/>
      <c r="W41" s="115"/>
      <c r="X41" s="118">
        <f>X11</f>
        <v>1</v>
      </c>
      <c r="Y41" s="110"/>
      <c r="Z41" s="122">
        <f>Z11</f>
        <v>0.21543191461063493</v>
      </c>
      <c r="AA41" s="147">
        <f>$J41*Z41</f>
        <v>304.39293270382893</v>
      </c>
      <c r="AB41" s="122">
        <f>AB11</f>
        <v>0.24889928799277597</v>
      </c>
      <c r="AC41" s="147">
        <f>$J41*AB41</f>
        <v>351.68041075505482</v>
      </c>
      <c r="AD41" s="122">
        <f>AD11</f>
        <v>0</v>
      </c>
      <c r="AE41" s="147">
        <f>$J41*AD41</f>
        <v>0</v>
      </c>
      <c r="AF41" s="122">
        <f t="shared" si="31"/>
        <v>0.53566879739658912</v>
      </c>
      <c r="AG41" s="147">
        <f t="shared" si="34"/>
        <v>756.86927116708489</v>
      </c>
      <c r="AH41" s="123">
        <f t="shared" si="35"/>
        <v>1</v>
      </c>
      <c r="AI41" s="112">
        <f t="shared" si="35"/>
        <v>1412.9426146259686</v>
      </c>
      <c r="AJ41" s="148">
        <f t="shared" si="36"/>
        <v>656.07334345888376</v>
      </c>
      <c r="AK41" s="147">
        <f t="shared" si="37"/>
        <v>756.86927116708489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Water melon: no. local meas (Bhece)</v>
      </c>
      <c r="B42" s="104">
        <f>IF([1]Summ!$J1077="",0,[1]Summ!$J1077)</f>
        <v>99</v>
      </c>
      <c r="C42" s="104">
        <f>IF([1]Summ!$K1077="",0,[1]Summ!$K1077)</f>
        <v>-99</v>
      </c>
      <c r="D42" s="38">
        <f t="shared" si="25"/>
        <v>0</v>
      </c>
      <c r="E42" s="75">
        <f>Middle!E42</f>
        <v>1</v>
      </c>
      <c r="F42" s="75">
        <f>Middle!F42</f>
        <v>1</v>
      </c>
      <c r="G42" s="22">
        <f t="shared" si="32"/>
        <v>1</v>
      </c>
      <c r="H42" s="24">
        <f t="shared" si="26"/>
        <v>1</v>
      </c>
      <c r="I42" s="39">
        <f t="shared" si="27"/>
        <v>0</v>
      </c>
      <c r="J42" s="38">
        <f t="shared" si="33"/>
        <v>83.994122001887519</v>
      </c>
      <c r="K42" s="40">
        <f t="shared" si="28"/>
        <v>1.7144044609150417E-3</v>
      </c>
      <c r="L42" s="22">
        <f t="shared" si="29"/>
        <v>1.7144044609150417E-3</v>
      </c>
      <c r="M42" s="24">
        <f t="shared" si="30"/>
        <v>1.4545444186937193E-3</v>
      </c>
      <c r="N42" s="2"/>
      <c r="O42" s="2"/>
      <c r="P42" s="2"/>
      <c r="Q42" s="59"/>
      <c r="R42" s="219"/>
      <c r="S42" s="219"/>
      <c r="T42" s="219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20.99853050047188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41.997061000943759</v>
      </c>
      <c r="AF42" s="122">
        <f t="shared" si="31"/>
        <v>0.25</v>
      </c>
      <c r="AG42" s="147">
        <f t="shared" si="34"/>
        <v>20.99853050047188</v>
      </c>
      <c r="AH42" s="123">
        <f t="shared" si="35"/>
        <v>1</v>
      </c>
      <c r="AI42" s="112">
        <f t="shared" si="35"/>
        <v>83.994122001887519</v>
      </c>
      <c r="AJ42" s="148">
        <f t="shared" si="36"/>
        <v>20.99853050047188</v>
      </c>
      <c r="AK42" s="147">
        <f t="shared" si="37"/>
        <v>62.995591501415639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Sweet poatato: no. local meas</v>
      </c>
      <c r="B43" s="104">
        <f>IF([1]Summ!$J1078="",0,[1]Summ!$J1078)</f>
        <v>750</v>
      </c>
      <c r="C43" s="104">
        <f>IF([1]Summ!$K1078="",0,[1]Summ!$K1078)</f>
        <v>-750</v>
      </c>
      <c r="D43" s="38">
        <f t="shared" si="25"/>
        <v>0</v>
      </c>
      <c r="E43" s="75">
        <f>Middle!E43</f>
        <v>1</v>
      </c>
      <c r="F43" s="75">
        <f>Middle!F43</f>
        <v>1</v>
      </c>
      <c r="G43" s="22">
        <f t="shared" si="32"/>
        <v>1</v>
      </c>
      <c r="H43" s="24">
        <f t="shared" si="26"/>
        <v>1</v>
      </c>
      <c r="I43" s="39">
        <f t="shared" si="27"/>
        <v>0</v>
      </c>
      <c r="J43" s="38">
        <f t="shared" si="33"/>
        <v>636.31910607490545</v>
      </c>
      <c r="K43" s="40">
        <f t="shared" si="28"/>
        <v>1.298791258268971E-2</v>
      </c>
      <c r="L43" s="22">
        <f t="shared" si="29"/>
        <v>1.298791258268971E-2</v>
      </c>
      <c r="M43" s="24">
        <f t="shared" si="30"/>
        <v>1.1019275899194844E-2</v>
      </c>
      <c r="N43" s="2"/>
      <c r="O43" s="2"/>
      <c r="P43" s="2"/>
      <c r="Q43" s="56"/>
      <c r="R43" s="56"/>
      <c r="S43" s="56"/>
      <c r="T43" s="56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159.07977651872636</v>
      </c>
      <c r="AB43" s="156">
        <f>Poor!AB43</f>
        <v>0.25</v>
      </c>
      <c r="AC43" s="147">
        <f t="shared" si="39"/>
        <v>159.07977651872636</v>
      </c>
      <c r="AD43" s="156">
        <f>Poor!AD43</f>
        <v>0.25</v>
      </c>
      <c r="AE43" s="147">
        <f t="shared" si="40"/>
        <v>159.07977651872636</v>
      </c>
      <c r="AF43" s="122">
        <f t="shared" si="31"/>
        <v>0.25</v>
      </c>
      <c r="AG43" s="147">
        <f t="shared" si="34"/>
        <v>159.07977651872636</v>
      </c>
      <c r="AH43" s="123">
        <f t="shared" si="35"/>
        <v>1</v>
      </c>
      <c r="AI43" s="112">
        <f t="shared" si="35"/>
        <v>636.31910607490545</v>
      </c>
      <c r="AJ43" s="148">
        <f t="shared" si="36"/>
        <v>318.15955303745272</v>
      </c>
      <c r="AK43" s="147">
        <f t="shared" si="37"/>
        <v>318.15955303745272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Groundnuts (dry): no. local meas</v>
      </c>
      <c r="B44" s="104">
        <f>IF([1]Summ!$J1079="",0,[1]Summ!$J1079)</f>
        <v>1140</v>
      </c>
      <c r="C44" s="104">
        <f>IF([1]Summ!$K1079="",0,[1]Summ!$K1079)</f>
        <v>-1140</v>
      </c>
      <c r="D44" s="38">
        <f t="shared" si="25"/>
        <v>0</v>
      </c>
      <c r="E44" s="75">
        <f>Middle!E44</f>
        <v>1</v>
      </c>
      <c r="F44" s="75">
        <f>Middle!F44</f>
        <v>1</v>
      </c>
      <c r="G44" s="22">
        <f t="shared" si="32"/>
        <v>1</v>
      </c>
      <c r="H44" s="24">
        <f t="shared" si="26"/>
        <v>1</v>
      </c>
      <c r="I44" s="39">
        <f t="shared" si="27"/>
        <v>0</v>
      </c>
      <c r="J44" s="38">
        <f t="shared" si="33"/>
        <v>967.20504123385615</v>
      </c>
      <c r="K44" s="40">
        <f t="shared" si="28"/>
        <v>1.974162712568836E-2</v>
      </c>
      <c r="L44" s="22">
        <f t="shared" si="29"/>
        <v>1.974162712568836E-2</v>
      </c>
      <c r="M44" s="24">
        <f t="shared" si="30"/>
        <v>1.674929936677616E-2</v>
      </c>
      <c r="N44" s="2"/>
      <c r="O44" s="2"/>
      <c r="P44" s="2"/>
      <c r="Q44" s="59"/>
      <c r="R44" s="219"/>
      <c r="S44" s="219"/>
      <c r="T44" s="219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241.80126030846404</v>
      </c>
      <c r="AB44" s="156">
        <f>Poor!AB44</f>
        <v>0.25</v>
      </c>
      <c r="AC44" s="147">
        <f t="shared" si="39"/>
        <v>241.80126030846404</v>
      </c>
      <c r="AD44" s="156">
        <f>Poor!AD44</f>
        <v>0.25</v>
      </c>
      <c r="AE44" s="147">
        <f t="shared" si="40"/>
        <v>241.80126030846404</v>
      </c>
      <c r="AF44" s="122">
        <f t="shared" si="31"/>
        <v>0.25</v>
      </c>
      <c r="AG44" s="147">
        <f t="shared" si="34"/>
        <v>241.80126030846404</v>
      </c>
      <c r="AH44" s="123">
        <f t="shared" si="35"/>
        <v>1</v>
      </c>
      <c r="AI44" s="112">
        <f t="shared" si="35"/>
        <v>967.20504123385615</v>
      </c>
      <c r="AJ44" s="148">
        <f t="shared" si="36"/>
        <v>483.60252061692808</v>
      </c>
      <c r="AK44" s="147">
        <f t="shared" si="37"/>
        <v>483.60252061692808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Irish potato: type</v>
      </c>
      <c r="B45" s="104">
        <f>IF([1]Summ!$J1080="",0,[1]Summ!$J1080)</f>
        <v>280</v>
      </c>
      <c r="C45" s="104">
        <f>IF([1]Summ!$K1080="",0,[1]Summ!$K1080)</f>
        <v>-280</v>
      </c>
      <c r="D45" s="38">
        <f t="shared" si="25"/>
        <v>0</v>
      </c>
      <c r="E45" s="75">
        <f>Middle!E45</f>
        <v>1</v>
      </c>
      <c r="F45" s="75">
        <f>Middle!F45</f>
        <v>1</v>
      </c>
      <c r="G45" s="22">
        <f t="shared" si="32"/>
        <v>1</v>
      </c>
      <c r="H45" s="24">
        <f t="shared" si="26"/>
        <v>1</v>
      </c>
      <c r="I45" s="39">
        <f t="shared" si="27"/>
        <v>0</v>
      </c>
      <c r="J45" s="38">
        <f t="shared" si="33"/>
        <v>237.55913293463141</v>
      </c>
      <c r="K45" s="40">
        <f t="shared" si="28"/>
        <v>4.8488206975374915E-3</v>
      </c>
      <c r="L45" s="22">
        <f t="shared" si="29"/>
        <v>4.8488206975374915E-3</v>
      </c>
      <c r="M45" s="24">
        <f t="shared" si="30"/>
        <v>4.1138630023660758E-3</v>
      </c>
      <c r="N45" s="2"/>
      <c r="O45" s="2"/>
      <c r="P45" s="2"/>
      <c r="Q45" s="2"/>
      <c r="R45" s="2"/>
      <c r="S45" s="2"/>
      <c r="T45" s="69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59.389783233657852</v>
      </c>
      <c r="AB45" s="156">
        <f>Poor!AB45</f>
        <v>0.25</v>
      </c>
      <c r="AC45" s="147">
        <f t="shared" si="39"/>
        <v>59.389783233657852</v>
      </c>
      <c r="AD45" s="156">
        <f>Poor!AD45</f>
        <v>0.25</v>
      </c>
      <c r="AE45" s="147">
        <f t="shared" si="40"/>
        <v>59.389783233657852</v>
      </c>
      <c r="AF45" s="122">
        <f t="shared" si="31"/>
        <v>0.25</v>
      </c>
      <c r="AG45" s="147">
        <f t="shared" si="34"/>
        <v>59.389783233657852</v>
      </c>
      <c r="AH45" s="123">
        <f t="shared" si="35"/>
        <v>1</v>
      </c>
      <c r="AI45" s="112">
        <f t="shared" si="35"/>
        <v>237.55913293463141</v>
      </c>
      <c r="AJ45" s="148">
        <f t="shared" si="36"/>
        <v>118.7795664673157</v>
      </c>
      <c r="AK45" s="147">
        <f t="shared" si="37"/>
        <v>118.7795664673157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Yam: type</v>
      </c>
      <c r="B46" s="104">
        <f>IF([1]Summ!$J1081="",0,[1]Summ!$J1081)</f>
        <v>500</v>
      </c>
      <c r="C46" s="104">
        <f>IF([1]Summ!$K1081="",0,[1]Summ!$K1081)</f>
        <v>0</v>
      </c>
      <c r="D46" s="38">
        <f t="shared" si="25"/>
        <v>500</v>
      </c>
      <c r="E46" s="75">
        <f>Middle!E46</f>
        <v>1</v>
      </c>
      <c r="F46" s="75">
        <f>Middle!F46</f>
        <v>1</v>
      </c>
      <c r="G46" s="22">
        <f t="shared" si="32"/>
        <v>1</v>
      </c>
      <c r="H46" s="24">
        <f t="shared" si="26"/>
        <v>1</v>
      </c>
      <c r="I46" s="39">
        <f t="shared" si="27"/>
        <v>500</v>
      </c>
      <c r="J46" s="38">
        <f t="shared" si="33"/>
        <v>500</v>
      </c>
      <c r="K46" s="40">
        <f t="shared" si="28"/>
        <v>8.6586083884598059E-3</v>
      </c>
      <c r="L46" s="22">
        <f t="shared" si="29"/>
        <v>8.6586083884598059E-3</v>
      </c>
      <c r="M46" s="24">
        <f t="shared" si="30"/>
        <v>8.6586083884598059E-3</v>
      </c>
      <c r="N46" s="2"/>
      <c r="O46" s="2"/>
      <c r="P46" s="2"/>
      <c r="Q46" s="2"/>
      <c r="R46" s="2"/>
      <c r="S46" s="2"/>
      <c r="T46" s="69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125</v>
      </c>
      <c r="AB46" s="156">
        <f>Poor!AB46</f>
        <v>0.25</v>
      </c>
      <c r="AC46" s="147">
        <f t="shared" si="39"/>
        <v>125</v>
      </c>
      <c r="AD46" s="156">
        <f>Poor!AD46</f>
        <v>0.25</v>
      </c>
      <c r="AE46" s="147">
        <f t="shared" si="40"/>
        <v>125</v>
      </c>
      <c r="AF46" s="122">
        <f t="shared" si="31"/>
        <v>0.25</v>
      </c>
      <c r="AG46" s="147">
        <f t="shared" si="34"/>
        <v>125</v>
      </c>
      <c r="AH46" s="123">
        <f t="shared" si="35"/>
        <v>1</v>
      </c>
      <c r="AI46" s="112">
        <f t="shared" si="35"/>
        <v>500</v>
      </c>
      <c r="AJ46" s="148">
        <f t="shared" si="36"/>
        <v>250</v>
      </c>
      <c r="AK46" s="147">
        <f t="shared" si="37"/>
        <v>250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Spinach (cash): kg produced</v>
      </c>
      <c r="B47" s="104">
        <f>IF([1]Summ!$J1082="",0,[1]Summ!$J1082)</f>
        <v>300</v>
      </c>
      <c r="C47" s="104">
        <f>IF([1]Summ!$K1082="",0,[1]Summ!$K1082)</f>
        <v>0</v>
      </c>
      <c r="D47" s="38">
        <f t="shared" si="25"/>
        <v>300</v>
      </c>
      <c r="E47" s="75">
        <f>Middle!E47</f>
        <v>1</v>
      </c>
      <c r="F47" s="75">
        <f>Middle!F47</f>
        <v>1</v>
      </c>
      <c r="G47" s="22">
        <f t="shared" si="32"/>
        <v>1</v>
      </c>
      <c r="H47" s="24">
        <f t="shared" si="26"/>
        <v>1</v>
      </c>
      <c r="I47" s="39">
        <f t="shared" si="27"/>
        <v>300</v>
      </c>
      <c r="J47" s="38">
        <f t="shared" si="33"/>
        <v>300</v>
      </c>
      <c r="K47" s="40">
        <f t="shared" si="28"/>
        <v>5.1951650330758839E-3</v>
      </c>
      <c r="L47" s="22">
        <f t="shared" si="29"/>
        <v>5.1951650330758839E-3</v>
      </c>
      <c r="M47" s="24">
        <f t="shared" si="30"/>
        <v>5.1951650330758839E-3</v>
      </c>
      <c r="N47" s="2"/>
      <c r="O47" s="2"/>
      <c r="P47" s="2"/>
      <c r="Q47" s="2"/>
      <c r="R47" s="2"/>
      <c r="S47" s="2"/>
      <c r="T47" s="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75</v>
      </c>
      <c r="AB47" s="156">
        <f>Poor!AB47</f>
        <v>0.25</v>
      </c>
      <c r="AC47" s="147">
        <f t="shared" si="39"/>
        <v>75</v>
      </c>
      <c r="AD47" s="156">
        <f>Poor!AD47</f>
        <v>0.25</v>
      </c>
      <c r="AE47" s="147">
        <f t="shared" si="40"/>
        <v>75</v>
      </c>
      <c r="AF47" s="122">
        <f t="shared" si="31"/>
        <v>0.25</v>
      </c>
      <c r="AG47" s="147">
        <f t="shared" si="34"/>
        <v>75</v>
      </c>
      <c r="AH47" s="123">
        <f t="shared" si="35"/>
        <v>1</v>
      </c>
      <c r="AI47" s="112">
        <f t="shared" si="35"/>
        <v>300</v>
      </c>
      <c r="AJ47" s="148">
        <f t="shared" si="36"/>
        <v>150</v>
      </c>
      <c r="AK47" s="147">
        <f t="shared" si="37"/>
        <v>150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Tomatoes (cash): kg produced</v>
      </c>
      <c r="B48" s="104">
        <f>IF([1]Summ!$J1083="",0,[1]Summ!$J1083)</f>
        <v>500</v>
      </c>
      <c r="C48" s="104">
        <f>IF([1]Summ!$K1083="",0,[1]Summ!$K1083)</f>
        <v>0</v>
      </c>
      <c r="D48" s="38">
        <f t="shared" si="25"/>
        <v>500</v>
      </c>
      <c r="E48" s="75">
        <f>Middle!E48</f>
        <v>1</v>
      </c>
      <c r="F48" s="75">
        <f>Middle!F48</f>
        <v>1</v>
      </c>
      <c r="G48" s="22">
        <f t="shared" si="32"/>
        <v>1</v>
      </c>
      <c r="H48" s="24">
        <f t="shared" si="26"/>
        <v>1</v>
      </c>
      <c r="I48" s="39">
        <f t="shared" si="27"/>
        <v>500</v>
      </c>
      <c r="J48" s="38">
        <f t="shared" si="33"/>
        <v>500</v>
      </c>
      <c r="K48" s="40">
        <f t="shared" si="28"/>
        <v>8.6586083884598059E-3</v>
      </c>
      <c r="L48" s="22">
        <f t="shared" si="29"/>
        <v>8.6586083884598059E-3</v>
      </c>
      <c r="M48" s="24">
        <f t="shared" si="30"/>
        <v>8.6586083884598059E-3</v>
      </c>
      <c r="N48" s="2"/>
      <c r="O48" s="2"/>
      <c r="P48" s="2"/>
      <c r="Q48" s="2"/>
      <c r="R48" s="2"/>
      <c r="S48" s="2"/>
      <c r="T48" s="2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125</v>
      </c>
      <c r="AB48" s="156">
        <f>Poor!AB48</f>
        <v>0.25</v>
      </c>
      <c r="AC48" s="147">
        <f t="shared" si="39"/>
        <v>125</v>
      </c>
      <c r="AD48" s="156">
        <f>Poor!AD48</f>
        <v>0.25</v>
      </c>
      <c r="AE48" s="147">
        <f t="shared" si="40"/>
        <v>125</v>
      </c>
      <c r="AF48" s="122">
        <f t="shared" si="31"/>
        <v>0.25</v>
      </c>
      <c r="AG48" s="147">
        <f t="shared" si="34"/>
        <v>125</v>
      </c>
      <c r="AH48" s="123">
        <f t="shared" si="35"/>
        <v>1</v>
      </c>
      <c r="AI48" s="112">
        <f t="shared" si="35"/>
        <v>500</v>
      </c>
      <c r="AJ48" s="148">
        <f t="shared" si="36"/>
        <v>250</v>
      </c>
      <c r="AK48" s="147">
        <f t="shared" si="37"/>
        <v>250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Cabbage (cash): kg produced</v>
      </c>
      <c r="B49" s="104">
        <f>IF([1]Summ!$J1084="",0,[1]Summ!$J1084)</f>
        <v>300</v>
      </c>
      <c r="C49" s="104">
        <f>IF([1]Summ!$K1084="",0,[1]Summ!$K1084)</f>
        <v>0</v>
      </c>
      <c r="D49" s="38">
        <f t="shared" si="25"/>
        <v>300</v>
      </c>
      <c r="E49" s="75">
        <f>Middle!E49</f>
        <v>1</v>
      </c>
      <c r="F49" s="75">
        <f>Middle!F49</f>
        <v>1</v>
      </c>
      <c r="G49" s="22">
        <f t="shared" si="32"/>
        <v>1</v>
      </c>
      <c r="H49" s="24">
        <f t="shared" si="26"/>
        <v>1</v>
      </c>
      <c r="I49" s="39">
        <f t="shared" si="27"/>
        <v>300</v>
      </c>
      <c r="J49" s="38">
        <f t="shared" si="33"/>
        <v>300</v>
      </c>
      <c r="K49" s="40">
        <f t="shared" si="28"/>
        <v>5.1951650330758839E-3</v>
      </c>
      <c r="L49" s="22">
        <f t="shared" si="29"/>
        <v>5.1951650330758839E-3</v>
      </c>
      <c r="M49" s="24">
        <f t="shared" si="30"/>
        <v>5.1951650330758839E-3</v>
      </c>
      <c r="N49" s="2"/>
      <c r="O49" s="2"/>
      <c r="P49" s="2"/>
      <c r="Q49" s="2"/>
      <c r="R49" s="2"/>
      <c r="S49" s="2"/>
      <c r="T49" s="2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75</v>
      </c>
      <c r="AB49" s="156">
        <f>Poor!AB49</f>
        <v>0.25</v>
      </c>
      <c r="AC49" s="147">
        <f t="shared" si="39"/>
        <v>75</v>
      </c>
      <c r="AD49" s="156">
        <f>Poor!AD49</f>
        <v>0.25</v>
      </c>
      <c r="AE49" s="147">
        <f t="shared" si="40"/>
        <v>75</v>
      </c>
      <c r="AF49" s="122">
        <f t="shared" si="31"/>
        <v>0.25</v>
      </c>
      <c r="AG49" s="147">
        <f t="shared" si="34"/>
        <v>75</v>
      </c>
      <c r="AH49" s="123">
        <f t="shared" si="35"/>
        <v>1</v>
      </c>
      <c r="AI49" s="112">
        <f t="shared" si="35"/>
        <v>300</v>
      </c>
      <c r="AJ49" s="148">
        <f t="shared" si="36"/>
        <v>150</v>
      </c>
      <c r="AK49" s="147">
        <f t="shared" si="37"/>
        <v>150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Agricultural cash income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</v>
      </c>
      <c r="G50" s="22">
        <f t="shared" si="32"/>
        <v>1</v>
      </c>
      <c r="H50" s="24">
        <f t="shared" si="26"/>
        <v>1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"/>
      <c r="R50" s="2"/>
      <c r="S50" s="2"/>
      <c r="T50" s="2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Labour migration(formal employment): no. people per HH</v>
      </c>
      <c r="B51" s="104">
        <f>IF([1]Summ!$J1086="",0,[1]Summ!$J1086)</f>
        <v>11000</v>
      </c>
      <c r="C51" s="104">
        <f>IF([1]Summ!$K1086="",0,[1]Summ!$K1086)</f>
        <v>0</v>
      </c>
      <c r="D51" s="38">
        <f t="shared" si="25"/>
        <v>11000</v>
      </c>
      <c r="E51" s="75">
        <f>Middle!E51</f>
        <v>1</v>
      </c>
      <c r="F51" s="75">
        <f>Middle!F51</f>
        <v>1</v>
      </c>
      <c r="G51" s="22">
        <f t="shared" si="32"/>
        <v>1</v>
      </c>
      <c r="H51" s="24">
        <f t="shared" si="26"/>
        <v>1</v>
      </c>
      <c r="I51" s="39">
        <f t="shared" si="27"/>
        <v>11000</v>
      </c>
      <c r="J51" s="38">
        <f t="shared" si="33"/>
        <v>11000</v>
      </c>
      <c r="K51" s="40">
        <f t="shared" si="28"/>
        <v>0.19048938454611575</v>
      </c>
      <c r="L51" s="22">
        <f t="shared" si="29"/>
        <v>0.19048938454611575</v>
      </c>
      <c r="M51" s="24">
        <f t="shared" si="30"/>
        <v>0.19048938454611575</v>
      </c>
      <c r="N51" s="2"/>
      <c r="O51" s="2"/>
      <c r="P51" s="2"/>
      <c r="Q51" s="2"/>
      <c r="R51" s="2"/>
      <c r="S51" s="2"/>
      <c r="T51" s="2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2750</v>
      </c>
      <c r="AB51" s="156">
        <f>Poor!AB56</f>
        <v>0.25</v>
      </c>
      <c r="AC51" s="147">
        <f t="shared" si="39"/>
        <v>2750</v>
      </c>
      <c r="AD51" s="156">
        <f>Poor!AD56</f>
        <v>0.25</v>
      </c>
      <c r="AE51" s="147">
        <f t="shared" si="40"/>
        <v>2750</v>
      </c>
      <c r="AF51" s="122">
        <f t="shared" si="31"/>
        <v>0.25</v>
      </c>
      <c r="AG51" s="147">
        <f t="shared" si="34"/>
        <v>2750</v>
      </c>
      <c r="AH51" s="123">
        <f t="shared" si="35"/>
        <v>1</v>
      </c>
      <c r="AI51" s="112">
        <f t="shared" si="35"/>
        <v>11000</v>
      </c>
      <c r="AJ51" s="148">
        <f t="shared" si="36"/>
        <v>5500</v>
      </c>
      <c r="AK51" s="147">
        <f t="shared" si="37"/>
        <v>5500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Formal Employment (conservancies, etc.)</v>
      </c>
      <c r="B52" s="104">
        <f>IF([1]Summ!$J1087="",0,[1]Summ!$J1087)</f>
        <v>23760</v>
      </c>
      <c r="C52" s="104">
        <f>IF([1]Summ!$K1087="",0,[1]Summ!$K1087)</f>
        <v>0</v>
      </c>
      <c r="D52" s="38">
        <f t="shared" si="25"/>
        <v>23760</v>
      </c>
      <c r="E52" s="75">
        <f>Middle!E52</f>
        <v>1</v>
      </c>
      <c r="F52" s="75">
        <f>Middle!F52</f>
        <v>1</v>
      </c>
      <c r="G52" s="22">
        <f t="shared" si="32"/>
        <v>1</v>
      </c>
      <c r="H52" s="24">
        <f t="shared" si="26"/>
        <v>1</v>
      </c>
      <c r="I52" s="39">
        <f t="shared" si="27"/>
        <v>23760</v>
      </c>
      <c r="J52" s="38">
        <f t="shared" si="33"/>
        <v>23760</v>
      </c>
      <c r="K52" s="40">
        <f t="shared" si="28"/>
        <v>0.41145707061961001</v>
      </c>
      <c r="L52" s="22">
        <f t="shared" si="29"/>
        <v>0.41145707061961001</v>
      </c>
      <c r="M52" s="24">
        <f t="shared" si="30"/>
        <v>0.41145707061961001</v>
      </c>
      <c r="N52" s="2"/>
      <c r="O52" s="2"/>
      <c r="P52" s="2"/>
      <c r="Q52" s="2"/>
      <c r="R52" s="2"/>
      <c r="S52" s="2"/>
      <c r="T52" s="2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5940</v>
      </c>
      <c r="AB52" s="156">
        <f>Poor!AB57</f>
        <v>0.25</v>
      </c>
      <c r="AC52" s="147">
        <f t="shared" si="39"/>
        <v>5940</v>
      </c>
      <c r="AD52" s="156">
        <f>Poor!AD57</f>
        <v>0.25</v>
      </c>
      <c r="AE52" s="147">
        <f t="shared" si="40"/>
        <v>5940</v>
      </c>
      <c r="AF52" s="122">
        <f t="shared" si="31"/>
        <v>0.25</v>
      </c>
      <c r="AG52" s="147">
        <f t="shared" si="34"/>
        <v>5940</v>
      </c>
      <c r="AH52" s="123">
        <f t="shared" si="35"/>
        <v>1</v>
      </c>
      <c r="AI52" s="112">
        <f t="shared" si="35"/>
        <v>23760</v>
      </c>
      <c r="AJ52" s="148">
        <f t="shared" si="36"/>
        <v>11880</v>
      </c>
      <c r="AK52" s="147">
        <f t="shared" si="37"/>
        <v>11880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>Self-employment -- see Data2</v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2"/>
      <c r="R53" s="2"/>
      <c r="S53" s="2"/>
      <c r="T53" s="2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>Small business -- see Data2</v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2"/>
      <c r="R54" s="2"/>
      <c r="S54" s="2"/>
      <c r="T54" s="2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>Social development -- see Data2</v>
      </c>
      <c r="B55" s="104">
        <f>IF([1]Summ!$J1090="",0,[1]Summ!$J1090)</f>
        <v>6162</v>
      </c>
      <c r="C55" s="104">
        <f>IF([1]Summ!$K1090="",0,[1]Summ!$K1090)</f>
        <v>0</v>
      </c>
      <c r="D55" s="38">
        <f t="shared" si="25"/>
        <v>6162</v>
      </c>
      <c r="E55" s="75">
        <f>Middle!E55</f>
        <v>1</v>
      </c>
      <c r="F55" s="75">
        <f>Middle!F55</f>
        <v>1</v>
      </c>
      <c r="G55" s="22">
        <f t="shared" si="32"/>
        <v>1</v>
      </c>
      <c r="H55" s="24">
        <f t="shared" si="41"/>
        <v>1</v>
      </c>
      <c r="I55" s="39">
        <f t="shared" si="42"/>
        <v>6162</v>
      </c>
      <c r="J55" s="38">
        <f t="shared" si="33"/>
        <v>6162</v>
      </c>
      <c r="K55" s="40">
        <f t="shared" si="43"/>
        <v>0.10670868977937865</v>
      </c>
      <c r="L55" s="22">
        <f t="shared" si="44"/>
        <v>0.10670868977937865</v>
      </c>
      <c r="M55" s="24">
        <f t="shared" si="45"/>
        <v>0.10670868977937865</v>
      </c>
      <c r="N55" s="2"/>
      <c r="O55" s="2"/>
      <c r="P55" s="2"/>
      <c r="Q55" s="2"/>
      <c r="R55" s="2"/>
      <c r="S55" s="2"/>
      <c r="T55" s="2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>Public works -- see Data2</v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2"/>
      <c r="R56" s="2"/>
      <c r="S56" s="2"/>
      <c r="T56" s="2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>Other income: e.g. Credit (cotton loans)</v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2"/>
      <c r="R57" s="2"/>
      <c r="S57" s="2"/>
      <c r="T57" s="2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2"/>
      <c r="R58" s="2"/>
      <c r="S58" s="2"/>
      <c r="T58" s="2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57746</v>
      </c>
      <c r="C65" s="39">
        <f>SUM(C37:C64)</f>
        <v>651</v>
      </c>
      <c r="D65" s="42">
        <f>SUM(D37:D64)</f>
        <v>58397</v>
      </c>
      <c r="E65" s="32"/>
      <c r="F65" s="32"/>
      <c r="G65" s="32"/>
      <c r="H65" s="31"/>
      <c r="I65" s="39">
        <f>SUM(I37:I64)</f>
        <v>58397</v>
      </c>
      <c r="J65" s="39">
        <f>SUM(J37:J64)</f>
        <v>57844.67501592698</v>
      </c>
      <c r="K65" s="40">
        <f>SUM(K37:K64)</f>
        <v>1</v>
      </c>
      <c r="L65" s="22">
        <f>SUM(L37:L64)</f>
        <v>1</v>
      </c>
      <c r="M65" s="24">
        <f>SUM(M37:M64)</f>
        <v>1.0017087766412736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10113.869376804871</v>
      </c>
      <c r="AB65" s="137"/>
      <c r="AC65" s="153">
        <f>SUM(AC37:AC64)</f>
        <v>10177.163824474663</v>
      </c>
      <c r="AD65" s="137"/>
      <c r="AE65" s="153">
        <f>SUM(AE37:AE64)</f>
        <v>9592.2678810617908</v>
      </c>
      <c r="AF65" s="137"/>
      <c r="AG65" s="153">
        <f>SUM(AG37:AG64)</f>
        <v>21799.373933585652</v>
      </c>
      <c r="AH65" s="137"/>
      <c r="AI65" s="153">
        <f>SUM(AI37:AI64)</f>
        <v>51682.67501592698</v>
      </c>
      <c r="AJ65" s="153">
        <f>SUM(AJ37:AJ64)</f>
        <v>20291.033201279533</v>
      </c>
      <c r="AK65" s="153">
        <f>SUM(AK37:AK64)</f>
        <v>31391.641814647446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15276.520068318912</v>
      </c>
      <c r="C70" s="39"/>
      <c r="D70" s="38"/>
      <c r="E70" s="75">
        <f>Middle!E70</f>
        <v>1</v>
      </c>
      <c r="F70" s="75">
        <f>Middle!F70</f>
        <v>1</v>
      </c>
      <c r="G70" s="22"/>
      <c r="H70" s="24">
        <f>(E70*F70)</f>
        <v>1</v>
      </c>
      <c r="I70" s="39">
        <f>I124*I$83</f>
        <v>15276.520068318914</v>
      </c>
      <c r="J70" s="51">
        <f>J124*I$83</f>
        <v>15276.520068318914</v>
      </c>
      <c r="K70" s="40">
        <f>B70/B$76</f>
        <v>0.2645468096200414</v>
      </c>
      <c r="L70" s="22">
        <f>(L124*G$37*F$9/F$7)/B$130</f>
        <v>0.2645468096200414</v>
      </c>
      <c r="M70" s="24">
        <f>J70/B$76</f>
        <v>0.26454680962004146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3819.1300170797285</v>
      </c>
      <c r="AB70" s="156">
        <f>Poor!AB70</f>
        <v>0.25</v>
      </c>
      <c r="AC70" s="147">
        <f>$J70*AB70</f>
        <v>3819.1300170797285</v>
      </c>
      <c r="AD70" s="156">
        <f>Poor!AD70</f>
        <v>0.25</v>
      </c>
      <c r="AE70" s="147">
        <f>$J70*AD70</f>
        <v>3819.1300170797285</v>
      </c>
      <c r="AF70" s="156">
        <f>Poor!AF70</f>
        <v>0.25</v>
      </c>
      <c r="AG70" s="147">
        <f>$J70*AF70</f>
        <v>3819.1300170797285</v>
      </c>
      <c r="AH70" s="155">
        <f>SUM(Z70,AB70,AD70,AF70)</f>
        <v>1</v>
      </c>
      <c r="AI70" s="147">
        <f>SUM(AA70,AC70,AE70,AG70)</f>
        <v>15276.520068318914</v>
      </c>
      <c r="AJ70" s="148">
        <f>(AA70+AC70)</f>
        <v>7638.2600341594571</v>
      </c>
      <c r="AK70" s="147">
        <f>(AE70+AG70)</f>
        <v>7638.2600341594571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15726.000000000002</v>
      </c>
      <c r="C71" s="39"/>
      <c r="D71" s="38"/>
      <c r="E71" s="75">
        <f>Middle!E71</f>
        <v>1</v>
      </c>
      <c r="F71" s="75">
        <f>Middle!F71</f>
        <v>1</v>
      </c>
      <c r="G71" s="22"/>
      <c r="H71" s="24">
        <f t="shared" ref="H71:H72" si="47">(E71*F71)</f>
        <v>1</v>
      </c>
      <c r="I71" s="39">
        <f t="shared" ref="I71:I72" si="48">I125*I$83</f>
        <v>15726</v>
      </c>
      <c r="J71" s="51">
        <f t="shared" ref="J71:J72" si="49">J125*I$83</f>
        <v>15726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31212</v>
      </c>
      <c r="C72" s="39"/>
      <c r="D72" s="38"/>
      <c r="E72" s="75">
        <f>Middle!E72</f>
        <v>1</v>
      </c>
      <c r="F72" s="75">
        <f>Middle!F72</f>
        <v>1</v>
      </c>
      <c r="G72" s="22"/>
      <c r="H72" s="24">
        <f t="shared" si="47"/>
        <v>1</v>
      </c>
      <c r="I72" s="39">
        <f t="shared" si="48"/>
        <v>0</v>
      </c>
      <c r="J72" s="51">
        <f t="shared" si="49"/>
        <v>24122.567608413952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11510</v>
      </c>
      <c r="C73" s="39"/>
      <c r="D73" s="38"/>
      <c r="E73" s="75">
        <f>Middle!E73</f>
        <v>1</v>
      </c>
      <c r="F73" s="75">
        <f>Middle!F73</f>
        <v>1</v>
      </c>
      <c r="G73" s="22"/>
      <c r="H73" s="24">
        <f>(E73*F73)</f>
        <v>1</v>
      </c>
      <c r="I73" s="39">
        <f>I127*I$83</f>
        <v>0</v>
      </c>
      <c r="J73" s="51">
        <f>J127*I$83</f>
        <v>0</v>
      </c>
      <c r="K73" s="40">
        <f>B73/B$76</f>
        <v>0.19932116510234474</v>
      </c>
      <c r="L73" s="22">
        <f>(L127*G$37*F$9/F$7)/B$130</f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1035.8999999999999</v>
      </c>
      <c r="AB73" s="156">
        <f>Poor!AB73</f>
        <v>0.09</v>
      </c>
      <c r="AC73" s="147">
        <f>$H$73*$B$73*AB73</f>
        <v>1035.8999999999999</v>
      </c>
      <c r="AD73" s="156">
        <f>Poor!AD73</f>
        <v>0.23</v>
      </c>
      <c r="AE73" s="147">
        <f>$H$73*$B$73*AD73</f>
        <v>2647.3</v>
      </c>
      <c r="AF73" s="156">
        <f>Poor!AF73</f>
        <v>0.59</v>
      </c>
      <c r="AG73" s="147">
        <f>$H$73*$B$73*AF73</f>
        <v>6790.9</v>
      </c>
      <c r="AH73" s="155">
        <f>SUM(Z73,AB73,AD73,AF73)</f>
        <v>1</v>
      </c>
      <c r="AI73" s="147">
        <f>SUM(AA73,AC73,AE73,AG73)</f>
        <v>11510</v>
      </c>
      <c r="AJ73" s="148">
        <f>(AA73+AC73)</f>
        <v>2071.7999999999997</v>
      </c>
      <c r="AK73" s="147">
        <f>(AE73+AG73)</f>
        <v>9438.2000000000007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2881.325966850829</v>
      </c>
      <c r="C74" s="39"/>
      <c r="D74" s="38"/>
      <c r="E74" s="32"/>
      <c r="F74" s="32"/>
      <c r="G74" s="32"/>
      <c r="H74" s="31"/>
      <c r="I74" s="39">
        <f>I128*I$83</f>
        <v>43120.47993168109</v>
      </c>
      <c r="J74" s="51">
        <f>J128*I$83</f>
        <v>2719.5873391941145</v>
      </c>
      <c r="K74" s="40">
        <f>B74/B$76</f>
        <v>4.9896546372923303E-2</v>
      </c>
      <c r="L74" s="22">
        <f>(L128*G$37*F$9/F$7)/B$130</f>
        <v>4.9896546372923296E-2</v>
      </c>
      <c r="M74" s="24">
        <f>J74/B$76</f>
        <v>4.709568349659049E-2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0</v>
      </c>
      <c r="AB74" s="156"/>
      <c r="AC74" s="147">
        <f>AC30*$I$83/4</f>
        <v>0</v>
      </c>
      <c r="AD74" s="156"/>
      <c r="AE74" s="147">
        <f>AE30*$I$83/4</f>
        <v>-29.642135490117337</v>
      </c>
      <c r="AF74" s="156"/>
      <c r="AG74" s="147">
        <f>AG30*$I$83/4</f>
        <v>-1585.6001505837928</v>
      </c>
      <c r="AH74" s="155"/>
      <c r="AI74" s="147">
        <f>SUM(AA74,AC74,AE74,AG74)</f>
        <v>-1615.2422860739102</v>
      </c>
      <c r="AJ74" s="148">
        <f>(AA74+AC74)</f>
        <v>0</v>
      </c>
      <c r="AK74" s="147">
        <f>(AE74+AG74)</f>
        <v>-1615.2422860739102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>J129*I$83</f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25860.583426814857</v>
      </c>
      <c r="AB75" s="158"/>
      <c r="AC75" s="149">
        <f>AA75+AC65-SUM(AC70,AC74)</f>
        <v>32218.617234209789</v>
      </c>
      <c r="AD75" s="158"/>
      <c r="AE75" s="149">
        <f>AC75+AE65-SUM(AE70,AE74)</f>
        <v>38021.397233681972</v>
      </c>
      <c r="AF75" s="158"/>
      <c r="AG75" s="149">
        <f>IF(SUM(AG6:AG29)+((AG65-AG70-$J$75)*4/I$83)&lt;1,0,AG65-AG70-$J$75-(1-SUM(AG6:AG29))*I$83/4)</f>
        <v>19565.844067089714</v>
      </c>
      <c r="AH75" s="134"/>
      <c r="AI75" s="149">
        <f>AI76-SUM(AI70,AI74)</f>
        <v>38021.397233681972</v>
      </c>
      <c r="AJ75" s="151">
        <f>AJ76-SUM(AJ70,AJ74)</f>
        <v>12652.773167120076</v>
      </c>
      <c r="AK75" s="149">
        <f>AJ75+AK76-SUM(AK70,AK74)</f>
        <v>38021.397233681972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57746</v>
      </c>
      <c r="C76" s="39"/>
      <c r="D76" s="38"/>
      <c r="E76" s="32"/>
      <c r="F76" s="32"/>
      <c r="G76" s="32"/>
      <c r="H76" s="31"/>
      <c r="I76" s="39">
        <f>I130*I$83</f>
        <v>58397.000000000007</v>
      </c>
      <c r="J76" s="51">
        <f>J130*I$83</f>
        <v>57844.67501592698</v>
      </c>
      <c r="K76" s="40">
        <f>SUM(K70:K75)</f>
        <v>0.51376452109530946</v>
      </c>
      <c r="L76" s="22">
        <f>SUM(L70:L75)</f>
        <v>0.31444335599296469</v>
      </c>
      <c r="M76" s="24">
        <f>SUM(M70:M75)</f>
        <v>0.31164249311663195</v>
      </c>
      <c r="O76" s="2"/>
      <c r="P76" s="2"/>
      <c r="Q76" s="2"/>
      <c r="R76" s="2"/>
      <c r="S76" s="2"/>
      <c r="T76" s="2"/>
      <c r="U76" s="56"/>
      <c r="V76" s="56"/>
      <c r="W76" s="110"/>
      <c r="X76" s="190"/>
      <c r="Y76" s="190"/>
      <c r="Z76" s="137"/>
      <c r="AA76" s="154">
        <f>AA65</f>
        <v>10113.869376804871</v>
      </c>
      <c r="AB76" s="137"/>
      <c r="AC76" s="153">
        <f>AC65</f>
        <v>10177.163824474663</v>
      </c>
      <c r="AD76" s="137"/>
      <c r="AE76" s="153">
        <f>AE65</f>
        <v>9592.2678810617908</v>
      </c>
      <c r="AF76" s="137"/>
      <c r="AG76" s="153">
        <f>AG65</f>
        <v>21799.373933585652</v>
      </c>
      <c r="AH76" s="137"/>
      <c r="AI76" s="153">
        <f>SUM(AA76,AC76,AE76,AG76)</f>
        <v>51682.675015926972</v>
      </c>
      <c r="AJ76" s="154">
        <f>SUM(AA76,AC76)</f>
        <v>20291.033201279533</v>
      </c>
      <c r="AK76" s="154">
        <f>SUM(AE76,AG76)</f>
        <v>31391.641814647443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15726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19565.844067089714</v>
      </c>
      <c r="AB78" s="112"/>
      <c r="AC78" s="112">
        <f>IF(AA75&lt;0,0,AA75)</f>
        <v>25860.583426814857</v>
      </c>
      <c r="AD78" s="112"/>
      <c r="AE78" s="112">
        <f>AC75</f>
        <v>32218.617234209789</v>
      </c>
      <c r="AF78" s="112"/>
      <c r="AG78" s="112">
        <f>AE75</f>
        <v>38021.397233681972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maize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25860.583426814857</v>
      </c>
      <c r="AB79" s="112"/>
      <c r="AC79" s="112">
        <f>AA79-AA74+AC65-AC70</f>
        <v>32218.617234209789</v>
      </c>
      <c r="AD79" s="112"/>
      <c r="AE79" s="112">
        <f>AC79-AC74+AE65-AE70</f>
        <v>37991.755098191854</v>
      </c>
      <c r="AF79" s="112"/>
      <c r="AG79" s="112">
        <f>AE79-AE74+AG65-AG70</f>
        <v>56001.641150187897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0.58061985920496251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34">
        <f>[1]Summ!$J1039</f>
        <v>9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4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4">
        <f>Poor!AA82</f>
        <v>5.6000000000000005</v>
      </c>
      <c r="AB82" s="162">
        <f>IF($AH$82=0,0,AC82/$AH$82)</f>
        <v>1</v>
      </c>
      <c r="AC82" s="194">
        <f>Poor!AC82</f>
        <v>5.6000000000000005</v>
      </c>
      <c r="AD82" s="162">
        <f>IF($AH$82=0,0,AE82/$AH$82)</f>
        <v>1</v>
      </c>
      <c r="AE82" s="194">
        <f>Poor!AE82</f>
        <v>5.6000000000000005</v>
      </c>
      <c r="AF82" s="162">
        <f>IF($AH$82=0,0,AG82/$AH$82)</f>
        <v>1</v>
      </c>
      <c r="AG82" s="194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7629.344949953208</v>
      </c>
      <c r="C83" s="39"/>
      <c r="D83" s="38"/>
      <c r="E83" s="32"/>
      <c r="F83" s="32"/>
      <c r="G83" s="32"/>
      <c r="H83" s="24">
        <f>G$37*F$9/F$7</f>
        <v>1</v>
      </c>
      <c r="I83" s="39">
        <f xml:space="preserve"> B83*H83</f>
        <v>7629.344949953208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1907.336237488302</v>
      </c>
      <c r="AB83" s="112"/>
      <c r="AC83" s="165">
        <f>$I$83*AB82/4</f>
        <v>1907.336237488302</v>
      </c>
      <c r="AD83" s="112"/>
      <c r="AE83" s="165">
        <f>$I$83*AD82/4</f>
        <v>1907.336237488302</v>
      </c>
      <c r="AF83" s="112"/>
      <c r="AG83" s="165">
        <f>$I$83*AF82/4</f>
        <v>1907.336237488302</v>
      </c>
      <c r="AH83" s="165">
        <f>SUM(AA83,AC83,AE83,AG83)</f>
        <v>7629.344949953208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8">
        <f>B70+((1-D29)*B83)</f>
        <v>19192.303375060612</v>
      </c>
      <c r="C84" s="46"/>
      <c r="D84" s="239"/>
      <c r="E84" s="64"/>
      <c r="F84" s="64"/>
      <c r="G84" s="64"/>
      <c r="H84" s="240">
        <f>IF(B84=0,0,I84/B84)</f>
        <v>1</v>
      </c>
      <c r="I84" s="238">
        <f>(B70*H70)+((1-(D29*H29))*I83)</f>
        <v>19192.303375060612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1"/>
      <c r="AJ85" s="192"/>
      <c r="AK85" s="193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1.048582814445828</v>
      </c>
      <c r="C91" s="75">
        <f>(C37/$B$83)</f>
        <v>0.262145703611457</v>
      </c>
      <c r="D91" s="24">
        <f t="shared" ref="D91" si="51">(B91+C91)</f>
        <v>1.310728518057285</v>
      </c>
      <c r="H91" s="24">
        <f>(E37*F37/G37*F$7/F$9)</f>
        <v>1</v>
      </c>
      <c r="I91" s="22">
        <f t="shared" ref="I91" si="52">(D91*H91)</f>
        <v>1.310728518057285</v>
      </c>
      <c r="J91" s="24">
        <f>IF(I$32&lt;=1+I$131,I91,L91+J$33*(I91-L91))</f>
        <v>1.0883174250127257</v>
      </c>
      <c r="K91" s="22">
        <f t="shared" ref="K91" si="53">(B91)</f>
        <v>1.048582814445828</v>
      </c>
      <c r="L91" s="22">
        <f t="shared" ref="L91" si="54">(K91*H91)</f>
        <v>1.048582814445828</v>
      </c>
      <c r="M91" s="231">
        <f t="shared" si="50"/>
        <v>1.0883174250127257</v>
      </c>
      <c r="N91" s="233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0.32768212951432124</v>
      </c>
      <c r="C92" s="75">
        <f t="shared" si="56"/>
        <v>6.5536425902864251E-2</v>
      </c>
      <c r="D92" s="24">
        <f t="shared" ref="D92:D118" si="57">(B92+C92)</f>
        <v>0.39321855541718548</v>
      </c>
      <c r="H92" s="24">
        <f t="shared" ref="H92:H118" si="58">(E38*F38/G38*F$7/F$9)</f>
        <v>1</v>
      </c>
      <c r="I92" s="22">
        <f t="shared" ref="I92:I118" si="59">(D92*H92)</f>
        <v>0.39321855541718548</v>
      </c>
      <c r="J92" s="24">
        <f t="shared" ref="J92:J118" si="60">IF(I$32&lt;=1+I$131,I92,L92+J$33*(I92-L92))</f>
        <v>0.33761578215604565</v>
      </c>
      <c r="K92" s="22">
        <f t="shared" ref="K92:K118" si="61">(B92)</f>
        <v>0.32768212951432124</v>
      </c>
      <c r="L92" s="22">
        <f t="shared" ref="L92:L118" si="62">(K92*H92)</f>
        <v>0.32768212951432124</v>
      </c>
      <c r="M92" s="231">
        <f t="shared" ref="M92:M118" si="63">(J92)</f>
        <v>0.33761578215604565</v>
      </c>
      <c r="N92" s="233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Chicken sales: no. sold</v>
      </c>
      <c r="B93" s="75">
        <f t="shared" ref="B93:C93" si="64">(B39/$B$83)</f>
        <v>7.209006849315068E-2</v>
      </c>
      <c r="C93" s="75">
        <f t="shared" si="64"/>
        <v>0</v>
      </c>
      <c r="D93" s="24">
        <f t="shared" si="57"/>
        <v>7.209006849315068E-2</v>
      </c>
      <c r="H93" s="24">
        <f t="shared" si="58"/>
        <v>1</v>
      </c>
      <c r="I93" s="22">
        <f t="shared" si="59"/>
        <v>7.209006849315068E-2</v>
      </c>
      <c r="J93" s="24">
        <f t="shared" si="60"/>
        <v>7.209006849315068E-2</v>
      </c>
      <c r="K93" s="22">
        <f t="shared" si="61"/>
        <v>7.209006849315068E-2</v>
      </c>
      <c r="L93" s="22">
        <f t="shared" si="62"/>
        <v>7.209006849315068E-2</v>
      </c>
      <c r="M93" s="231">
        <f t="shared" si="63"/>
        <v>7.209006849315068E-2</v>
      </c>
      <c r="N93" s="233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Maize: kg produced</v>
      </c>
      <c r="B94" s="75">
        <f t="shared" ref="B94:C94" si="65">(B40/$B$83)</f>
        <v>8.5852717932752176E-2</v>
      </c>
      <c r="C94" s="75">
        <f t="shared" si="65"/>
        <v>-8.5852717932752176E-2</v>
      </c>
      <c r="D94" s="24">
        <f t="shared" si="57"/>
        <v>0</v>
      </c>
      <c r="H94" s="24">
        <f t="shared" si="58"/>
        <v>1</v>
      </c>
      <c r="I94" s="22">
        <f t="shared" si="59"/>
        <v>0</v>
      </c>
      <c r="J94" s="24">
        <f t="shared" si="60"/>
        <v>7.2839632972093171E-2</v>
      </c>
      <c r="K94" s="22">
        <f t="shared" si="61"/>
        <v>8.5852717932752176E-2</v>
      </c>
      <c r="L94" s="22">
        <f t="shared" si="62"/>
        <v>8.5852717932752176E-2</v>
      </c>
      <c r="M94" s="231">
        <f t="shared" si="63"/>
        <v>7.2839632972093171E-2</v>
      </c>
      <c r="N94" s="233">
        <v>2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Beans: kg produced</v>
      </c>
      <c r="B95" s="75">
        <f t="shared" ref="B95:C95" si="66">(B41/$B$83)</f>
        <v>0.16384106475716062</v>
      </c>
      <c r="C95" s="75">
        <f t="shared" si="66"/>
        <v>0.14090331569115813</v>
      </c>
      <c r="D95" s="24">
        <f t="shared" si="57"/>
        <v>0.30474438044831875</v>
      </c>
      <c r="H95" s="24">
        <f t="shared" si="58"/>
        <v>1</v>
      </c>
      <c r="I95" s="22">
        <f t="shared" si="59"/>
        <v>0.30474438044831875</v>
      </c>
      <c r="J95" s="24">
        <f t="shared" si="60"/>
        <v>0.18519841793686814</v>
      </c>
      <c r="K95" s="22">
        <f t="shared" si="61"/>
        <v>0.16384106475716062</v>
      </c>
      <c r="L95" s="22">
        <f t="shared" si="62"/>
        <v>0.16384106475716062</v>
      </c>
      <c r="M95" s="231">
        <f t="shared" si="63"/>
        <v>0.18519841793686814</v>
      </c>
      <c r="N95" s="233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Water melon: no. local meas (Bhece)</v>
      </c>
      <c r="B96" s="75">
        <f t="shared" ref="B96:C96" si="67">(B42/$B$83)</f>
        <v>1.2976212328767122E-2</v>
      </c>
      <c r="C96" s="75">
        <f t="shared" si="67"/>
        <v>-1.2976212328767122E-2</v>
      </c>
      <c r="D96" s="24">
        <f t="shared" si="57"/>
        <v>0</v>
      </c>
      <c r="H96" s="24">
        <f t="shared" si="58"/>
        <v>1</v>
      </c>
      <c r="I96" s="22">
        <f t="shared" si="59"/>
        <v>0</v>
      </c>
      <c r="J96" s="24">
        <f t="shared" si="60"/>
        <v>1.1009349105705684E-2</v>
      </c>
      <c r="K96" s="22">
        <f t="shared" si="61"/>
        <v>1.2976212328767122E-2</v>
      </c>
      <c r="L96" s="22">
        <f t="shared" si="62"/>
        <v>1.2976212328767122E-2</v>
      </c>
      <c r="M96" s="231">
        <f t="shared" si="63"/>
        <v>1.1009349105705684E-2</v>
      </c>
      <c r="N96" s="233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Sweet poatato: no. local meas</v>
      </c>
      <c r="B97" s="75">
        <f t="shared" ref="B97:C97" si="68">(B43/$B$83)</f>
        <v>9.8304638854296383E-2</v>
      </c>
      <c r="C97" s="75">
        <f t="shared" si="68"/>
        <v>-9.8304638854296383E-2</v>
      </c>
      <c r="D97" s="24">
        <f t="shared" si="57"/>
        <v>0</v>
      </c>
      <c r="H97" s="24">
        <f t="shared" si="58"/>
        <v>1</v>
      </c>
      <c r="I97" s="22">
        <f t="shared" si="59"/>
        <v>0</v>
      </c>
      <c r="J97" s="24">
        <f t="shared" si="60"/>
        <v>8.3404159891709725E-2</v>
      </c>
      <c r="K97" s="22">
        <f t="shared" si="61"/>
        <v>9.8304638854296383E-2</v>
      </c>
      <c r="L97" s="22">
        <f t="shared" si="62"/>
        <v>9.8304638854296383E-2</v>
      </c>
      <c r="M97" s="231">
        <f t="shared" si="63"/>
        <v>8.3404159891709725E-2</v>
      </c>
      <c r="N97" s="233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Groundnuts (dry): no. local meas</v>
      </c>
      <c r="B98" s="75">
        <f t="shared" ref="B98:C98" si="69">(B44/$B$83)</f>
        <v>0.14942305105853049</v>
      </c>
      <c r="C98" s="75">
        <f t="shared" si="69"/>
        <v>-0.14942305105853049</v>
      </c>
      <c r="D98" s="24">
        <f t="shared" si="57"/>
        <v>0</v>
      </c>
      <c r="H98" s="24">
        <f t="shared" si="58"/>
        <v>1</v>
      </c>
      <c r="I98" s="22">
        <f t="shared" si="59"/>
        <v>0</v>
      </c>
      <c r="J98" s="24">
        <f t="shared" si="60"/>
        <v>0.12677432303539876</v>
      </c>
      <c r="K98" s="22">
        <f t="shared" si="61"/>
        <v>0.14942305105853049</v>
      </c>
      <c r="L98" s="22">
        <f t="shared" si="62"/>
        <v>0.14942305105853049</v>
      </c>
      <c r="M98" s="231">
        <f t="shared" si="63"/>
        <v>0.12677432303539876</v>
      </c>
      <c r="N98" s="233">
        <v>2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Irish potato: type</v>
      </c>
      <c r="B99" s="75">
        <f t="shared" ref="B99:C99" si="70">(B45/$B$83)</f>
        <v>3.6700398505603984E-2</v>
      </c>
      <c r="C99" s="75">
        <f t="shared" si="70"/>
        <v>-3.6700398505603984E-2</v>
      </c>
      <c r="D99" s="24">
        <f t="shared" si="57"/>
        <v>0</v>
      </c>
      <c r="H99" s="24">
        <f t="shared" si="58"/>
        <v>1</v>
      </c>
      <c r="I99" s="22">
        <f t="shared" si="59"/>
        <v>0</v>
      </c>
      <c r="J99" s="24">
        <f t="shared" si="60"/>
        <v>3.1137553026238302E-2</v>
      </c>
      <c r="K99" s="22">
        <f t="shared" si="61"/>
        <v>3.6700398505603984E-2</v>
      </c>
      <c r="L99" s="22">
        <f t="shared" si="62"/>
        <v>3.6700398505603984E-2</v>
      </c>
      <c r="M99" s="231">
        <f t="shared" si="63"/>
        <v>3.1137553026238302E-2</v>
      </c>
      <c r="N99" s="233">
        <v>2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Yam: type</v>
      </c>
      <c r="B100" s="75">
        <f t="shared" ref="B100:C100" si="71">(B46/$B$83)</f>
        <v>6.5536425902864251E-2</v>
      </c>
      <c r="C100" s="75">
        <f t="shared" si="71"/>
        <v>0</v>
      </c>
      <c r="D100" s="24">
        <f t="shared" si="57"/>
        <v>6.5536425902864251E-2</v>
      </c>
      <c r="H100" s="24">
        <f t="shared" si="58"/>
        <v>1</v>
      </c>
      <c r="I100" s="22">
        <f t="shared" si="59"/>
        <v>6.5536425902864251E-2</v>
      </c>
      <c r="J100" s="24">
        <f t="shared" si="60"/>
        <v>6.5536425902864251E-2</v>
      </c>
      <c r="K100" s="22">
        <f t="shared" si="61"/>
        <v>6.5536425902864251E-2</v>
      </c>
      <c r="L100" s="22">
        <f t="shared" si="62"/>
        <v>6.5536425902864251E-2</v>
      </c>
      <c r="M100" s="231">
        <f t="shared" si="63"/>
        <v>6.5536425902864251E-2</v>
      </c>
      <c r="N100" s="233">
        <v>2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Spinach (cash): kg produced</v>
      </c>
      <c r="B101" s="75">
        <f t="shared" ref="B101:C101" si="72">(B47/$B$83)</f>
        <v>3.9321855541718555E-2</v>
      </c>
      <c r="C101" s="75">
        <f t="shared" si="72"/>
        <v>0</v>
      </c>
      <c r="D101" s="24">
        <f t="shared" si="57"/>
        <v>3.9321855541718555E-2</v>
      </c>
      <c r="H101" s="24">
        <f t="shared" si="58"/>
        <v>1</v>
      </c>
      <c r="I101" s="22">
        <f t="shared" si="59"/>
        <v>3.9321855541718555E-2</v>
      </c>
      <c r="J101" s="24">
        <f t="shared" si="60"/>
        <v>3.9321855541718555E-2</v>
      </c>
      <c r="K101" s="22">
        <f t="shared" si="61"/>
        <v>3.9321855541718555E-2</v>
      </c>
      <c r="L101" s="22">
        <f t="shared" si="62"/>
        <v>3.9321855541718555E-2</v>
      </c>
      <c r="M101" s="231">
        <f t="shared" si="63"/>
        <v>3.9321855541718555E-2</v>
      </c>
      <c r="N101" s="233">
        <v>2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Tomatoes (cash): kg produced</v>
      </c>
      <c r="B102" s="75">
        <f t="shared" ref="B102:C102" si="73">(B48/$B$83)</f>
        <v>6.5536425902864251E-2</v>
      </c>
      <c r="C102" s="75">
        <f t="shared" si="73"/>
        <v>0</v>
      </c>
      <c r="D102" s="24">
        <f t="shared" si="57"/>
        <v>6.5536425902864251E-2</v>
      </c>
      <c r="H102" s="24">
        <f t="shared" si="58"/>
        <v>1</v>
      </c>
      <c r="I102" s="22">
        <f t="shared" si="59"/>
        <v>6.5536425902864251E-2</v>
      </c>
      <c r="J102" s="24">
        <f t="shared" si="60"/>
        <v>6.5536425902864251E-2</v>
      </c>
      <c r="K102" s="22">
        <f t="shared" si="61"/>
        <v>6.5536425902864251E-2</v>
      </c>
      <c r="L102" s="22">
        <f t="shared" si="62"/>
        <v>6.5536425902864251E-2</v>
      </c>
      <c r="M102" s="231">
        <f t="shared" si="63"/>
        <v>6.5536425902864251E-2</v>
      </c>
      <c r="N102" s="233">
        <v>2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Cabbage (cash): kg produced</v>
      </c>
      <c r="B103" s="75">
        <f t="shared" ref="B103:C103" si="74">(B49/$B$83)</f>
        <v>3.9321855541718555E-2</v>
      </c>
      <c r="C103" s="75">
        <f t="shared" si="74"/>
        <v>0</v>
      </c>
      <c r="D103" s="24">
        <f t="shared" si="57"/>
        <v>3.9321855541718555E-2</v>
      </c>
      <c r="H103" s="24">
        <f t="shared" si="58"/>
        <v>1</v>
      </c>
      <c r="I103" s="22">
        <f t="shared" si="59"/>
        <v>3.9321855541718555E-2</v>
      </c>
      <c r="J103" s="24">
        <f t="shared" si="60"/>
        <v>3.9321855541718555E-2</v>
      </c>
      <c r="K103" s="22">
        <f t="shared" si="61"/>
        <v>3.9321855541718555E-2</v>
      </c>
      <c r="L103" s="22">
        <f t="shared" si="62"/>
        <v>3.9321855541718555E-2</v>
      </c>
      <c r="M103" s="231">
        <f t="shared" si="63"/>
        <v>3.9321855541718555E-2</v>
      </c>
      <c r="N103" s="233">
        <v>2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Agricultural cash income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1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31">
        <f t="shared" si="63"/>
        <v>0</v>
      </c>
      <c r="N104" s="233">
        <v>7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Labour migration(formal employment): no. people per HH</v>
      </c>
      <c r="B105" s="75">
        <f t="shared" ref="B105:C105" si="76">(B51/$B$83)</f>
        <v>1.4418013698630137</v>
      </c>
      <c r="C105" s="75">
        <f t="shared" si="76"/>
        <v>0</v>
      </c>
      <c r="D105" s="24">
        <f t="shared" si="57"/>
        <v>1.4418013698630137</v>
      </c>
      <c r="H105" s="24">
        <f t="shared" si="58"/>
        <v>1</v>
      </c>
      <c r="I105" s="22">
        <f t="shared" si="59"/>
        <v>1.4418013698630137</v>
      </c>
      <c r="J105" s="24">
        <f t="shared" si="60"/>
        <v>1.4418013698630137</v>
      </c>
      <c r="K105" s="22">
        <f t="shared" si="61"/>
        <v>1.4418013698630137</v>
      </c>
      <c r="L105" s="22">
        <f t="shared" si="62"/>
        <v>1.4418013698630137</v>
      </c>
      <c r="M105" s="231">
        <f t="shared" si="63"/>
        <v>1.4418013698630137</v>
      </c>
      <c r="N105" s="233">
        <v>8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Formal Employment (conservancies, etc.)</v>
      </c>
      <c r="B106" s="75">
        <f t="shared" ref="B106:C106" si="77">(B52/$B$83)</f>
        <v>3.1142909589041095</v>
      </c>
      <c r="C106" s="75">
        <f t="shared" si="77"/>
        <v>0</v>
      </c>
      <c r="D106" s="24">
        <f t="shared" si="57"/>
        <v>3.1142909589041095</v>
      </c>
      <c r="H106" s="24">
        <f t="shared" si="58"/>
        <v>1</v>
      </c>
      <c r="I106" s="22">
        <f t="shared" si="59"/>
        <v>3.1142909589041095</v>
      </c>
      <c r="J106" s="24">
        <f t="shared" si="60"/>
        <v>3.1142909589041095</v>
      </c>
      <c r="K106" s="22">
        <f t="shared" si="61"/>
        <v>3.1142909589041095</v>
      </c>
      <c r="L106" s="22">
        <f t="shared" si="62"/>
        <v>3.1142909589041095</v>
      </c>
      <c r="M106" s="231">
        <f t="shared" si="63"/>
        <v>3.1142909589041095</v>
      </c>
      <c r="N106" s="233">
        <v>8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>Self-employment -- see Data2</v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1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31">
        <f t="shared" si="63"/>
        <v>0</v>
      </c>
      <c r="N107" s="233">
        <v>10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>Small business -- see Data2</v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1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31">
        <f t="shared" si="63"/>
        <v>0</v>
      </c>
      <c r="N108" s="233">
        <v>11</v>
      </c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>Social development -- see Data2</v>
      </c>
      <c r="B109" s="75">
        <f t="shared" ref="B109:C109" si="80">(B55/$B$83)</f>
        <v>0.80767091282689907</v>
      </c>
      <c r="C109" s="75">
        <f t="shared" si="80"/>
        <v>0</v>
      </c>
      <c r="D109" s="24">
        <f t="shared" si="57"/>
        <v>0.80767091282689907</v>
      </c>
      <c r="H109" s="24">
        <f t="shared" si="58"/>
        <v>1</v>
      </c>
      <c r="I109" s="22">
        <f t="shared" si="59"/>
        <v>0.80767091282689907</v>
      </c>
      <c r="J109" s="24">
        <f t="shared" si="60"/>
        <v>0.80767091282689907</v>
      </c>
      <c r="K109" s="22">
        <f t="shared" si="61"/>
        <v>0.80767091282689907</v>
      </c>
      <c r="L109" s="22">
        <f t="shared" si="62"/>
        <v>0.80767091282689907</v>
      </c>
      <c r="M109" s="231">
        <f t="shared" si="63"/>
        <v>0.80767091282689907</v>
      </c>
      <c r="N109" s="233">
        <v>14</v>
      </c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>Public works -- see Data2</v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1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31">
        <f t="shared" si="63"/>
        <v>0</v>
      </c>
      <c r="N110" s="233">
        <v>9</v>
      </c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>Other income: e.g. Credit (cotton loans)</v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1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31">
        <f t="shared" si="63"/>
        <v>0</v>
      </c>
      <c r="N111" s="233">
        <v>16</v>
      </c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1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31">
        <f t="shared" si="63"/>
        <v>0</v>
      </c>
      <c r="N112" s="23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1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31">
        <f t="shared" si="63"/>
        <v>0</v>
      </c>
      <c r="N113" s="23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1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31">
        <f t="shared" si="63"/>
        <v>0</v>
      </c>
      <c r="N114" s="23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1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31">
        <f t="shared" si="63"/>
        <v>0</v>
      </c>
      <c r="N115" s="23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1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31">
        <f t="shared" si="63"/>
        <v>0</v>
      </c>
      <c r="N116" s="23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1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31">
        <f t="shared" si="63"/>
        <v>0</v>
      </c>
      <c r="N117" s="23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1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31">
        <f t="shared" si="63"/>
        <v>0</v>
      </c>
      <c r="N118" s="23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7.568932900373599</v>
      </c>
      <c r="C119" s="22">
        <f>SUM(C91:C118)</f>
        <v>8.532842652552923E-2</v>
      </c>
      <c r="D119" s="24">
        <f>SUM(D91:D118)</f>
        <v>7.6542613268991282</v>
      </c>
      <c r="E119" s="22"/>
      <c r="F119" s="2"/>
      <c r="G119" s="2"/>
      <c r="H119" s="31"/>
      <c r="I119" s="22">
        <f>SUM(I91:I118)</f>
        <v>7.6542613268991282</v>
      </c>
      <c r="J119" s="24">
        <f>SUM(J91:J118)</f>
        <v>7.5818665161131236</v>
      </c>
      <c r="K119" s="22">
        <f>SUM(K91:K118)</f>
        <v>7.568932900373599</v>
      </c>
      <c r="L119" s="22">
        <f>SUM(L91:L118)</f>
        <v>7.568932900373599</v>
      </c>
      <c r="M119" s="57">
        <f t="shared" si="50"/>
        <v>7.5818665161131236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2.0023370510220024</v>
      </c>
      <c r="C124" s="2"/>
      <c r="D124" s="24"/>
      <c r="H124" s="24">
        <f>(E70*F70/G$37*F$7/F$9)</f>
        <v>1</v>
      </c>
      <c r="I124" s="29">
        <f>IF(SUMPRODUCT($B$124:$B124,$H$124:$H124)&lt;I$119,($B124*$H124),I$119)</f>
        <v>2.0023370510220024</v>
      </c>
      <c r="J124" s="241">
        <f>IF(SUMPRODUCT($B$124:$B124,$H$124:$H124)&lt;J$119,($B124*$H124),J$119)</f>
        <v>2.0023370510220024</v>
      </c>
      <c r="K124" s="22">
        <f>(B124)</f>
        <v>2.0023370510220024</v>
      </c>
      <c r="L124" s="29">
        <f>IF(SUMPRODUCT($B$124:$B124,$H$124:$H124)&lt;L$119,($B124*$H124),L$119)</f>
        <v>2.0023370510220024</v>
      </c>
      <c r="M124" s="57">
        <f t="shared" si="90"/>
        <v>2.0023370510220024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2.0612516674968866</v>
      </c>
      <c r="C125" s="2"/>
      <c r="D125" s="24"/>
      <c r="H125" s="24">
        <f>(E71*F71/G$37*F$7/F$9)</f>
        <v>1</v>
      </c>
      <c r="I125" s="29">
        <f>IF(SUMPRODUCT($B$124:$B125,$H$124:$H125)&lt;I$119,($B125*$H125),IF(SUMPRODUCT($B$124:$B124,$H$124:$H124)&lt;I$119,I$119-SUMPRODUCT($B$124:$B124,$H$124:$H124),0))</f>
        <v>2.0612516674968866</v>
      </c>
      <c r="J125" s="241">
        <f>IF(SUMPRODUCT($B$124:$B125,$H$124:$H125)&lt;J$119,($B125*$H125),IF(SUMPRODUCT($B$124:$B124,$H$124:$H124)&lt;J$119,J$119-SUMPRODUCT($B$124:$B124,$H$124:$H124),0))</f>
        <v>2.0612516674968866</v>
      </c>
      <c r="K125" s="22">
        <f t="shared" ref="K125:K126" si="91">(B125)</f>
        <v>2.0612516674968866</v>
      </c>
      <c r="L125" s="29">
        <f>IF(SUMPRODUCT($B$124:$B125,$H$124:$H125)&lt;L$119,($B125*$H125),IF(SUMPRODUCT($B$124:$B124,$H$124:$H124)&lt;L$119,L$119-SUMPRODUCT($B$124:$B124,$H$124:$H124),0))</f>
        <v>2.0612516674968866</v>
      </c>
      <c r="M125" s="57">
        <f t="shared" ref="M125:M126" si="92">(J125)</f>
        <v>2.0612516674968866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4.0910458505603984</v>
      </c>
      <c r="C126" s="2"/>
      <c r="D126" s="24"/>
      <c r="H126" s="24">
        <f>(E72*F72/G$37*F$7/F$9)</f>
        <v>1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41">
        <f>IF(SUMPRODUCT($B$124:$B126,$H$124:$H126)&lt;(J$119-J$128),($B126*$H126),IF(SUMPRODUCT($B$124:$B125,$H$124:$H125)&lt;(J$119-J$128),J$119-J$128-SUMPRODUCT($B$124:$B125,$H$124:$H125),0))</f>
        <v>3.1618137293113087</v>
      </c>
      <c r="K126" s="22">
        <f t="shared" si="91"/>
        <v>4.0910458505603984</v>
      </c>
      <c r="L126" s="29">
        <f>IF(SUMPRODUCT($B$124:$B126,$H$124:$H126)&lt;(L$119-L$128),($B126*$H126),IF(SUMPRODUCT($B$124:$B125,$H$124:$H125)&lt;(L$119-L$128),L$119-L$128-SUMPRODUCT($B$124:$B125,$H$124:$H125),0))</f>
        <v>3.1276805703976738</v>
      </c>
      <c r="M126" s="57">
        <f t="shared" si="92"/>
        <v>3.1618137293113087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1.5086485242839351</v>
      </c>
      <c r="C127" s="2"/>
      <c r="D127" s="24"/>
      <c r="H127" s="24">
        <f>(E73*F73/G$37*F$7/F$9)</f>
        <v>1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41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1.5086485242839351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90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0.37766361145703609</v>
      </c>
      <c r="C128" s="2"/>
      <c r="D128" s="31"/>
      <c r="E128" s="2"/>
      <c r="F128" s="2"/>
      <c r="G128" s="2"/>
      <c r="H128" s="24"/>
      <c r="I128" s="29">
        <f>(I30)</f>
        <v>5.6519242758771258</v>
      </c>
      <c r="J128" s="232">
        <f>(J30)</f>
        <v>0.35646406828292565</v>
      </c>
      <c r="K128" s="22">
        <f>(B128)</f>
        <v>0.37766361145703609</v>
      </c>
      <c r="L128" s="22">
        <f>IF(L124=L119,0,(L119-L124)/(B119-B124)*K128)</f>
        <v>0.37766361145703609</v>
      </c>
      <c r="M128" s="57">
        <f t="shared" si="90"/>
        <v>0.35646406828292565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32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57">
        <f t="shared" si="90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7.568932900373599</v>
      </c>
      <c r="C130" s="2"/>
      <c r="D130" s="31"/>
      <c r="E130" s="2"/>
      <c r="F130" s="2"/>
      <c r="G130" s="2"/>
      <c r="H130" s="24"/>
      <c r="I130" s="29">
        <f>(I119)</f>
        <v>7.6542613268991282</v>
      </c>
      <c r="J130" s="232">
        <f>(J119)</f>
        <v>7.5818665161131236</v>
      </c>
      <c r="K130" s="22">
        <f>(B130)</f>
        <v>7.568932900373599</v>
      </c>
      <c r="L130" s="22">
        <f>(L119)</f>
        <v>7.568932900373599</v>
      </c>
      <c r="M130" s="57">
        <f t="shared" si="90"/>
        <v>7.5818665161131236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2.0612516674968866</v>
      </c>
      <c r="J131" s="241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41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95" priority="113" operator="equal">
      <formula>16</formula>
    </cfRule>
    <cfRule type="cellIs" dxfId="94" priority="114" operator="equal">
      <formula>15</formula>
    </cfRule>
    <cfRule type="cellIs" dxfId="93" priority="115" operator="equal">
      <formula>14</formula>
    </cfRule>
    <cfRule type="cellIs" dxfId="92" priority="116" operator="equal">
      <formula>13</formula>
    </cfRule>
    <cfRule type="cellIs" dxfId="91" priority="117" operator="equal">
      <formula>12</formula>
    </cfRule>
    <cfRule type="cellIs" dxfId="90" priority="118" operator="equal">
      <formula>11</formula>
    </cfRule>
    <cfRule type="cellIs" dxfId="89" priority="119" operator="equal">
      <formula>10</formula>
    </cfRule>
    <cfRule type="cellIs" dxfId="88" priority="120" operator="equal">
      <formula>9</formula>
    </cfRule>
    <cfRule type="cellIs" dxfId="87" priority="121" operator="equal">
      <formula>8</formula>
    </cfRule>
    <cfRule type="cellIs" dxfId="86" priority="122" operator="equal">
      <formula>7</formula>
    </cfRule>
    <cfRule type="cellIs" dxfId="85" priority="123" operator="equal">
      <formula>6</formula>
    </cfRule>
    <cfRule type="cellIs" dxfId="84" priority="124" operator="equal">
      <formula>5</formula>
    </cfRule>
    <cfRule type="cellIs" dxfId="83" priority="125" operator="equal">
      <formula>4</formula>
    </cfRule>
    <cfRule type="cellIs" dxfId="82" priority="126" operator="equal">
      <formula>3</formula>
    </cfRule>
    <cfRule type="cellIs" dxfId="81" priority="127" operator="equal">
      <formula>2</formula>
    </cfRule>
    <cfRule type="cellIs" dxfId="80" priority="128" operator="equal">
      <formula>1</formula>
    </cfRule>
  </conditionalFormatting>
  <conditionalFormatting sqref="N29">
    <cfRule type="cellIs" dxfId="79" priority="97" operator="equal">
      <formula>16</formula>
    </cfRule>
    <cfRule type="cellIs" dxfId="78" priority="98" operator="equal">
      <formula>15</formula>
    </cfRule>
    <cfRule type="cellIs" dxfId="77" priority="99" operator="equal">
      <formula>14</formula>
    </cfRule>
    <cfRule type="cellIs" dxfId="76" priority="100" operator="equal">
      <formula>13</formula>
    </cfRule>
    <cfRule type="cellIs" dxfId="75" priority="101" operator="equal">
      <formula>12</formula>
    </cfRule>
    <cfRule type="cellIs" dxfId="74" priority="102" operator="equal">
      <formula>11</formula>
    </cfRule>
    <cfRule type="cellIs" dxfId="73" priority="103" operator="equal">
      <formula>10</formula>
    </cfRule>
    <cfRule type="cellIs" dxfId="72" priority="104" operator="equal">
      <formula>9</formula>
    </cfRule>
    <cfRule type="cellIs" dxfId="71" priority="105" operator="equal">
      <formula>8</formula>
    </cfRule>
    <cfRule type="cellIs" dxfId="70" priority="106" operator="equal">
      <formula>7</formula>
    </cfRule>
    <cfRule type="cellIs" dxfId="69" priority="107" operator="equal">
      <formula>6</formula>
    </cfRule>
    <cfRule type="cellIs" dxfId="68" priority="108" operator="equal">
      <formula>5</formula>
    </cfRule>
    <cfRule type="cellIs" dxfId="67" priority="109" operator="equal">
      <formula>4</formula>
    </cfRule>
    <cfRule type="cellIs" dxfId="66" priority="110" operator="equal">
      <formula>3</formula>
    </cfRule>
    <cfRule type="cellIs" dxfId="65" priority="111" operator="equal">
      <formula>2</formula>
    </cfRule>
    <cfRule type="cellIs" dxfId="64" priority="112" operator="equal">
      <formula>1</formula>
    </cfRule>
  </conditionalFormatting>
  <conditionalFormatting sqref="N113:N118">
    <cfRule type="cellIs" dxfId="63" priority="49" operator="equal">
      <formula>16</formula>
    </cfRule>
    <cfRule type="cellIs" dxfId="62" priority="50" operator="equal">
      <formula>15</formula>
    </cfRule>
    <cfRule type="cellIs" dxfId="61" priority="51" operator="equal">
      <formula>14</formula>
    </cfRule>
    <cfRule type="cellIs" dxfId="60" priority="52" operator="equal">
      <formula>13</formula>
    </cfRule>
    <cfRule type="cellIs" dxfId="59" priority="53" operator="equal">
      <formula>12</formula>
    </cfRule>
    <cfRule type="cellIs" dxfId="58" priority="54" operator="equal">
      <formula>11</formula>
    </cfRule>
    <cfRule type="cellIs" dxfId="57" priority="55" operator="equal">
      <formula>10</formula>
    </cfRule>
    <cfRule type="cellIs" dxfId="56" priority="56" operator="equal">
      <formula>9</formula>
    </cfRule>
    <cfRule type="cellIs" dxfId="55" priority="57" operator="equal">
      <formula>8</formula>
    </cfRule>
    <cfRule type="cellIs" dxfId="54" priority="58" operator="equal">
      <formula>7</formula>
    </cfRule>
    <cfRule type="cellIs" dxfId="53" priority="59" operator="equal">
      <formula>6</formula>
    </cfRule>
    <cfRule type="cellIs" dxfId="52" priority="60" operator="equal">
      <formula>5</formula>
    </cfRule>
    <cfRule type="cellIs" dxfId="51" priority="61" operator="equal">
      <formula>4</formula>
    </cfRule>
    <cfRule type="cellIs" dxfId="50" priority="62" operator="equal">
      <formula>3</formula>
    </cfRule>
    <cfRule type="cellIs" dxfId="49" priority="63" operator="equal">
      <formula>2</formula>
    </cfRule>
    <cfRule type="cellIs" dxfId="48" priority="64" operator="equal">
      <formula>1</formula>
    </cfRule>
  </conditionalFormatting>
  <conditionalFormatting sqref="N6:N28">
    <cfRule type="cellIs" dxfId="47" priority="33" operator="equal">
      <formula>16</formula>
    </cfRule>
    <cfRule type="cellIs" dxfId="46" priority="34" operator="equal">
      <formula>15</formula>
    </cfRule>
    <cfRule type="cellIs" dxfId="45" priority="35" operator="equal">
      <formula>14</formula>
    </cfRule>
    <cfRule type="cellIs" dxfId="44" priority="36" operator="equal">
      <formula>13</formula>
    </cfRule>
    <cfRule type="cellIs" dxfId="43" priority="37" operator="equal">
      <formula>12</formula>
    </cfRule>
    <cfRule type="cellIs" dxfId="42" priority="38" operator="equal">
      <formula>11</formula>
    </cfRule>
    <cfRule type="cellIs" dxfId="41" priority="39" operator="equal">
      <formula>10</formula>
    </cfRule>
    <cfRule type="cellIs" dxfId="40" priority="40" operator="equal">
      <formula>9</formula>
    </cfRule>
    <cfRule type="cellIs" dxfId="39" priority="41" operator="equal">
      <formula>8</formula>
    </cfRule>
    <cfRule type="cellIs" dxfId="38" priority="42" operator="equal">
      <formula>7</formula>
    </cfRule>
    <cfRule type="cellIs" dxfId="37" priority="43" operator="equal">
      <formula>6</formula>
    </cfRule>
    <cfRule type="cellIs" dxfId="36" priority="44" operator="equal">
      <formula>5</formula>
    </cfRule>
    <cfRule type="cellIs" dxfId="35" priority="45" operator="equal">
      <formula>4</formula>
    </cfRule>
    <cfRule type="cellIs" dxfId="34" priority="46" operator="equal">
      <formula>3</formula>
    </cfRule>
    <cfRule type="cellIs" dxfId="33" priority="47" operator="equal">
      <formula>2</formula>
    </cfRule>
    <cfRule type="cellIs" dxfId="32" priority="48" operator="equal">
      <formula>1</formula>
    </cfRule>
  </conditionalFormatting>
  <conditionalFormatting sqref="N91:N104">
    <cfRule type="cellIs" dxfId="31" priority="17" operator="equal">
      <formula>16</formula>
    </cfRule>
    <cfRule type="cellIs" dxfId="30" priority="18" operator="equal">
      <formula>15</formula>
    </cfRule>
    <cfRule type="cellIs" dxfId="29" priority="19" operator="equal">
      <formula>14</formula>
    </cfRule>
    <cfRule type="cellIs" dxfId="28" priority="20" operator="equal">
      <formula>13</formula>
    </cfRule>
    <cfRule type="cellIs" dxfId="27" priority="21" operator="equal">
      <formula>12</formula>
    </cfRule>
    <cfRule type="cellIs" dxfId="26" priority="22" operator="equal">
      <formula>11</formula>
    </cfRule>
    <cfRule type="cellIs" dxfId="25" priority="23" operator="equal">
      <formula>10</formula>
    </cfRule>
    <cfRule type="cellIs" dxfId="24" priority="24" operator="equal">
      <formula>9</formula>
    </cfRule>
    <cfRule type="cellIs" dxfId="23" priority="25" operator="equal">
      <formula>8</formula>
    </cfRule>
    <cfRule type="cellIs" dxfId="22" priority="26" operator="equal">
      <formula>7</formula>
    </cfRule>
    <cfRule type="cellIs" dxfId="21" priority="27" operator="equal">
      <formula>6</formula>
    </cfRule>
    <cfRule type="cellIs" dxfId="20" priority="28" operator="equal">
      <formula>5</formula>
    </cfRule>
    <cfRule type="cellIs" dxfId="19" priority="29" operator="equal">
      <formula>4</formula>
    </cfRule>
    <cfRule type="cellIs" dxfId="18" priority="30" operator="equal">
      <formula>3</formula>
    </cfRule>
    <cfRule type="cellIs" dxfId="17" priority="31" operator="equal">
      <formula>2</formula>
    </cfRule>
    <cfRule type="cellIs" dxfId="16" priority="32" operator="equal">
      <formula>1</formula>
    </cfRule>
  </conditionalFormatting>
  <conditionalFormatting sqref="N105:N112">
    <cfRule type="cellIs" dxfId="15" priority="1" operator="equal">
      <formula>16</formula>
    </cfRule>
    <cfRule type="cellIs" dxfId="14" priority="2" operator="equal">
      <formula>15</formula>
    </cfRule>
    <cfRule type="cellIs" dxfId="13" priority="3" operator="equal">
      <formula>14</formula>
    </cfRule>
    <cfRule type="cellIs" dxfId="12" priority="4" operator="equal">
      <formula>13</formula>
    </cfRule>
    <cfRule type="cellIs" dxfId="11" priority="5" operator="equal">
      <formula>12</formula>
    </cfRule>
    <cfRule type="cellIs" dxfId="10" priority="6" operator="equal">
      <formula>11</formula>
    </cfRule>
    <cfRule type="cellIs" dxfId="9" priority="7" operator="equal">
      <formula>10</formula>
    </cfRule>
    <cfRule type="cellIs" dxfId="8" priority="8" operator="equal">
      <formula>9</formula>
    </cfRule>
    <cfRule type="cellIs" dxfId="7" priority="9" operator="equal">
      <formula>8</formula>
    </cfRule>
    <cfRule type="cellIs" dxfId="6" priority="10" operator="equal">
      <formula>7</formula>
    </cfRule>
    <cfRule type="cellIs" dxfId="5" priority="11" operator="equal">
      <formula>6</formula>
    </cfRule>
    <cfRule type="cellIs" dxfId="4" priority="12" operator="equal">
      <formula>5</formula>
    </cfRule>
    <cfRule type="cellIs" dxfId="3" priority="13" operator="equal">
      <formula>4</formula>
    </cfRule>
    <cfRule type="cellIs" dxfId="2" priority="14" operator="equal">
      <formula>3</formula>
    </cfRule>
    <cfRule type="cellIs" dxfId="1" priority="15" operator="equal">
      <formula>2</formula>
    </cfRule>
    <cfRule type="cellIs" dxfId="0" priority="16" operator="equal">
      <formula>1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55"/>
      <c r="B2" s="255"/>
      <c r="C2" s="255"/>
      <c r="D2" s="255"/>
      <c r="E2" s="255"/>
      <c r="F2" s="256"/>
      <c r="G2" s="253"/>
      <c r="H2" s="253"/>
      <c r="I2" s="253"/>
      <c r="J2" s="253"/>
      <c r="K2" s="267" t="str">
        <f>Poor!A1</f>
        <v>ZACNI: 59106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V.Poor!A3</f>
        <v>Sources of Food : Very Poor HHs</v>
      </c>
      <c r="C3" s="269"/>
      <c r="D3" s="269"/>
      <c r="E3" s="269"/>
      <c r="F3" s="252"/>
      <c r="G3" s="266" t="str">
        <f>Poor!A3</f>
        <v>Sources of Food : Poor HHs</v>
      </c>
      <c r="H3" s="266"/>
      <c r="I3" s="266"/>
      <c r="J3" s="266"/>
      <c r="K3" s="253"/>
      <c r="L3" s="266" t="str">
        <f>Middle!A3</f>
        <v>Sources of Food : Middle HHs</v>
      </c>
      <c r="M3" s="266"/>
      <c r="N3" s="266"/>
      <c r="O3" s="266"/>
      <c r="P3" s="266"/>
      <c r="Q3" s="254"/>
      <c r="R3" s="266" t="str">
        <f>Rich!A3</f>
        <v>Sources of Food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opLeftCell="E57" workbookViewId="0">
      <selection activeCell="X78" sqref="X7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71" t="str">
        <f>Poor!A1</f>
        <v>ZACNI: 59106</v>
      </c>
      <c r="L2" s="271"/>
      <c r="M2" s="271"/>
      <c r="N2" s="271"/>
      <c r="O2" s="271"/>
      <c r="P2" s="271"/>
      <c r="Q2" s="271"/>
      <c r="R2" s="87"/>
      <c r="S2" s="87"/>
      <c r="T2" s="87"/>
      <c r="U2" s="87"/>
      <c r="V2" s="87"/>
    </row>
    <row r="3" spans="1:22" s="92" customFormat="1" ht="17">
      <c r="A3" s="90"/>
      <c r="B3" s="89"/>
      <c r="C3" s="272" t="str">
        <f>V.Poor!A34</f>
        <v>Income : Very Poor HHs</v>
      </c>
      <c r="D3" s="272"/>
      <c r="E3" s="272"/>
      <c r="F3" s="90"/>
      <c r="G3" s="270" t="str">
        <f>Poor!A34</f>
        <v>Income : Poor HHs</v>
      </c>
      <c r="H3" s="270"/>
      <c r="I3" s="270"/>
      <c r="J3" s="270"/>
      <c r="K3" s="89"/>
      <c r="L3" s="270" t="str">
        <f>Middle!A34</f>
        <v>Income : Middle HHs</v>
      </c>
      <c r="M3" s="270"/>
      <c r="N3" s="270"/>
      <c r="O3" s="270"/>
      <c r="P3" s="270"/>
      <c r="Q3" s="91"/>
      <c r="R3" s="270" t="str">
        <f>Rich!A34</f>
        <v>Income : Better-off HHs</v>
      </c>
      <c r="S3" s="270"/>
      <c r="T3" s="270"/>
      <c r="U3" s="270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2141.4760993113323</v>
      </c>
      <c r="C72" s="109">
        <f>Poor!R7</f>
        <v>2371.3955683925333</v>
      </c>
      <c r="D72" s="109">
        <f>Middle!R7</f>
        <v>3300.5357221090021</v>
      </c>
      <c r="E72" s="109">
        <f>Rich!R7</f>
        <v>3337.8721544275227</v>
      </c>
      <c r="F72" s="109">
        <f>V.Poor!T7</f>
        <v>2226.0064860516636</v>
      </c>
      <c r="G72" s="109">
        <f>Poor!T7</f>
        <v>2693.2814058735867</v>
      </c>
      <c r="H72" s="109">
        <f>Middle!T7</f>
        <v>3452.0300303327786</v>
      </c>
      <c r="I72" s="109">
        <f>Rich!T7</f>
        <v>3472.9701944839458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836</v>
      </c>
      <c r="D73" s="109">
        <f>Middle!R8</f>
        <v>3621</v>
      </c>
      <c r="E73" s="109">
        <f>Rich!R8</f>
        <v>5132.4444444444443</v>
      </c>
      <c r="F73" s="109">
        <f>V.Poor!T8</f>
        <v>0</v>
      </c>
      <c r="G73" s="109">
        <f>Poor!T8</f>
        <v>150</v>
      </c>
      <c r="H73" s="109">
        <f>Middle!T8</f>
        <v>3609.6409060364408</v>
      </c>
      <c r="I73" s="109">
        <f>Rich!T8</f>
        <v>4883.3232914162963</v>
      </c>
    </row>
    <row r="74" spans="1:9">
      <c r="A74" t="str">
        <f>V.Poor!Q9</f>
        <v>Animal products consumed</v>
      </c>
      <c r="B74" s="109">
        <f>V.Poor!R9</f>
        <v>151.45508615079123</v>
      </c>
      <c r="C74" s="109">
        <f>Poor!R9</f>
        <v>234.07023230600569</v>
      </c>
      <c r="D74" s="109">
        <f>Middle!R9</f>
        <v>403.32969654166982</v>
      </c>
      <c r="E74" s="109">
        <f>Rich!R9</f>
        <v>1050.5131066722433</v>
      </c>
      <c r="F74" s="109">
        <f>V.Poor!T9</f>
        <v>151.45508615079123</v>
      </c>
      <c r="G74" s="109">
        <f>Poor!T9</f>
        <v>234.07023230600569</v>
      </c>
      <c r="H74" s="109">
        <f>Middle!T9</f>
        <v>403.32969654166982</v>
      </c>
      <c r="I74" s="109">
        <f>Rich!T9</f>
        <v>1050.5131066722433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0</v>
      </c>
      <c r="C76" s="109">
        <f>Poor!R11</f>
        <v>500.00000000000006</v>
      </c>
      <c r="D76" s="109">
        <f>Middle!R11</f>
        <v>3500</v>
      </c>
      <c r="E76" s="109">
        <f>Rich!R11</f>
        <v>9822.2222222222226</v>
      </c>
      <c r="F76" s="109">
        <f>V.Poor!T11</f>
        <v>0</v>
      </c>
      <c r="G76" s="109">
        <f>Poor!T11</f>
        <v>500.00000000000006</v>
      </c>
      <c r="H76" s="109">
        <f>Middle!T11</f>
        <v>3694.1725463856233</v>
      </c>
      <c r="I76" s="109">
        <f>Rich!T11</f>
        <v>10159.054500518798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79.386569840387608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67.353588206918005</v>
      </c>
    </row>
    <row r="78" spans="1:9">
      <c r="A78" t="str">
        <f>V.Poor!Q13</f>
        <v>Labour - casual</v>
      </c>
      <c r="B78" s="109">
        <f>V.Poor!R13</f>
        <v>0</v>
      </c>
      <c r="C78" s="109">
        <f>Poor!R13</f>
        <v>1622.4143646408841</v>
      </c>
      <c r="D78" s="109">
        <f>Middle!R13</f>
        <v>752</v>
      </c>
      <c r="E78" s="109">
        <f>Rich!R13</f>
        <v>0</v>
      </c>
      <c r="F78" s="109">
        <f>V.Poor!T13</f>
        <v>0</v>
      </c>
      <c r="G78" s="109">
        <f>Poor!T13</f>
        <v>1622.4143646408841</v>
      </c>
      <c r="H78" s="109">
        <f>Middle!T13</f>
        <v>752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30897.777777777777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30897.777777777777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0</v>
      </c>
      <c r="D80" s="109">
        <f>Middle!R15</f>
        <v>371</v>
      </c>
      <c r="E80" s="109">
        <f>Rich!R15</f>
        <v>0</v>
      </c>
      <c r="F80" s="109">
        <f>V.Poor!T15</f>
        <v>0</v>
      </c>
      <c r="G80" s="109">
        <f>Poor!T15</f>
        <v>0</v>
      </c>
      <c r="H80" s="109">
        <f>Middle!T15</f>
        <v>371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429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445.66000447988648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2160</v>
      </c>
      <c r="E82" s="109">
        <f>Rich!R17</f>
        <v>0</v>
      </c>
      <c r="F82" s="109">
        <f>V.Poor!T17</f>
        <v>0</v>
      </c>
      <c r="G82" s="109">
        <f>Poor!T17</f>
        <v>0</v>
      </c>
      <c r="H82" s="109">
        <f>Middle!T17</f>
        <v>2160</v>
      </c>
      <c r="I82" s="109">
        <f>Rich!T17</f>
        <v>0</v>
      </c>
    </row>
    <row r="83" spans="1:9">
      <c r="A83" t="str">
        <f>V.Poor!Q18</f>
        <v>Food transfer - official</v>
      </c>
      <c r="B83" s="109">
        <f>V.Poor!R18</f>
        <v>807.33808994213837</v>
      </c>
      <c r="C83" s="109">
        <f>Poor!R18</f>
        <v>807.33808994213837</v>
      </c>
      <c r="D83" s="109">
        <f>Middle!R18</f>
        <v>807.33808994213837</v>
      </c>
      <c r="E83" s="109">
        <f>Rich!R18</f>
        <v>717.63385772634524</v>
      </c>
      <c r="F83" s="109">
        <f>V.Poor!T18</f>
        <v>807.33808994213837</v>
      </c>
      <c r="G83" s="109">
        <f>Poor!T18</f>
        <v>807.33808994213837</v>
      </c>
      <c r="H83" s="109">
        <f>Middle!T18</f>
        <v>807.33808994213837</v>
      </c>
      <c r="I83" s="109">
        <f>Rich!T18</f>
        <v>717.63385772634524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276.45066024395538</v>
      </c>
      <c r="E84" s="109">
        <f>Rich!R19</f>
        <v>536.5007336043949</v>
      </c>
      <c r="F84" s="109">
        <f>V.Poor!T19</f>
        <v>0</v>
      </c>
      <c r="G84" s="109">
        <f>Poor!T19</f>
        <v>0</v>
      </c>
      <c r="H84" s="109">
        <f>Middle!T19</f>
        <v>276.45066024395538</v>
      </c>
      <c r="I84" s="109">
        <f>Rich!T19</f>
        <v>536.5007336043949</v>
      </c>
    </row>
    <row r="85" spans="1:9">
      <c r="A85" t="str">
        <f>V.Poor!Q20</f>
        <v>Cash transfer - official</v>
      </c>
      <c r="B85" s="109">
        <f>V.Poor!R20</f>
        <v>22020</v>
      </c>
      <c r="C85" s="109">
        <f>Poor!R20</f>
        <v>22020</v>
      </c>
      <c r="D85" s="109">
        <f>Middle!R20</f>
        <v>22020</v>
      </c>
      <c r="E85" s="109">
        <f>Rich!R20</f>
        <v>5477.333333333333</v>
      </c>
      <c r="F85" s="109">
        <f>V.Poor!T20</f>
        <v>22020</v>
      </c>
      <c r="G85" s="109">
        <f>Poor!T20</f>
        <v>22020</v>
      </c>
      <c r="H85" s="109">
        <f>Middle!T20</f>
        <v>22020</v>
      </c>
      <c r="I85" s="109">
        <f>Rich!T20</f>
        <v>5477.333333333333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0</v>
      </c>
      <c r="E86" s="109">
        <f>Rich!R21</f>
        <v>0</v>
      </c>
      <c r="F86" s="109">
        <f>V.Poor!T21</f>
        <v>0</v>
      </c>
      <c r="G86" s="109">
        <f>Poor!T21</f>
        <v>0</v>
      </c>
      <c r="H86" s="109">
        <f>Middle!T21</f>
        <v>0</v>
      </c>
      <c r="I86" s="109">
        <f>Rich!T21</f>
        <v>0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1600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1600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25120.269275404262</v>
      </c>
      <c r="C88" s="109">
        <f>Poor!R23</f>
        <v>28391.218255281561</v>
      </c>
      <c r="D88" s="109">
        <f>Middle!R23</f>
        <v>39240.654168836765</v>
      </c>
      <c r="E88" s="109">
        <f>Rich!R23</f>
        <v>57051.684200048665</v>
      </c>
      <c r="F88" s="109">
        <f>V.Poor!T23</f>
        <v>25204.799662144593</v>
      </c>
      <c r="G88" s="109">
        <f>Poor!T23</f>
        <v>28027.104092762616</v>
      </c>
      <c r="H88" s="109">
        <f>Middle!T23</f>
        <v>39591.621933962495</v>
      </c>
      <c r="I88" s="109">
        <f>Rich!T23</f>
        <v>57262.46038374005</v>
      </c>
    </row>
    <row r="89" spans="1:9">
      <c r="A89" t="str">
        <f>V.Poor!Q24</f>
        <v>Food Poverty line</v>
      </c>
      <c r="B89" s="109">
        <f>V.Poor!R24</f>
        <v>17059.8252222761</v>
      </c>
      <c r="C89" s="109">
        <f>Poor!R24</f>
        <v>17059.8252222761</v>
      </c>
      <c r="D89" s="109">
        <f>Middle!R24</f>
        <v>17059.8252222761</v>
      </c>
      <c r="E89" s="109">
        <f>Rich!R24</f>
        <v>17059.825222276104</v>
      </c>
      <c r="F89" s="109">
        <f>V.Poor!T24</f>
        <v>17059.8252222761</v>
      </c>
      <c r="G89" s="109">
        <f>Poor!T24</f>
        <v>17059.8252222761</v>
      </c>
      <c r="H89" s="109">
        <f>Middle!T24</f>
        <v>17059.8252222761</v>
      </c>
      <c r="I89" s="109">
        <f>Rich!T24</f>
        <v>17059.825222276104</v>
      </c>
    </row>
    <row r="90" spans="1:9">
      <c r="A90" s="108" t="str">
        <f>V.Poor!Q25</f>
        <v>Lower Bound Poverty line</v>
      </c>
      <c r="B90" s="109">
        <f>V.Poor!R25</f>
        <v>31038.491888942768</v>
      </c>
      <c r="C90" s="109">
        <f>Poor!R25</f>
        <v>31038.491888942768</v>
      </c>
      <c r="D90" s="109">
        <f>Middle!R25</f>
        <v>31038.491888942768</v>
      </c>
      <c r="E90" s="109">
        <f>Rich!R25</f>
        <v>31038.491888942764</v>
      </c>
      <c r="F90" s="109">
        <f>V.Poor!T25</f>
        <v>31038.491888942768</v>
      </c>
      <c r="G90" s="109">
        <f>Poor!T25</f>
        <v>31038.491888942768</v>
      </c>
      <c r="H90" s="109">
        <f>Middle!T25</f>
        <v>31038.491888942768</v>
      </c>
      <c r="I90" s="109">
        <f>Rich!T25</f>
        <v>31038.491888942764</v>
      </c>
    </row>
    <row r="91" spans="1:9">
      <c r="A91" s="108" t="str">
        <f>V.Poor!Q26</f>
        <v>Upper Bound Poverty line</v>
      </c>
      <c r="B91" s="109">
        <f>V.Poor!R26</f>
        <v>58782.491888942779</v>
      </c>
      <c r="C91" s="109">
        <f>Poor!R26</f>
        <v>58782.491888942779</v>
      </c>
      <c r="D91" s="109">
        <f>Middle!R26</f>
        <v>58782.491888942779</v>
      </c>
      <c r="E91" s="109">
        <f>Rich!R26</f>
        <v>58782.491888942779</v>
      </c>
      <c r="F91" s="109">
        <f>V.Poor!T26</f>
        <v>58782.491888942779</v>
      </c>
      <c r="G91" s="109">
        <f>Poor!T26</f>
        <v>58782.491888942779</v>
      </c>
      <c r="H91" s="109">
        <f>Middle!T26</f>
        <v>58782.491888942779</v>
      </c>
      <c r="I91" s="109">
        <f>Rich!T26</f>
        <v>58782.491888942779</v>
      </c>
    </row>
    <row r="92" spans="1:9">
      <c r="A92" s="108" t="str">
        <f>V.Poor!Q27</f>
        <v>Resilience line</v>
      </c>
      <c r="B92" s="109">
        <f>V.Poor!R27</f>
        <v>61582.491888942779</v>
      </c>
      <c r="C92" s="109">
        <f>Poor!R27</f>
        <v>62522.491888942786</v>
      </c>
      <c r="D92" s="109">
        <f>Middle!R27</f>
        <v>66292.491888942779</v>
      </c>
      <c r="E92" s="109">
        <f>Rich!R27</f>
        <v>69013.603000053889</v>
      </c>
      <c r="F92" s="109">
        <f>V.Poor!T27</f>
        <v>61582.491888942779</v>
      </c>
      <c r="G92" s="109">
        <f>Poor!T27</f>
        <v>62522.491888942786</v>
      </c>
      <c r="H92" s="109">
        <f>Middle!T27</f>
        <v>66292.491888942779</v>
      </c>
      <c r="I92" s="109">
        <f>Rich!T27</f>
        <v>69013.603000053889</v>
      </c>
    </row>
    <row r="93" spans="1:9">
      <c r="A93" t="str">
        <f>V.Poor!Q24</f>
        <v>Food Poverty line</v>
      </c>
      <c r="F93" s="109">
        <f>V.Poor!T24</f>
        <v>17059.8252222761</v>
      </c>
      <c r="G93" s="109">
        <f>Poor!T24</f>
        <v>17059.8252222761</v>
      </c>
      <c r="H93" s="109">
        <f>Middle!T24</f>
        <v>17059.8252222761</v>
      </c>
      <c r="I93" s="109">
        <f>Rich!T24</f>
        <v>17059.825222276104</v>
      </c>
    </row>
    <row r="94" spans="1:9">
      <c r="A94" t="str">
        <f>V.Poor!Q25</f>
        <v>Lower Bound Poverty line</v>
      </c>
      <c r="F94" s="109">
        <f>V.Poor!T25</f>
        <v>31038.491888942768</v>
      </c>
      <c r="G94" s="109">
        <f>Poor!T25</f>
        <v>31038.491888942768</v>
      </c>
      <c r="H94" s="109">
        <f>Middle!T25</f>
        <v>31038.491888942768</v>
      </c>
      <c r="I94" s="109">
        <f>Rich!T25</f>
        <v>31038.491888942764</v>
      </c>
    </row>
    <row r="95" spans="1:9">
      <c r="A95" t="str">
        <f>V.Poor!Q26</f>
        <v>Upper Bound Poverty line</v>
      </c>
      <c r="F95" s="109">
        <f>V.Poor!T26</f>
        <v>58782.491888942779</v>
      </c>
      <c r="G95" s="109">
        <f>Poor!T26</f>
        <v>58782.491888942779</v>
      </c>
      <c r="H95" s="109">
        <f>Middle!T26</f>
        <v>58782.491888942779</v>
      </c>
      <c r="I95" s="109">
        <f>Rich!T26</f>
        <v>58782.491888942779</v>
      </c>
    </row>
    <row r="96" spans="1:9">
      <c r="A96" t="str">
        <f>V.Poor!Q27</f>
        <v>Resilience line</v>
      </c>
      <c r="F96" s="109">
        <f>V.Poor!T27</f>
        <v>61582.491888942779</v>
      </c>
      <c r="G96" s="109">
        <f>Poor!T27</f>
        <v>62522.491888942786</v>
      </c>
      <c r="H96" s="109">
        <f>Middle!T27</f>
        <v>66292.491888942779</v>
      </c>
      <c r="I96" s="109">
        <f>Rich!T27</f>
        <v>69013.603000053889</v>
      </c>
    </row>
    <row r="98" spans="1:9">
      <c r="A98" t="s">
        <v>141</v>
      </c>
      <c r="B98" s="243">
        <f>IF(B89&gt;B$88,B89-B$88,0)</f>
        <v>0</v>
      </c>
      <c r="C98" s="243">
        <f t="shared" ref="C98:I101" si="0">IF(C89&gt;C$88,C89-C$88,0)</f>
        <v>0</v>
      </c>
      <c r="D98" s="243">
        <f t="shared" si="0"/>
        <v>0</v>
      </c>
      <c r="E98" s="243">
        <f t="shared" si="0"/>
        <v>0</v>
      </c>
      <c r="F98" s="243">
        <f t="shared" si="0"/>
        <v>0</v>
      </c>
      <c r="G98" s="243">
        <f t="shared" si="0"/>
        <v>0</v>
      </c>
      <c r="H98" s="243">
        <f t="shared" si="0"/>
        <v>0</v>
      </c>
      <c r="I98" s="243">
        <f t="shared" si="0"/>
        <v>0</v>
      </c>
    </row>
    <row r="99" spans="1:9">
      <c r="A99" t="s">
        <v>142</v>
      </c>
      <c r="B99" s="243">
        <f>IF(B90&gt;B$88,B90-B$88,0)</f>
        <v>5918.2226135385063</v>
      </c>
      <c r="C99" s="243">
        <f t="shared" si="0"/>
        <v>2647.273633661207</v>
      </c>
      <c r="D99" s="243">
        <f t="shared" si="0"/>
        <v>0</v>
      </c>
      <c r="E99" s="243">
        <f t="shared" si="0"/>
        <v>0</v>
      </c>
      <c r="F99" s="243">
        <f t="shared" si="0"/>
        <v>5833.6922267981754</v>
      </c>
      <c r="G99" s="243">
        <f t="shared" si="0"/>
        <v>3011.3877961801518</v>
      </c>
      <c r="H99" s="243">
        <f t="shared" si="0"/>
        <v>0</v>
      </c>
      <c r="I99" s="243">
        <f t="shared" si="0"/>
        <v>0</v>
      </c>
    </row>
    <row r="100" spans="1:9">
      <c r="A100" t="s">
        <v>143</v>
      </c>
      <c r="B100" s="243">
        <f>IF(B91&gt;B$88,B91-B$88,0)</f>
        <v>33662.222613538514</v>
      </c>
      <c r="C100" s="243">
        <f t="shared" si="0"/>
        <v>30391.273633661218</v>
      </c>
      <c r="D100" s="243">
        <f t="shared" si="0"/>
        <v>19541.837720106014</v>
      </c>
      <c r="E100" s="243">
        <f t="shared" si="0"/>
        <v>1730.8076888941141</v>
      </c>
      <c r="F100" s="243">
        <f t="shared" si="0"/>
        <v>33577.692226798186</v>
      </c>
      <c r="G100" s="243">
        <f t="shared" si="0"/>
        <v>30755.387796180163</v>
      </c>
      <c r="H100" s="243">
        <f t="shared" si="0"/>
        <v>19190.869954980284</v>
      </c>
      <c r="I100" s="243">
        <f t="shared" si="0"/>
        <v>1520.031505202729</v>
      </c>
    </row>
    <row r="101" spans="1:9">
      <c r="A101" t="s">
        <v>144</v>
      </c>
      <c r="B101" s="243">
        <f>IF(B92&gt;B$88,B92-B$88,0)</f>
        <v>36462.222613538514</v>
      </c>
      <c r="C101" s="243">
        <f t="shared" si="0"/>
        <v>34131.273633661229</v>
      </c>
      <c r="D101" s="243">
        <f t="shared" si="0"/>
        <v>27051.837720106014</v>
      </c>
      <c r="E101" s="243">
        <f t="shared" si="0"/>
        <v>11961.918800005224</v>
      </c>
      <c r="F101" s="243">
        <f t="shared" si="0"/>
        <v>36377.692226798186</v>
      </c>
      <c r="G101" s="243">
        <f t="shared" si="0"/>
        <v>34495.38779618017</v>
      </c>
      <c r="H101" s="243">
        <f t="shared" si="0"/>
        <v>26700.869954980284</v>
      </c>
      <c r="I101" s="243">
        <f t="shared" si="0"/>
        <v>11751.142616313839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8" customFormat="1" ht="19">
      <c r="A2" s="255"/>
      <c r="B2" s="255"/>
      <c r="C2" s="255"/>
      <c r="D2" s="255"/>
      <c r="E2" s="255"/>
      <c r="F2" s="255"/>
      <c r="G2" s="253"/>
      <c r="H2" s="253"/>
      <c r="I2" s="253"/>
      <c r="J2" s="253"/>
      <c r="K2" s="267" t="str">
        <f>Poor!A1</f>
        <v>ZACNI: 59106</v>
      </c>
      <c r="L2" s="267"/>
      <c r="M2" s="267"/>
      <c r="N2" s="267"/>
      <c r="O2" s="267"/>
      <c r="P2" s="267"/>
      <c r="Q2" s="267"/>
      <c r="R2" s="255"/>
      <c r="S2" s="255"/>
      <c r="T2" s="255"/>
      <c r="U2" s="255"/>
      <c r="V2" s="255"/>
    </row>
    <row r="3" spans="1:22" s="92" customFormat="1" ht="17">
      <c r="A3" s="90"/>
      <c r="B3" s="268" t="str">
        <f>V.Poor!A67</f>
        <v>Expenditure : Very Poor HHs</v>
      </c>
      <c r="C3" s="268"/>
      <c r="D3" s="268"/>
      <c r="E3" s="268"/>
      <c r="F3" s="257"/>
      <c r="G3" s="266" t="str">
        <f>Poor!A67</f>
        <v>Expenditure : Poor HHs</v>
      </c>
      <c r="H3" s="266"/>
      <c r="I3" s="266"/>
      <c r="J3" s="266"/>
      <c r="K3" s="253"/>
      <c r="L3" s="266" t="str">
        <f>Middle!A67</f>
        <v>Expenditure : Middle HHs</v>
      </c>
      <c r="M3" s="266"/>
      <c r="N3" s="266"/>
      <c r="O3" s="266"/>
      <c r="P3" s="266"/>
      <c r="Q3" s="254"/>
      <c r="R3" s="266" t="str">
        <f>Rich!A67</f>
        <v>Expenditure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2" bestFit="1" customWidth="1"/>
    <col min="2" max="2" width="9" style="202" bestFit="1" customWidth="1"/>
    <col min="3" max="4" width="6.5703125" style="202" bestFit="1" customWidth="1"/>
    <col min="5" max="5" width="8.28515625" style="202" bestFit="1" customWidth="1"/>
    <col min="6" max="9" width="7.5703125" style="202" bestFit="1" customWidth="1"/>
    <col min="10" max="10" width="8.42578125" style="202" bestFit="1" customWidth="1"/>
    <col min="11" max="14" width="7.5703125" style="202" bestFit="1" customWidth="1"/>
    <col min="15" max="15" width="8.28515625" style="202" customWidth="1"/>
    <col min="16" max="43" width="7.42578125" style="202" bestFit="1" customWidth="1"/>
    <col min="44" max="89" width="8.42578125" style="202" bestFit="1" customWidth="1"/>
    <col min="90" max="105" width="9.42578125" style="202" bestFit="1" customWidth="1"/>
    <col min="106" max="16384" width="11.5703125" style="202"/>
  </cols>
  <sheetData>
    <row r="1" spans="1:106">
      <c r="B1" s="202" t="s">
        <v>97</v>
      </c>
      <c r="C1" s="202" t="s">
        <v>96</v>
      </c>
      <c r="D1" s="202" t="s">
        <v>98</v>
      </c>
      <c r="E1" s="202" t="s">
        <v>99</v>
      </c>
    </row>
    <row r="2" spans="1:106">
      <c r="B2" s="203">
        <f>[1]!wb_summary</f>
        <v>0.5</v>
      </c>
      <c r="C2" s="203">
        <f>[1]WB!$CK$10</f>
        <v>0.3</v>
      </c>
      <c r="D2" s="203">
        <f>[1]WB!$CK$11</f>
        <v>0.15</v>
      </c>
      <c r="E2" s="203">
        <f>[1]WB!$CK$12</f>
        <v>0.05</v>
      </c>
      <c r="F2" s="203">
        <v>0.01</v>
      </c>
      <c r="G2" s="203">
        <v>0.02</v>
      </c>
      <c r="H2" s="203">
        <v>0.03</v>
      </c>
      <c r="I2" s="203">
        <v>0.04</v>
      </c>
      <c r="J2" s="203">
        <v>0.05</v>
      </c>
      <c r="K2" s="203">
        <v>0.06</v>
      </c>
      <c r="L2" s="203">
        <v>7.0000000000000007E-2</v>
      </c>
      <c r="M2" s="203">
        <v>0.08</v>
      </c>
      <c r="N2" s="203">
        <v>0.09</v>
      </c>
      <c r="O2" s="203">
        <v>0.1</v>
      </c>
      <c r="P2" s="203">
        <v>0.11</v>
      </c>
      <c r="Q2" s="203">
        <v>0.12</v>
      </c>
      <c r="R2" s="203">
        <v>0.13</v>
      </c>
      <c r="S2" s="203">
        <v>0.14000000000000001</v>
      </c>
      <c r="T2" s="203">
        <v>0.15</v>
      </c>
      <c r="U2" s="203">
        <v>0.16</v>
      </c>
      <c r="V2" s="203">
        <v>0.17</v>
      </c>
      <c r="W2" s="203">
        <v>0.18</v>
      </c>
      <c r="X2" s="203">
        <v>0.19</v>
      </c>
      <c r="Y2" s="203">
        <v>0.2</v>
      </c>
      <c r="Z2" s="203">
        <v>0.21</v>
      </c>
      <c r="AA2" s="203">
        <v>0.22</v>
      </c>
      <c r="AB2" s="203">
        <v>0.23</v>
      </c>
      <c r="AC2" s="203">
        <v>0.24</v>
      </c>
      <c r="AD2" s="203">
        <v>0.25</v>
      </c>
      <c r="AE2" s="203">
        <v>0.26</v>
      </c>
      <c r="AF2" s="203">
        <v>0.27</v>
      </c>
      <c r="AG2" s="203">
        <v>0.28000000000000003</v>
      </c>
      <c r="AH2" s="203">
        <v>0.28999999999999998</v>
      </c>
      <c r="AI2" s="203">
        <v>0.3</v>
      </c>
      <c r="AJ2" s="203">
        <v>0.31</v>
      </c>
      <c r="AK2" s="203">
        <v>0.32</v>
      </c>
      <c r="AL2" s="203">
        <v>0.33</v>
      </c>
      <c r="AM2" s="203">
        <v>0.34</v>
      </c>
      <c r="AN2" s="203">
        <v>0.35</v>
      </c>
      <c r="AO2" s="203">
        <v>0.36</v>
      </c>
      <c r="AP2" s="203">
        <v>0.37</v>
      </c>
      <c r="AQ2" s="203">
        <v>0.38</v>
      </c>
      <c r="AR2" s="203">
        <v>0.39</v>
      </c>
      <c r="AS2" s="203">
        <v>0.4</v>
      </c>
      <c r="AT2" s="203">
        <v>0.41</v>
      </c>
      <c r="AU2" s="203">
        <v>0.42</v>
      </c>
      <c r="AV2" s="203">
        <v>0.43</v>
      </c>
      <c r="AW2" s="203">
        <v>0.44</v>
      </c>
      <c r="AX2" s="203">
        <v>0.45</v>
      </c>
      <c r="AY2" s="203">
        <v>0.46</v>
      </c>
      <c r="AZ2" s="203">
        <v>0.47</v>
      </c>
      <c r="BA2" s="203">
        <v>0.48</v>
      </c>
      <c r="BB2" s="203">
        <v>0.49</v>
      </c>
      <c r="BC2" s="203">
        <v>0.5</v>
      </c>
      <c r="BD2" s="203">
        <v>0.51</v>
      </c>
      <c r="BE2" s="203">
        <v>0.52</v>
      </c>
      <c r="BF2" s="203">
        <v>0.53</v>
      </c>
      <c r="BG2" s="203">
        <v>0.54</v>
      </c>
      <c r="BH2" s="203">
        <v>0.55000000000000004</v>
      </c>
      <c r="BI2" s="203">
        <v>0.56000000000000005</v>
      </c>
      <c r="BJ2" s="203">
        <v>0.56999999999999995</v>
      </c>
      <c r="BK2" s="203">
        <v>0.57999999999999996</v>
      </c>
      <c r="BL2" s="203">
        <v>0.59</v>
      </c>
      <c r="BM2" s="203">
        <v>0.6</v>
      </c>
      <c r="BN2" s="203">
        <v>0.61</v>
      </c>
      <c r="BO2" s="203">
        <v>0.62</v>
      </c>
      <c r="BP2" s="203">
        <v>0.63</v>
      </c>
      <c r="BQ2" s="203">
        <v>0.64</v>
      </c>
      <c r="BR2" s="203">
        <v>0.65</v>
      </c>
      <c r="BS2" s="203">
        <v>0.66</v>
      </c>
      <c r="BT2" s="203">
        <v>0.67</v>
      </c>
      <c r="BU2" s="203">
        <v>0.68</v>
      </c>
      <c r="BV2" s="203">
        <v>0.69</v>
      </c>
      <c r="BW2" s="203">
        <v>0.7</v>
      </c>
      <c r="BX2" s="203">
        <v>0.71</v>
      </c>
      <c r="BY2" s="203">
        <v>0.72</v>
      </c>
      <c r="BZ2" s="203">
        <v>0.73</v>
      </c>
      <c r="CA2" s="203">
        <v>0.74</v>
      </c>
      <c r="CB2" s="203">
        <v>0.75</v>
      </c>
      <c r="CC2" s="203">
        <v>0.76</v>
      </c>
      <c r="CD2" s="203">
        <v>0.77</v>
      </c>
      <c r="CE2" s="203">
        <v>0.78</v>
      </c>
      <c r="CF2" s="203">
        <v>0.79</v>
      </c>
      <c r="CG2" s="203">
        <v>0.8</v>
      </c>
      <c r="CH2" s="203">
        <v>0.81</v>
      </c>
      <c r="CI2" s="203">
        <v>0.82</v>
      </c>
      <c r="CJ2" s="203">
        <v>0.83</v>
      </c>
      <c r="CK2" s="203">
        <v>0.84</v>
      </c>
      <c r="CL2" s="203">
        <v>0.85</v>
      </c>
      <c r="CM2" s="203">
        <v>0.86</v>
      </c>
      <c r="CN2" s="203">
        <v>0.87</v>
      </c>
      <c r="CO2" s="203">
        <v>0.88</v>
      </c>
      <c r="CP2" s="203">
        <v>0.89</v>
      </c>
      <c r="CQ2" s="203">
        <v>0.9</v>
      </c>
      <c r="CR2" s="203">
        <v>0.91</v>
      </c>
      <c r="CS2" s="203">
        <v>0.92</v>
      </c>
      <c r="CT2" s="203">
        <v>0.93</v>
      </c>
      <c r="CU2" s="203">
        <v>0.94</v>
      </c>
      <c r="CV2" s="203">
        <v>0.95</v>
      </c>
      <c r="CW2" s="203">
        <v>0.96</v>
      </c>
      <c r="CX2" s="203">
        <v>0.97</v>
      </c>
      <c r="CY2" s="203">
        <v>0.98</v>
      </c>
      <c r="CZ2" s="203">
        <v>0.99</v>
      </c>
      <c r="DA2" s="203">
        <v>1</v>
      </c>
      <c r="DB2" s="203"/>
    </row>
    <row r="3" spans="1:106">
      <c r="A3" s="202" t="str">
        <f>Income!A72</f>
        <v>Own crops Consumed</v>
      </c>
      <c r="B3" s="204">
        <f>Income!B72</f>
        <v>2141.4760993113323</v>
      </c>
      <c r="C3" s="204">
        <f>Income!C72</f>
        <v>2371.3955683925333</v>
      </c>
      <c r="D3" s="204">
        <f>Income!D72</f>
        <v>3300.5357221090021</v>
      </c>
      <c r="E3" s="204">
        <f>Income!E72</f>
        <v>3337.8721544275227</v>
      </c>
      <c r="F3" s="205">
        <f>IF(F$2&lt;=($B$2+$C$2+$D$2),IF(F$2&lt;=($B$2+$C$2),IF(F$2&lt;=$B$2,$B3,$C3),$D3),$E3)</f>
        <v>2141.4760993113323</v>
      </c>
      <c r="G3" s="205">
        <f t="shared" ref="G3:AW7" si="0">IF(G$2&lt;=($B$2+$C$2+$D$2),IF(G$2&lt;=($B$2+$C$2),IF(G$2&lt;=$B$2,$B3,$C3),$D3),$E3)</f>
        <v>2141.4760993113323</v>
      </c>
      <c r="H3" s="205">
        <f t="shared" si="0"/>
        <v>2141.4760993113323</v>
      </c>
      <c r="I3" s="205">
        <f t="shared" si="0"/>
        <v>2141.4760993113323</v>
      </c>
      <c r="J3" s="205">
        <f t="shared" si="0"/>
        <v>2141.4760993113323</v>
      </c>
      <c r="K3" s="205">
        <f t="shared" si="0"/>
        <v>2141.4760993113323</v>
      </c>
      <c r="L3" s="205">
        <f t="shared" si="0"/>
        <v>2141.4760993113323</v>
      </c>
      <c r="M3" s="205">
        <f t="shared" si="0"/>
        <v>2141.4760993113323</v>
      </c>
      <c r="N3" s="205">
        <f t="shared" si="0"/>
        <v>2141.4760993113323</v>
      </c>
      <c r="O3" s="205">
        <f t="shared" si="0"/>
        <v>2141.4760993113323</v>
      </c>
      <c r="P3" s="205">
        <f t="shared" si="0"/>
        <v>2141.4760993113323</v>
      </c>
      <c r="Q3" s="205">
        <f t="shared" si="0"/>
        <v>2141.4760993113323</v>
      </c>
      <c r="R3" s="205">
        <f t="shared" si="0"/>
        <v>2141.4760993113323</v>
      </c>
      <c r="S3" s="205">
        <f t="shared" si="0"/>
        <v>2141.4760993113323</v>
      </c>
      <c r="T3" s="205">
        <f t="shared" si="0"/>
        <v>2141.4760993113323</v>
      </c>
      <c r="U3" s="205">
        <f t="shared" si="0"/>
        <v>2141.4760993113323</v>
      </c>
      <c r="V3" s="205">
        <f t="shared" si="0"/>
        <v>2141.4760993113323</v>
      </c>
      <c r="W3" s="205">
        <f t="shared" si="0"/>
        <v>2141.4760993113323</v>
      </c>
      <c r="X3" s="205">
        <f t="shared" si="0"/>
        <v>2141.4760993113323</v>
      </c>
      <c r="Y3" s="205">
        <f t="shared" si="0"/>
        <v>2141.4760993113323</v>
      </c>
      <c r="Z3" s="205">
        <f t="shared" si="0"/>
        <v>2141.4760993113323</v>
      </c>
      <c r="AA3" s="205">
        <f t="shared" si="0"/>
        <v>2141.4760993113323</v>
      </c>
      <c r="AB3" s="205">
        <f t="shared" si="0"/>
        <v>2141.4760993113323</v>
      </c>
      <c r="AC3" s="205">
        <f t="shared" si="0"/>
        <v>2141.4760993113323</v>
      </c>
      <c r="AD3" s="205">
        <f t="shared" si="0"/>
        <v>2141.4760993113323</v>
      </c>
      <c r="AE3" s="205">
        <f t="shared" si="0"/>
        <v>2141.4760993113323</v>
      </c>
      <c r="AF3" s="205">
        <f t="shared" si="0"/>
        <v>2141.4760993113323</v>
      </c>
      <c r="AG3" s="205">
        <f t="shared" si="0"/>
        <v>2141.4760993113323</v>
      </c>
      <c r="AH3" s="205">
        <f t="shared" si="0"/>
        <v>2141.4760993113323</v>
      </c>
      <c r="AI3" s="205">
        <f t="shared" si="0"/>
        <v>2141.4760993113323</v>
      </c>
      <c r="AJ3" s="205">
        <f t="shared" si="0"/>
        <v>2141.4760993113323</v>
      </c>
      <c r="AK3" s="205">
        <f t="shared" si="0"/>
        <v>2141.4760993113323</v>
      </c>
      <c r="AL3" s="205">
        <f t="shared" si="0"/>
        <v>2141.4760993113323</v>
      </c>
      <c r="AM3" s="205">
        <f t="shared" si="0"/>
        <v>2141.4760993113323</v>
      </c>
      <c r="AN3" s="205">
        <f t="shared" si="0"/>
        <v>2141.4760993113323</v>
      </c>
      <c r="AO3" s="205">
        <f t="shared" si="0"/>
        <v>2141.4760993113323</v>
      </c>
      <c r="AP3" s="205">
        <f t="shared" si="0"/>
        <v>2141.4760993113323</v>
      </c>
      <c r="AQ3" s="205">
        <f t="shared" si="0"/>
        <v>2141.4760993113323</v>
      </c>
      <c r="AR3" s="205">
        <f t="shared" si="0"/>
        <v>2141.4760993113323</v>
      </c>
      <c r="AS3" s="205">
        <f t="shared" si="0"/>
        <v>2141.4760993113323</v>
      </c>
      <c r="AT3" s="205">
        <f t="shared" si="0"/>
        <v>2141.4760993113323</v>
      </c>
      <c r="AU3" s="205">
        <f t="shared" si="0"/>
        <v>2141.4760993113323</v>
      </c>
      <c r="AV3" s="205">
        <f t="shared" si="0"/>
        <v>2141.4760993113323</v>
      </c>
      <c r="AW3" s="205">
        <f t="shared" si="0"/>
        <v>2141.4760993113323</v>
      </c>
      <c r="AX3" s="205">
        <f t="shared" ref="AX3:BZ10" si="1">IF(AX$2&lt;=($B$2+$C$2+$D$2),IF(AX$2&lt;=($B$2+$C$2),IF(AX$2&lt;=$B$2,$B3,$C3),$D3),$E3)</f>
        <v>2141.4760993113323</v>
      </c>
      <c r="AY3" s="205">
        <f t="shared" si="1"/>
        <v>2141.4760993113323</v>
      </c>
      <c r="AZ3" s="205">
        <f t="shared" si="1"/>
        <v>2141.4760993113323</v>
      </c>
      <c r="BA3" s="205">
        <f t="shared" si="1"/>
        <v>2141.4760993113323</v>
      </c>
      <c r="BB3" s="205">
        <f t="shared" si="1"/>
        <v>2141.4760993113323</v>
      </c>
      <c r="BC3" s="205">
        <f t="shared" si="1"/>
        <v>2141.4760993113323</v>
      </c>
      <c r="BD3" s="205">
        <f t="shared" si="1"/>
        <v>2371.3955683925333</v>
      </c>
      <c r="BE3" s="205">
        <f t="shared" si="1"/>
        <v>2371.3955683925333</v>
      </c>
      <c r="BF3" s="205">
        <f t="shared" si="1"/>
        <v>2371.3955683925333</v>
      </c>
      <c r="BG3" s="205">
        <f t="shared" si="1"/>
        <v>2371.3955683925333</v>
      </c>
      <c r="BH3" s="205">
        <f t="shared" si="1"/>
        <v>2371.3955683925333</v>
      </c>
      <c r="BI3" s="205">
        <f t="shared" si="1"/>
        <v>2371.3955683925333</v>
      </c>
      <c r="BJ3" s="205">
        <f t="shared" si="1"/>
        <v>2371.3955683925333</v>
      </c>
      <c r="BK3" s="205">
        <f t="shared" si="1"/>
        <v>2371.3955683925333</v>
      </c>
      <c r="BL3" s="205">
        <f t="shared" si="1"/>
        <v>2371.3955683925333</v>
      </c>
      <c r="BM3" s="205">
        <f t="shared" si="1"/>
        <v>2371.3955683925333</v>
      </c>
      <c r="BN3" s="205">
        <f t="shared" si="1"/>
        <v>2371.3955683925333</v>
      </c>
      <c r="BO3" s="205">
        <f t="shared" si="1"/>
        <v>2371.3955683925333</v>
      </c>
      <c r="BP3" s="205">
        <f t="shared" si="1"/>
        <v>2371.3955683925333</v>
      </c>
      <c r="BQ3" s="205">
        <f t="shared" si="1"/>
        <v>2371.3955683925333</v>
      </c>
      <c r="BR3" s="205">
        <f t="shared" si="1"/>
        <v>2371.3955683925333</v>
      </c>
      <c r="BS3" s="205">
        <f t="shared" si="1"/>
        <v>2371.3955683925333</v>
      </c>
      <c r="BT3" s="205">
        <f t="shared" si="1"/>
        <v>2371.3955683925333</v>
      </c>
      <c r="BU3" s="205">
        <f t="shared" si="1"/>
        <v>2371.3955683925333</v>
      </c>
      <c r="BV3" s="205">
        <f t="shared" si="1"/>
        <v>2371.3955683925333</v>
      </c>
      <c r="BW3" s="205">
        <f t="shared" si="1"/>
        <v>2371.3955683925333</v>
      </c>
      <c r="BX3" s="205">
        <f t="shared" si="1"/>
        <v>2371.3955683925333</v>
      </c>
      <c r="BY3" s="205">
        <f t="shared" si="1"/>
        <v>2371.3955683925333</v>
      </c>
      <c r="BZ3" s="205">
        <f t="shared" si="1"/>
        <v>2371.3955683925333</v>
      </c>
      <c r="CA3" s="205">
        <f t="shared" ref="CA3:CR15" si="2">IF(CA$2&lt;=($B$2+$C$2+$D$2),IF(CA$2&lt;=($B$2+$C$2),IF(CA$2&lt;=$B$2,$B3,$C3),$D3),$E3)</f>
        <v>2371.3955683925333</v>
      </c>
      <c r="CB3" s="205">
        <f t="shared" si="2"/>
        <v>2371.3955683925333</v>
      </c>
      <c r="CC3" s="205">
        <f t="shared" si="2"/>
        <v>2371.3955683925333</v>
      </c>
      <c r="CD3" s="205">
        <f t="shared" si="2"/>
        <v>2371.3955683925333</v>
      </c>
      <c r="CE3" s="205">
        <f t="shared" si="2"/>
        <v>2371.3955683925333</v>
      </c>
      <c r="CF3" s="205">
        <f t="shared" si="2"/>
        <v>2371.3955683925333</v>
      </c>
      <c r="CG3" s="205">
        <f t="shared" si="2"/>
        <v>2371.3955683925333</v>
      </c>
      <c r="CH3" s="205">
        <f t="shared" si="2"/>
        <v>3300.5357221090021</v>
      </c>
      <c r="CI3" s="205">
        <f t="shared" si="2"/>
        <v>3300.5357221090021</v>
      </c>
      <c r="CJ3" s="205">
        <f t="shared" si="2"/>
        <v>3300.5357221090021</v>
      </c>
      <c r="CK3" s="205">
        <f t="shared" si="2"/>
        <v>3300.5357221090021</v>
      </c>
      <c r="CL3" s="205">
        <f t="shared" si="2"/>
        <v>3300.5357221090021</v>
      </c>
      <c r="CM3" s="205">
        <f t="shared" si="2"/>
        <v>3300.5357221090021</v>
      </c>
      <c r="CN3" s="205">
        <f t="shared" si="2"/>
        <v>3300.5357221090021</v>
      </c>
      <c r="CO3" s="205">
        <f t="shared" si="2"/>
        <v>3300.5357221090021</v>
      </c>
      <c r="CP3" s="205">
        <f t="shared" si="2"/>
        <v>3300.5357221090021</v>
      </c>
      <c r="CQ3" s="205">
        <f t="shared" si="2"/>
        <v>3300.5357221090021</v>
      </c>
      <c r="CR3" s="205">
        <f t="shared" si="2"/>
        <v>3300.5357221090021</v>
      </c>
      <c r="CS3" s="205">
        <f t="shared" ref="CS3:DA15" si="3">IF(CS$2&lt;=($B$2+$C$2+$D$2),IF(CS$2&lt;=($B$2+$C$2),IF(CS$2&lt;=$B$2,$B3,$C3),$D3),$E3)</f>
        <v>3300.5357221090021</v>
      </c>
      <c r="CT3" s="205">
        <f t="shared" si="3"/>
        <v>3300.5357221090021</v>
      </c>
      <c r="CU3" s="205">
        <f t="shared" si="3"/>
        <v>3300.5357221090021</v>
      </c>
      <c r="CV3" s="205">
        <f t="shared" si="3"/>
        <v>3300.5357221090021</v>
      </c>
      <c r="CW3" s="205">
        <f t="shared" si="3"/>
        <v>3337.8721544275227</v>
      </c>
      <c r="CX3" s="205">
        <f t="shared" si="3"/>
        <v>3337.8721544275227</v>
      </c>
      <c r="CY3" s="205">
        <f t="shared" si="3"/>
        <v>3337.8721544275227</v>
      </c>
      <c r="CZ3" s="205">
        <f t="shared" si="3"/>
        <v>3337.8721544275227</v>
      </c>
      <c r="DA3" s="205">
        <f t="shared" si="3"/>
        <v>3337.8721544275227</v>
      </c>
      <c r="DB3" s="205"/>
    </row>
    <row r="4" spans="1:106">
      <c r="A4" s="202" t="str">
        <f>Income!A73</f>
        <v>Own crops sold</v>
      </c>
      <c r="B4" s="204">
        <f>Income!B73</f>
        <v>0</v>
      </c>
      <c r="C4" s="204">
        <f>Income!C73</f>
        <v>836</v>
      </c>
      <c r="D4" s="204">
        <f>Income!D73</f>
        <v>3621</v>
      </c>
      <c r="E4" s="204">
        <f>Income!E73</f>
        <v>5132.4444444444443</v>
      </c>
      <c r="F4" s="205">
        <f t="shared" ref="F4:U17" si="4">IF(F$2&lt;=($B$2+$C$2+$D$2),IF(F$2&lt;=($B$2+$C$2),IF(F$2&lt;=$B$2,$B4,$C4),$D4),$E4)</f>
        <v>0</v>
      </c>
      <c r="G4" s="205">
        <f t="shared" si="0"/>
        <v>0</v>
      </c>
      <c r="H4" s="205">
        <f t="shared" si="0"/>
        <v>0</v>
      </c>
      <c r="I4" s="205">
        <f t="shared" si="0"/>
        <v>0</v>
      </c>
      <c r="J4" s="205">
        <f t="shared" si="0"/>
        <v>0</v>
      </c>
      <c r="K4" s="205">
        <f t="shared" si="0"/>
        <v>0</v>
      </c>
      <c r="L4" s="205">
        <f t="shared" si="0"/>
        <v>0</v>
      </c>
      <c r="M4" s="205">
        <f t="shared" si="0"/>
        <v>0</v>
      </c>
      <c r="N4" s="205">
        <f t="shared" si="0"/>
        <v>0</v>
      </c>
      <c r="O4" s="205">
        <f t="shared" si="0"/>
        <v>0</v>
      </c>
      <c r="P4" s="205">
        <f t="shared" si="0"/>
        <v>0</v>
      </c>
      <c r="Q4" s="205">
        <f t="shared" si="0"/>
        <v>0</v>
      </c>
      <c r="R4" s="205">
        <f t="shared" si="0"/>
        <v>0</v>
      </c>
      <c r="S4" s="205">
        <f t="shared" si="0"/>
        <v>0</v>
      </c>
      <c r="T4" s="205">
        <f t="shared" si="0"/>
        <v>0</v>
      </c>
      <c r="U4" s="205">
        <f t="shared" si="0"/>
        <v>0</v>
      </c>
      <c r="V4" s="205">
        <f t="shared" si="0"/>
        <v>0</v>
      </c>
      <c r="W4" s="205">
        <f t="shared" si="0"/>
        <v>0</v>
      </c>
      <c r="X4" s="205">
        <f t="shared" si="0"/>
        <v>0</v>
      </c>
      <c r="Y4" s="205">
        <f t="shared" si="0"/>
        <v>0</v>
      </c>
      <c r="Z4" s="205">
        <f t="shared" si="0"/>
        <v>0</v>
      </c>
      <c r="AA4" s="205">
        <f t="shared" si="0"/>
        <v>0</v>
      </c>
      <c r="AB4" s="205">
        <f t="shared" si="0"/>
        <v>0</v>
      </c>
      <c r="AC4" s="205">
        <f t="shared" si="0"/>
        <v>0</v>
      </c>
      <c r="AD4" s="205">
        <f t="shared" si="0"/>
        <v>0</v>
      </c>
      <c r="AE4" s="205">
        <f t="shared" si="0"/>
        <v>0</v>
      </c>
      <c r="AF4" s="205">
        <f t="shared" si="0"/>
        <v>0</v>
      </c>
      <c r="AG4" s="205">
        <f t="shared" si="0"/>
        <v>0</v>
      </c>
      <c r="AH4" s="205">
        <f t="shared" si="0"/>
        <v>0</v>
      </c>
      <c r="AI4" s="205">
        <f t="shared" si="0"/>
        <v>0</v>
      </c>
      <c r="AJ4" s="205">
        <f t="shared" si="0"/>
        <v>0</v>
      </c>
      <c r="AK4" s="205">
        <f t="shared" si="0"/>
        <v>0</v>
      </c>
      <c r="AL4" s="205">
        <f t="shared" si="0"/>
        <v>0</v>
      </c>
      <c r="AM4" s="205">
        <f t="shared" si="0"/>
        <v>0</v>
      </c>
      <c r="AN4" s="205">
        <f t="shared" si="0"/>
        <v>0</v>
      </c>
      <c r="AO4" s="205">
        <f t="shared" si="0"/>
        <v>0</v>
      </c>
      <c r="AP4" s="205">
        <f t="shared" si="0"/>
        <v>0</v>
      </c>
      <c r="AQ4" s="205">
        <f t="shared" si="0"/>
        <v>0</v>
      </c>
      <c r="AR4" s="205">
        <f t="shared" si="0"/>
        <v>0</v>
      </c>
      <c r="AS4" s="205">
        <f t="shared" si="0"/>
        <v>0</v>
      </c>
      <c r="AT4" s="205">
        <f t="shared" si="0"/>
        <v>0</v>
      </c>
      <c r="AU4" s="205">
        <f t="shared" si="0"/>
        <v>0</v>
      </c>
      <c r="AV4" s="205">
        <f t="shared" si="0"/>
        <v>0</v>
      </c>
      <c r="AW4" s="205">
        <f t="shared" si="0"/>
        <v>0</v>
      </c>
      <c r="AX4" s="205">
        <f t="shared" si="1"/>
        <v>0</v>
      </c>
      <c r="AY4" s="205">
        <f t="shared" si="1"/>
        <v>0</v>
      </c>
      <c r="AZ4" s="205">
        <f t="shared" si="1"/>
        <v>0</v>
      </c>
      <c r="BA4" s="205">
        <f t="shared" si="1"/>
        <v>0</v>
      </c>
      <c r="BB4" s="205">
        <f t="shared" si="1"/>
        <v>0</v>
      </c>
      <c r="BC4" s="205">
        <f t="shared" si="1"/>
        <v>0</v>
      </c>
      <c r="BD4" s="205">
        <f t="shared" si="1"/>
        <v>836</v>
      </c>
      <c r="BE4" s="205">
        <f t="shared" si="1"/>
        <v>836</v>
      </c>
      <c r="BF4" s="205">
        <f t="shared" si="1"/>
        <v>836</v>
      </c>
      <c r="BG4" s="205">
        <f t="shared" si="1"/>
        <v>836</v>
      </c>
      <c r="BH4" s="205">
        <f t="shared" si="1"/>
        <v>836</v>
      </c>
      <c r="BI4" s="205">
        <f t="shared" si="1"/>
        <v>836</v>
      </c>
      <c r="BJ4" s="205">
        <f t="shared" si="1"/>
        <v>836</v>
      </c>
      <c r="BK4" s="205">
        <f t="shared" si="1"/>
        <v>836</v>
      </c>
      <c r="BL4" s="205">
        <f t="shared" si="1"/>
        <v>836</v>
      </c>
      <c r="BM4" s="205">
        <f t="shared" si="1"/>
        <v>836</v>
      </c>
      <c r="BN4" s="205">
        <f t="shared" si="1"/>
        <v>836</v>
      </c>
      <c r="BO4" s="205">
        <f t="shared" si="1"/>
        <v>836</v>
      </c>
      <c r="BP4" s="205">
        <f t="shared" si="1"/>
        <v>836</v>
      </c>
      <c r="BQ4" s="205">
        <f t="shared" si="1"/>
        <v>836</v>
      </c>
      <c r="BR4" s="205">
        <f t="shared" si="1"/>
        <v>836</v>
      </c>
      <c r="BS4" s="205">
        <f t="shared" si="1"/>
        <v>836</v>
      </c>
      <c r="BT4" s="205">
        <f t="shared" si="1"/>
        <v>836</v>
      </c>
      <c r="BU4" s="205">
        <f t="shared" si="1"/>
        <v>836</v>
      </c>
      <c r="BV4" s="205">
        <f t="shared" si="1"/>
        <v>836</v>
      </c>
      <c r="BW4" s="205">
        <f t="shared" si="1"/>
        <v>836</v>
      </c>
      <c r="BX4" s="205">
        <f t="shared" si="1"/>
        <v>836</v>
      </c>
      <c r="BY4" s="205">
        <f t="shared" si="1"/>
        <v>836</v>
      </c>
      <c r="BZ4" s="205">
        <f t="shared" si="1"/>
        <v>836</v>
      </c>
      <c r="CA4" s="205">
        <f t="shared" si="2"/>
        <v>836</v>
      </c>
      <c r="CB4" s="205">
        <f t="shared" si="2"/>
        <v>836</v>
      </c>
      <c r="CC4" s="205">
        <f t="shared" si="2"/>
        <v>836</v>
      </c>
      <c r="CD4" s="205">
        <f t="shared" si="2"/>
        <v>836</v>
      </c>
      <c r="CE4" s="205">
        <f t="shared" si="2"/>
        <v>836</v>
      </c>
      <c r="CF4" s="205">
        <f t="shared" si="2"/>
        <v>836</v>
      </c>
      <c r="CG4" s="205">
        <f t="shared" si="2"/>
        <v>836</v>
      </c>
      <c r="CH4" s="205">
        <f t="shared" si="2"/>
        <v>3621</v>
      </c>
      <c r="CI4" s="205">
        <f t="shared" si="2"/>
        <v>3621</v>
      </c>
      <c r="CJ4" s="205">
        <f t="shared" si="2"/>
        <v>3621</v>
      </c>
      <c r="CK4" s="205">
        <f t="shared" si="2"/>
        <v>3621</v>
      </c>
      <c r="CL4" s="205">
        <f t="shared" si="2"/>
        <v>3621</v>
      </c>
      <c r="CM4" s="205">
        <f t="shared" si="2"/>
        <v>3621</v>
      </c>
      <c r="CN4" s="205">
        <f t="shared" si="2"/>
        <v>3621</v>
      </c>
      <c r="CO4" s="205">
        <f t="shared" si="2"/>
        <v>3621</v>
      </c>
      <c r="CP4" s="205">
        <f t="shared" si="2"/>
        <v>3621</v>
      </c>
      <c r="CQ4" s="205">
        <f t="shared" si="2"/>
        <v>3621</v>
      </c>
      <c r="CR4" s="205">
        <f t="shared" si="2"/>
        <v>3621</v>
      </c>
      <c r="CS4" s="205">
        <f t="shared" si="3"/>
        <v>3621</v>
      </c>
      <c r="CT4" s="205">
        <f t="shared" si="3"/>
        <v>3621</v>
      </c>
      <c r="CU4" s="205">
        <f t="shared" si="3"/>
        <v>3621</v>
      </c>
      <c r="CV4" s="205">
        <f t="shared" si="3"/>
        <v>3621</v>
      </c>
      <c r="CW4" s="205">
        <f t="shared" si="3"/>
        <v>5132.4444444444443</v>
      </c>
      <c r="CX4" s="205">
        <f t="shared" si="3"/>
        <v>5132.4444444444443</v>
      </c>
      <c r="CY4" s="205">
        <f t="shared" si="3"/>
        <v>5132.4444444444443</v>
      </c>
      <c r="CZ4" s="205">
        <f t="shared" si="3"/>
        <v>5132.4444444444443</v>
      </c>
      <c r="DA4" s="205">
        <f t="shared" si="3"/>
        <v>5132.4444444444443</v>
      </c>
      <c r="DB4" s="205"/>
    </row>
    <row r="5" spans="1:106">
      <c r="A5" s="202" t="str">
        <f>Income!A74</f>
        <v>Animal products consumed</v>
      </c>
      <c r="B5" s="204">
        <f>Income!B74</f>
        <v>151.45508615079123</v>
      </c>
      <c r="C5" s="204">
        <f>Income!C74</f>
        <v>234.07023230600569</v>
      </c>
      <c r="D5" s="204">
        <f>Income!D74</f>
        <v>403.32969654166982</v>
      </c>
      <c r="E5" s="204">
        <f>Income!E74</f>
        <v>1050.5131066722433</v>
      </c>
      <c r="F5" s="205">
        <f t="shared" si="4"/>
        <v>151.45508615079123</v>
      </c>
      <c r="G5" s="205">
        <f t="shared" si="0"/>
        <v>151.45508615079123</v>
      </c>
      <c r="H5" s="205">
        <f t="shared" si="0"/>
        <v>151.45508615079123</v>
      </c>
      <c r="I5" s="205">
        <f t="shared" si="0"/>
        <v>151.45508615079123</v>
      </c>
      <c r="J5" s="205">
        <f t="shared" si="0"/>
        <v>151.45508615079123</v>
      </c>
      <c r="K5" s="205">
        <f t="shared" si="0"/>
        <v>151.45508615079123</v>
      </c>
      <c r="L5" s="205">
        <f t="shared" si="0"/>
        <v>151.45508615079123</v>
      </c>
      <c r="M5" s="205">
        <f t="shared" si="0"/>
        <v>151.45508615079123</v>
      </c>
      <c r="N5" s="205">
        <f t="shared" si="0"/>
        <v>151.45508615079123</v>
      </c>
      <c r="O5" s="205">
        <f t="shared" si="0"/>
        <v>151.45508615079123</v>
      </c>
      <c r="P5" s="205">
        <f t="shared" si="0"/>
        <v>151.45508615079123</v>
      </c>
      <c r="Q5" s="205">
        <f t="shared" si="0"/>
        <v>151.45508615079123</v>
      </c>
      <c r="R5" s="205">
        <f t="shared" si="0"/>
        <v>151.45508615079123</v>
      </c>
      <c r="S5" s="205">
        <f t="shared" si="0"/>
        <v>151.45508615079123</v>
      </c>
      <c r="T5" s="205">
        <f t="shared" si="0"/>
        <v>151.45508615079123</v>
      </c>
      <c r="U5" s="205">
        <f t="shared" si="0"/>
        <v>151.45508615079123</v>
      </c>
      <c r="V5" s="205">
        <f t="shared" si="0"/>
        <v>151.45508615079123</v>
      </c>
      <c r="W5" s="205">
        <f t="shared" si="0"/>
        <v>151.45508615079123</v>
      </c>
      <c r="X5" s="205">
        <f t="shared" si="0"/>
        <v>151.45508615079123</v>
      </c>
      <c r="Y5" s="205">
        <f t="shared" si="0"/>
        <v>151.45508615079123</v>
      </c>
      <c r="Z5" s="205">
        <f t="shared" si="0"/>
        <v>151.45508615079123</v>
      </c>
      <c r="AA5" s="205">
        <f t="shared" si="0"/>
        <v>151.45508615079123</v>
      </c>
      <c r="AB5" s="205">
        <f t="shared" si="0"/>
        <v>151.45508615079123</v>
      </c>
      <c r="AC5" s="205">
        <f t="shared" si="0"/>
        <v>151.45508615079123</v>
      </c>
      <c r="AD5" s="205">
        <f t="shared" si="0"/>
        <v>151.45508615079123</v>
      </c>
      <c r="AE5" s="205">
        <f t="shared" si="0"/>
        <v>151.45508615079123</v>
      </c>
      <c r="AF5" s="205">
        <f t="shared" si="0"/>
        <v>151.45508615079123</v>
      </c>
      <c r="AG5" s="205">
        <f t="shared" si="0"/>
        <v>151.45508615079123</v>
      </c>
      <c r="AH5" s="205">
        <f t="shared" si="0"/>
        <v>151.45508615079123</v>
      </c>
      <c r="AI5" s="205">
        <f t="shared" si="0"/>
        <v>151.45508615079123</v>
      </c>
      <c r="AJ5" s="205">
        <f t="shared" si="0"/>
        <v>151.45508615079123</v>
      </c>
      <c r="AK5" s="205">
        <f t="shared" si="0"/>
        <v>151.45508615079123</v>
      </c>
      <c r="AL5" s="205">
        <f t="shared" si="0"/>
        <v>151.45508615079123</v>
      </c>
      <c r="AM5" s="205">
        <f t="shared" si="0"/>
        <v>151.45508615079123</v>
      </c>
      <c r="AN5" s="205">
        <f t="shared" si="0"/>
        <v>151.45508615079123</v>
      </c>
      <c r="AO5" s="205">
        <f t="shared" si="0"/>
        <v>151.45508615079123</v>
      </c>
      <c r="AP5" s="205">
        <f t="shared" si="0"/>
        <v>151.45508615079123</v>
      </c>
      <c r="AQ5" s="205">
        <f t="shared" si="0"/>
        <v>151.45508615079123</v>
      </c>
      <c r="AR5" s="205">
        <f t="shared" si="0"/>
        <v>151.45508615079123</v>
      </c>
      <c r="AS5" s="205">
        <f t="shared" si="0"/>
        <v>151.45508615079123</v>
      </c>
      <c r="AT5" s="205">
        <f t="shared" si="0"/>
        <v>151.45508615079123</v>
      </c>
      <c r="AU5" s="205">
        <f t="shared" si="0"/>
        <v>151.45508615079123</v>
      </c>
      <c r="AV5" s="205">
        <f t="shared" si="0"/>
        <v>151.45508615079123</v>
      </c>
      <c r="AW5" s="205">
        <f t="shared" si="0"/>
        <v>151.45508615079123</v>
      </c>
      <c r="AX5" s="205">
        <f t="shared" si="1"/>
        <v>151.45508615079123</v>
      </c>
      <c r="AY5" s="205">
        <f t="shared" si="1"/>
        <v>151.45508615079123</v>
      </c>
      <c r="AZ5" s="205">
        <f t="shared" si="1"/>
        <v>151.45508615079123</v>
      </c>
      <c r="BA5" s="205">
        <f t="shared" si="1"/>
        <v>151.45508615079123</v>
      </c>
      <c r="BB5" s="205">
        <f t="shared" si="1"/>
        <v>151.45508615079123</v>
      </c>
      <c r="BC5" s="205">
        <f t="shared" si="1"/>
        <v>151.45508615079123</v>
      </c>
      <c r="BD5" s="205">
        <f t="shared" si="1"/>
        <v>234.07023230600569</v>
      </c>
      <c r="BE5" s="205">
        <f t="shared" si="1"/>
        <v>234.07023230600569</v>
      </c>
      <c r="BF5" s="205">
        <f t="shared" si="1"/>
        <v>234.07023230600569</v>
      </c>
      <c r="BG5" s="205">
        <f t="shared" si="1"/>
        <v>234.07023230600569</v>
      </c>
      <c r="BH5" s="205">
        <f t="shared" si="1"/>
        <v>234.07023230600569</v>
      </c>
      <c r="BI5" s="205">
        <f t="shared" si="1"/>
        <v>234.07023230600569</v>
      </c>
      <c r="BJ5" s="205">
        <f t="shared" si="1"/>
        <v>234.07023230600569</v>
      </c>
      <c r="BK5" s="205">
        <f t="shared" si="1"/>
        <v>234.07023230600569</v>
      </c>
      <c r="BL5" s="205">
        <f t="shared" si="1"/>
        <v>234.07023230600569</v>
      </c>
      <c r="BM5" s="205">
        <f t="shared" si="1"/>
        <v>234.07023230600569</v>
      </c>
      <c r="BN5" s="205">
        <f t="shared" si="1"/>
        <v>234.07023230600569</v>
      </c>
      <c r="BO5" s="205">
        <f t="shared" si="1"/>
        <v>234.07023230600569</v>
      </c>
      <c r="BP5" s="205">
        <f t="shared" si="1"/>
        <v>234.07023230600569</v>
      </c>
      <c r="BQ5" s="205">
        <f t="shared" si="1"/>
        <v>234.07023230600569</v>
      </c>
      <c r="BR5" s="205">
        <f t="shared" si="1"/>
        <v>234.07023230600569</v>
      </c>
      <c r="BS5" s="205">
        <f t="shared" si="1"/>
        <v>234.07023230600569</v>
      </c>
      <c r="BT5" s="205">
        <f t="shared" si="1"/>
        <v>234.07023230600569</v>
      </c>
      <c r="BU5" s="205">
        <f t="shared" si="1"/>
        <v>234.07023230600569</v>
      </c>
      <c r="BV5" s="205">
        <f t="shared" si="1"/>
        <v>234.07023230600569</v>
      </c>
      <c r="BW5" s="205">
        <f t="shared" si="1"/>
        <v>234.07023230600569</v>
      </c>
      <c r="BX5" s="205">
        <f t="shared" si="1"/>
        <v>234.07023230600569</v>
      </c>
      <c r="BY5" s="205">
        <f t="shared" si="1"/>
        <v>234.07023230600569</v>
      </c>
      <c r="BZ5" s="205">
        <f t="shared" si="1"/>
        <v>234.07023230600569</v>
      </c>
      <c r="CA5" s="205">
        <f t="shared" si="2"/>
        <v>234.07023230600569</v>
      </c>
      <c r="CB5" s="205">
        <f t="shared" si="2"/>
        <v>234.07023230600569</v>
      </c>
      <c r="CC5" s="205">
        <f t="shared" si="2"/>
        <v>234.07023230600569</v>
      </c>
      <c r="CD5" s="205">
        <f t="shared" si="2"/>
        <v>234.07023230600569</v>
      </c>
      <c r="CE5" s="205">
        <f t="shared" si="2"/>
        <v>234.07023230600569</v>
      </c>
      <c r="CF5" s="205">
        <f t="shared" si="2"/>
        <v>234.07023230600569</v>
      </c>
      <c r="CG5" s="205">
        <f t="shared" si="2"/>
        <v>234.07023230600569</v>
      </c>
      <c r="CH5" s="205">
        <f t="shared" si="2"/>
        <v>403.32969654166982</v>
      </c>
      <c r="CI5" s="205">
        <f t="shared" si="2"/>
        <v>403.32969654166982</v>
      </c>
      <c r="CJ5" s="205">
        <f t="shared" si="2"/>
        <v>403.32969654166982</v>
      </c>
      <c r="CK5" s="205">
        <f t="shared" si="2"/>
        <v>403.32969654166982</v>
      </c>
      <c r="CL5" s="205">
        <f t="shared" si="2"/>
        <v>403.32969654166982</v>
      </c>
      <c r="CM5" s="205">
        <f t="shared" si="2"/>
        <v>403.32969654166982</v>
      </c>
      <c r="CN5" s="205">
        <f t="shared" si="2"/>
        <v>403.32969654166982</v>
      </c>
      <c r="CO5" s="205">
        <f t="shared" si="2"/>
        <v>403.32969654166982</v>
      </c>
      <c r="CP5" s="205">
        <f t="shared" si="2"/>
        <v>403.32969654166982</v>
      </c>
      <c r="CQ5" s="205">
        <f t="shared" si="2"/>
        <v>403.32969654166982</v>
      </c>
      <c r="CR5" s="205">
        <f t="shared" si="2"/>
        <v>403.32969654166982</v>
      </c>
      <c r="CS5" s="205">
        <f t="shared" si="3"/>
        <v>403.32969654166982</v>
      </c>
      <c r="CT5" s="205">
        <f t="shared" si="3"/>
        <v>403.32969654166982</v>
      </c>
      <c r="CU5" s="205">
        <f t="shared" si="3"/>
        <v>403.32969654166982</v>
      </c>
      <c r="CV5" s="205">
        <f t="shared" si="3"/>
        <v>403.32969654166982</v>
      </c>
      <c r="CW5" s="205">
        <f t="shared" si="3"/>
        <v>1050.5131066722433</v>
      </c>
      <c r="CX5" s="205">
        <f t="shared" si="3"/>
        <v>1050.5131066722433</v>
      </c>
      <c r="CY5" s="205">
        <f t="shared" si="3"/>
        <v>1050.5131066722433</v>
      </c>
      <c r="CZ5" s="205">
        <f t="shared" si="3"/>
        <v>1050.5131066722433</v>
      </c>
      <c r="DA5" s="205">
        <f t="shared" si="3"/>
        <v>1050.5131066722433</v>
      </c>
      <c r="DB5" s="205"/>
    </row>
    <row r="6" spans="1:106">
      <c r="A6" s="202" t="str">
        <f>Income!A75</f>
        <v>Animal products sold</v>
      </c>
      <c r="B6" s="204">
        <f>Income!B75</f>
        <v>0</v>
      </c>
      <c r="C6" s="204">
        <f>Income!C75</f>
        <v>0</v>
      </c>
      <c r="D6" s="204">
        <f>Income!D75</f>
        <v>0</v>
      </c>
      <c r="E6" s="204">
        <f>Income!E75</f>
        <v>0</v>
      </c>
      <c r="F6" s="205">
        <f t="shared" si="4"/>
        <v>0</v>
      </c>
      <c r="G6" s="205">
        <f t="shared" si="0"/>
        <v>0</v>
      </c>
      <c r="H6" s="205">
        <f t="shared" si="0"/>
        <v>0</v>
      </c>
      <c r="I6" s="205">
        <f t="shared" si="0"/>
        <v>0</v>
      </c>
      <c r="J6" s="205">
        <f t="shared" si="0"/>
        <v>0</v>
      </c>
      <c r="K6" s="205">
        <f t="shared" si="0"/>
        <v>0</v>
      </c>
      <c r="L6" s="205">
        <f t="shared" si="0"/>
        <v>0</v>
      </c>
      <c r="M6" s="205">
        <f t="shared" si="0"/>
        <v>0</v>
      </c>
      <c r="N6" s="205">
        <f t="shared" si="0"/>
        <v>0</v>
      </c>
      <c r="O6" s="205">
        <f t="shared" si="0"/>
        <v>0</v>
      </c>
      <c r="P6" s="205">
        <f t="shared" si="0"/>
        <v>0</v>
      </c>
      <c r="Q6" s="205">
        <f t="shared" si="0"/>
        <v>0</v>
      </c>
      <c r="R6" s="205">
        <f t="shared" si="0"/>
        <v>0</v>
      </c>
      <c r="S6" s="205">
        <f t="shared" si="0"/>
        <v>0</v>
      </c>
      <c r="T6" s="205">
        <f t="shared" si="0"/>
        <v>0</v>
      </c>
      <c r="U6" s="205">
        <f t="shared" si="0"/>
        <v>0</v>
      </c>
      <c r="V6" s="205">
        <f t="shared" si="0"/>
        <v>0</v>
      </c>
      <c r="W6" s="205">
        <f t="shared" si="0"/>
        <v>0</v>
      </c>
      <c r="X6" s="205">
        <f t="shared" si="0"/>
        <v>0</v>
      </c>
      <c r="Y6" s="205">
        <f t="shared" si="0"/>
        <v>0</v>
      </c>
      <c r="Z6" s="205">
        <f t="shared" si="0"/>
        <v>0</v>
      </c>
      <c r="AA6" s="205">
        <f t="shared" si="0"/>
        <v>0</v>
      </c>
      <c r="AB6" s="205">
        <f t="shared" si="0"/>
        <v>0</v>
      </c>
      <c r="AC6" s="205">
        <f t="shared" si="0"/>
        <v>0</v>
      </c>
      <c r="AD6" s="205">
        <f t="shared" si="0"/>
        <v>0</v>
      </c>
      <c r="AE6" s="205">
        <f t="shared" si="0"/>
        <v>0</v>
      </c>
      <c r="AF6" s="205">
        <f t="shared" si="0"/>
        <v>0</v>
      </c>
      <c r="AG6" s="205">
        <f t="shared" si="0"/>
        <v>0</v>
      </c>
      <c r="AH6" s="205">
        <f t="shared" si="0"/>
        <v>0</v>
      </c>
      <c r="AI6" s="205">
        <f t="shared" si="0"/>
        <v>0</v>
      </c>
      <c r="AJ6" s="205">
        <f t="shared" si="0"/>
        <v>0</v>
      </c>
      <c r="AK6" s="205">
        <f t="shared" si="0"/>
        <v>0</v>
      </c>
      <c r="AL6" s="205">
        <f t="shared" si="0"/>
        <v>0</v>
      </c>
      <c r="AM6" s="205">
        <f t="shared" si="0"/>
        <v>0</v>
      </c>
      <c r="AN6" s="205">
        <f t="shared" si="0"/>
        <v>0</v>
      </c>
      <c r="AO6" s="205">
        <f t="shared" si="0"/>
        <v>0</v>
      </c>
      <c r="AP6" s="205">
        <f t="shared" si="0"/>
        <v>0</v>
      </c>
      <c r="AQ6" s="205">
        <f t="shared" si="0"/>
        <v>0</v>
      </c>
      <c r="AR6" s="205">
        <f t="shared" si="0"/>
        <v>0</v>
      </c>
      <c r="AS6" s="205">
        <f t="shared" si="0"/>
        <v>0</v>
      </c>
      <c r="AT6" s="205">
        <f t="shared" si="0"/>
        <v>0</v>
      </c>
      <c r="AU6" s="205">
        <f t="shared" si="0"/>
        <v>0</v>
      </c>
      <c r="AV6" s="205">
        <f t="shared" si="0"/>
        <v>0</v>
      </c>
      <c r="AW6" s="205">
        <f t="shared" si="0"/>
        <v>0</v>
      </c>
      <c r="AX6" s="205">
        <f t="shared" si="1"/>
        <v>0</v>
      </c>
      <c r="AY6" s="205">
        <f t="shared" si="1"/>
        <v>0</v>
      </c>
      <c r="AZ6" s="205">
        <f t="shared" si="1"/>
        <v>0</v>
      </c>
      <c r="BA6" s="205">
        <f t="shared" si="1"/>
        <v>0</v>
      </c>
      <c r="BB6" s="205">
        <f t="shared" si="1"/>
        <v>0</v>
      </c>
      <c r="BC6" s="205">
        <f t="shared" si="1"/>
        <v>0</v>
      </c>
      <c r="BD6" s="205">
        <f t="shared" si="1"/>
        <v>0</v>
      </c>
      <c r="BE6" s="205">
        <f t="shared" si="1"/>
        <v>0</v>
      </c>
      <c r="BF6" s="205">
        <f t="shared" si="1"/>
        <v>0</v>
      </c>
      <c r="BG6" s="205">
        <f t="shared" si="1"/>
        <v>0</v>
      </c>
      <c r="BH6" s="205">
        <f t="shared" si="1"/>
        <v>0</v>
      </c>
      <c r="BI6" s="205">
        <f t="shared" si="1"/>
        <v>0</v>
      </c>
      <c r="BJ6" s="205">
        <f t="shared" si="1"/>
        <v>0</v>
      </c>
      <c r="BK6" s="205">
        <f t="shared" si="1"/>
        <v>0</v>
      </c>
      <c r="BL6" s="205">
        <f t="shared" si="1"/>
        <v>0</v>
      </c>
      <c r="BM6" s="205">
        <f t="shared" si="1"/>
        <v>0</v>
      </c>
      <c r="BN6" s="205">
        <f t="shared" si="1"/>
        <v>0</v>
      </c>
      <c r="BO6" s="205">
        <f t="shared" si="1"/>
        <v>0</v>
      </c>
      <c r="BP6" s="205">
        <f t="shared" si="1"/>
        <v>0</v>
      </c>
      <c r="BQ6" s="205">
        <f t="shared" si="1"/>
        <v>0</v>
      </c>
      <c r="BR6" s="205">
        <f t="shared" si="1"/>
        <v>0</v>
      </c>
      <c r="BS6" s="205">
        <f t="shared" si="1"/>
        <v>0</v>
      </c>
      <c r="BT6" s="205">
        <f t="shared" si="1"/>
        <v>0</v>
      </c>
      <c r="BU6" s="205">
        <f t="shared" si="1"/>
        <v>0</v>
      </c>
      <c r="BV6" s="205">
        <f t="shared" si="1"/>
        <v>0</v>
      </c>
      <c r="BW6" s="205">
        <f t="shared" si="1"/>
        <v>0</v>
      </c>
      <c r="BX6" s="205">
        <f t="shared" si="1"/>
        <v>0</v>
      </c>
      <c r="BY6" s="205">
        <f t="shared" si="1"/>
        <v>0</v>
      </c>
      <c r="BZ6" s="205">
        <f t="shared" si="1"/>
        <v>0</v>
      </c>
      <c r="CA6" s="205">
        <f t="shared" si="2"/>
        <v>0</v>
      </c>
      <c r="CB6" s="205">
        <f t="shared" si="2"/>
        <v>0</v>
      </c>
      <c r="CC6" s="205">
        <f t="shared" si="2"/>
        <v>0</v>
      </c>
      <c r="CD6" s="205">
        <f t="shared" si="2"/>
        <v>0</v>
      </c>
      <c r="CE6" s="205">
        <f t="shared" si="2"/>
        <v>0</v>
      </c>
      <c r="CF6" s="205">
        <f t="shared" si="2"/>
        <v>0</v>
      </c>
      <c r="CG6" s="205">
        <f t="shared" si="2"/>
        <v>0</v>
      </c>
      <c r="CH6" s="205">
        <f t="shared" si="2"/>
        <v>0</v>
      </c>
      <c r="CI6" s="205">
        <f t="shared" si="2"/>
        <v>0</v>
      </c>
      <c r="CJ6" s="205">
        <f t="shared" si="2"/>
        <v>0</v>
      </c>
      <c r="CK6" s="205">
        <f t="shared" si="2"/>
        <v>0</v>
      </c>
      <c r="CL6" s="205">
        <f t="shared" si="2"/>
        <v>0</v>
      </c>
      <c r="CM6" s="205">
        <f t="shared" si="2"/>
        <v>0</v>
      </c>
      <c r="CN6" s="205">
        <f t="shared" si="2"/>
        <v>0</v>
      </c>
      <c r="CO6" s="205">
        <f t="shared" si="2"/>
        <v>0</v>
      </c>
      <c r="CP6" s="205">
        <f t="shared" si="2"/>
        <v>0</v>
      </c>
      <c r="CQ6" s="205">
        <f t="shared" si="2"/>
        <v>0</v>
      </c>
      <c r="CR6" s="205">
        <f t="shared" si="2"/>
        <v>0</v>
      </c>
      <c r="CS6" s="205">
        <f t="shared" si="3"/>
        <v>0</v>
      </c>
      <c r="CT6" s="205">
        <f t="shared" si="3"/>
        <v>0</v>
      </c>
      <c r="CU6" s="205">
        <f t="shared" si="3"/>
        <v>0</v>
      </c>
      <c r="CV6" s="205">
        <f t="shared" si="3"/>
        <v>0</v>
      </c>
      <c r="CW6" s="205">
        <f t="shared" si="3"/>
        <v>0</v>
      </c>
      <c r="CX6" s="205">
        <f t="shared" si="3"/>
        <v>0</v>
      </c>
      <c r="CY6" s="205">
        <f t="shared" si="3"/>
        <v>0</v>
      </c>
      <c r="CZ6" s="205">
        <f t="shared" si="3"/>
        <v>0</v>
      </c>
      <c r="DA6" s="205">
        <f t="shared" si="3"/>
        <v>0</v>
      </c>
      <c r="DB6" s="205"/>
    </row>
    <row r="7" spans="1:106">
      <c r="A7" s="202" t="str">
        <f>Income!A76</f>
        <v>Animals sold</v>
      </c>
      <c r="B7" s="204">
        <f>Income!B76</f>
        <v>0</v>
      </c>
      <c r="C7" s="204">
        <f>Income!C76</f>
        <v>500.00000000000006</v>
      </c>
      <c r="D7" s="204">
        <f>Income!D76</f>
        <v>3500</v>
      </c>
      <c r="E7" s="204">
        <f>Income!E76</f>
        <v>9822.2222222222226</v>
      </c>
      <c r="F7" s="205">
        <f t="shared" si="4"/>
        <v>0</v>
      </c>
      <c r="G7" s="205">
        <f t="shared" si="0"/>
        <v>0</v>
      </c>
      <c r="H7" s="205">
        <f t="shared" si="0"/>
        <v>0</v>
      </c>
      <c r="I7" s="205">
        <f t="shared" si="0"/>
        <v>0</v>
      </c>
      <c r="J7" s="205">
        <f t="shared" si="0"/>
        <v>0</v>
      </c>
      <c r="K7" s="205">
        <f t="shared" si="0"/>
        <v>0</v>
      </c>
      <c r="L7" s="205">
        <f t="shared" si="0"/>
        <v>0</v>
      </c>
      <c r="M7" s="205">
        <f t="shared" si="0"/>
        <v>0</v>
      </c>
      <c r="N7" s="205">
        <f t="shared" si="0"/>
        <v>0</v>
      </c>
      <c r="O7" s="205">
        <f t="shared" si="0"/>
        <v>0</v>
      </c>
      <c r="P7" s="205">
        <f t="shared" si="0"/>
        <v>0</v>
      </c>
      <c r="Q7" s="205">
        <f t="shared" si="0"/>
        <v>0</v>
      </c>
      <c r="R7" s="205">
        <f t="shared" si="0"/>
        <v>0</v>
      </c>
      <c r="S7" s="205">
        <f t="shared" si="0"/>
        <v>0</v>
      </c>
      <c r="T7" s="205">
        <f t="shared" si="0"/>
        <v>0</v>
      </c>
      <c r="U7" s="205">
        <f t="shared" si="0"/>
        <v>0</v>
      </c>
      <c r="V7" s="205">
        <f t="shared" si="0"/>
        <v>0</v>
      </c>
      <c r="W7" s="205">
        <f t="shared" si="0"/>
        <v>0</v>
      </c>
      <c r="X7" s="205">
        <f t="shared" si="0"/>
        <v>0</v>
      </c>
      <c r="Y7" s="205">
        <f t="shared" si="0"/>
        <v>0</v>
      </c>
      <c r="Z7" s="205">
        <f t="shared" si="0"/>
        <v>0</v>
      </c>
      <c r="AA7" s="205">
        <f t="shared" si="0"/>
        <v>0</v>
      </c>
      <c r="AB7" s="205">
        <f t="shared" si="0"/>
        <v>0</v>
      </c>
      <c r="AC7" s="205">
        <f t="shared" si="0"/>
        <v>0</v>
      </c>
      <c r="AD7" s="205">
        <f t="shared" si="0"/>
        <v>0</v>
      </c>
      <c r="AE7" s="205">
        <f t="shared" si="0"/>
        <v>0</v>
      </c>
      <c r="AF7" s="205">
        <f t="shared" si="0"/>
        <v>0</v>
      </c>
      <c r="AG7" s="205">
        <f t="shared" si="0"/>
        <v>0</v>
      </c>
      <c r="AH7" s="205">
        <f t="shared" si="0"/>
        <v>0</v>
      </c>
      <c r="AI7" s="205">
        <f t="shared" si="0"/>
        <v>0</v>
      </c>
      <c r="AJ7" s="205">
        <f t="shared" si="0"/>
        <v>0</v>
      </c>
      <c r="AK7" s="205">
        <f t="shared" si="0"/>
        <v>0</v>
      </c>
      <c r="AL7" s="205">
        <f t="shared" si="0"/>
        <v>0</v>
      </c>
      <c r="AM7" s="205">
        <f t="shared" si="0"/>
        <v>0</v>
      </c>
      <c r="AN7" s="205">
        <f t="shared" si="0"/>
        <v>0</v>
      </c>
      <c r="AO7" s="205">
        <f t="shared" si="0"/>
        <v>0</v>
      </c>
      <c r="AP7" s="205">
        <f t="shared" si="0"/>
        <v>0</v>
      </c>
      <c r="AQ7" s="205">
        <f t="shared" si="0"/>
        <v>0</v>
      </c>
      <c r="AR7" s="205">
        <f t="shared" si="0"/>
        <v>0</v>
      </c>
      <c r="AS7" s="205">
        <f t="shared" si="0"/>
        <v>0</v>
      </c>
      <c r="AT7" s="205">
        <f t="shared" si="0"/>
        <v>0</v>
      </c>
      <c r="AU7" s="205">
        <f t="shared" ref="AU7:BJ8" si="5">IF(AU$2&lt;=($B$2+$C$2+$D$2),IF(AU$2&lt;=($B$2+$C$2),IF(AU$2&lt;=$B$2,$B7,$C7),$D7),$E7)</f>
        <v>0</v>
      </c>
      <c r="AV7" s="205">
        <f t="shared" si="5"/>
        <v>0</v>
      </c>
      <c r="AW7" s="205">
        <f t="shared" si="5"/>
        <v>0</v>
      </c>
      <c r="AX7" s="205">
        <f t="shared" si="5"/>
        <v>0</v>
      </c>
      <c r="AY7" s="205">
        <f t="shared" si="5"/>
        <v>0</v>
      </c>
      <c r="AZ7" s="205">
        <f t="shared" si="5"/>
        <v>0</v>
      </c>
      <c r="BA7" s="205">
        <f t="shared" si="5"/>
        <v>0</v>
      </c>
      <c r="BB7" s="205">
        <f t="shared" si="5"/>
        <v>0</v>
      </c>
      <c r="BC7" s="205">
        <f t="shared" si="5"/>
        <v>0</v>
      </c>
      <c r="BD7" s="205">
        <f t="shared" si="5"/>
        <v>500.00000000000006</v>
      </c>
      <c r="BE7" s="205">
        <f t="shared" si="5"/>
        <v>500.00000000000006</v>
      </c>
      <c r="BF7" s="205">
        <f t="shared" si="5"/>
        <v>500.00000000000006</v>
      </c>
      <c r="BG7" s="205">
        <f t="shared" si="5"/>
        <v>500.00000000000006</v>
      </c>
      <c r="BH7" s="205">
        <f t="shared" si="5"/>
        <v>500.00000000000006</v>
      </c>
      <c r="BI7" s="205">
        <f t="shared" si="5"/>
        <v>500.00000000000006</v>
      </c>
      <c r="BJ7" s="205">
        <f t="shared" si="5"/>
        <v>500.00000000000006</v>
      </c>
      <c r="BK7" s="205">
        <f t="shared" si="1"/>
        <v>500.00000000000006</v>
      </c>
      <c r="BL7" s="205">
        <f t="shared" si="1"/>
        <v>500.00000000000006</v>
      </c>
      <c r="BM7" s="205">
        <f t="shared" si="1"/>
        <v>500.00000000000006</v>
      </c>
      <c r="BN7" s="205">
        <f t="shared" si="1"/>
        <v>500.00000000000006</v>
      </c>
      <c r="BO7" s="205">
        <f t="shared" si="1"/>
        <v>500.00000000000006</v>
      </c>
      <c r="BP7" s="205">
        <f t="shared" si="1"/>
        <v>500.00000000000006</v>
      </c>
      <c r="BQ7" s="205">
        <f t="shared" si="1"/>
        <v>500.00000000000006</v>
      </c>
      <c r="BR7" s="205">
        <f t="shared" si="1"/>
        <v>500.00000000000006</v>
      </c>
      <c r="BS7" s="205">
        <f t="shared" si="1"/>
        <v>500.00000000000006</v>
      </c>
      <c r="BT7" s="205">
        <f t="shared" si="1"/>
        <v>500.00000000000006</v>
      </c>
      <c r="BU7" s="205">
        <f t="shared" si="1"/>
        <v>500.00000000000006</v>
      </c>
      <c r="BV7" s="205">
        <f t="shared" si="1"/>
        <v>500.00000000000006</v>
      </c>
      <c r="BW7" s="205">
        <f t="shared" si="1"/>
        <v>500.00000000000006</v>
      </c>
      <c r="BX7" s="205">
        <f t="shared" si="1"/>
        <v>500.00000000000006</v>
      </c>
      <c r="BY7" s="205">
        <f t="shared" si="1"/>
        <v>500.00000000000006</v>
      </c>
      <c r="BZ7" s="205">
        <f t="shared" si="1"/>
        <v>500.00000000000006</v>
      </c>
      <c r="CA7" s="205">
        <f t="shared" si="2"/>
        <v>500.00000000000006</v>
      </c>
      <c r="CB7" s="205">
        <f t="shared" si="2"/>
        <v>500.00000000000006</v>
      </c>
      <c r="CC7" s="205">
        <f t="shared" si="2"/>
        <v>500.00000000000006</v>
      </c>
      <c r="CD7" s="205">
        <f t="shared" si="2"/>
        <v>500.00000000000006</v>
      </c>
      <c r="CE7" s="205">
        <f t="shared" si="2"/>
        <v>500.00000000000006</v>
      </c>
      <c r="CF7" s="205">
        <f t="shared" si="2"/>
        <v>500.00000000000006</v>
      </c>
      <c r="CG7" s="205">
        <f t="shared" si="2"/>
        <v>500.00000000000006</v>
      </c>
      <c r="CH7" s="205">
        <f t="shared" si="2"/>
        <v>3500</v>
      </c>
      <c r="CI7" s="205">
        <f t="shared" si="2"/>
        <v>3500</v>
      </c>
      <c r="CJ7" s="205">
        <f t="shared" si="2"/>
        <v>3500</v>
      </c>
      <c r="CK7" s="205">
        <f t="shared" si="2"/>
        <v>3500</v>
      </c>
      <c r="CL7" s="205">
        <f t="shared" si="2"/>
        <v>3500</v>
      </c>
      <c r="CM7" s="205">
        <f t="shared" si="2"/>
        <v>3500</v>
      </c>
      <c r="CN7" s="205">
        <f t="shared" si="2"/>
        <v>3500</v>
      </c>
      <c r="CO7" s="205">
        <f t="shared" si="2"/>
        <v>3500</v>
      </c>
      <c r="CP7" s="205">
        <f t="shared" si="2"/>
        <v>3500</v>
      </c>
      <c r="CQ7" s="205">
        <f t="shared" si="2"/>
        <v>3500</v>
      </c>
      <c r="CR7" s="205">
        <f t="shared" si="2"/>
        <v>3500</v>
      </c>
      <c r="CS7" s="205">
        <f t="shared" si="3"/>
        <v>3500</v>
      </c>
      <c r="CT7" s="205">
        <f t="shared" si="3"/>
        <v>3500</v>
      </c>
      <c r="CU7" s="205">
        <f t="shared" si="3"/>
        <v>3500</v>
      </c>
      <c r="CV7" s="205">
        <f t="shared" si="3"/>
        <v>3500</v>
      </c>
      <c r="CW7" s="205">
        <f t="shared" si="3"/>
        <v>9822.2222222222226</v>
      </c>
      <c r="CX7" s="205">
        <f t="shared" si="3"/>
        <v>9822.2222222222226</v>
      </c>
      <c r="CY7" s="205">
        <f t="shared" si="3"/>
        <v>9822.2222222222226</v>
      </c>
      <c r="CZ7" s="205">
        <f t="shared" si="3"/>
        <v>9822.2222222222226</v>
      </c>
      <c r="DA7" s="205">
        <f t="shared" si="3"/>
        <v>9822.2222222222226</v>
      </c>
      <c r="DB7" s="205"/>
    </row>
    <row r="8" spans="1:106">
      <c r="A8" s="202" t="str">
        <f>Income!A77</f>
        <v>Wild foods consumed and sold</v>
      </c>
      <c r="B8" s="204">
        <f>Income!B77</f>
        <v>0</v>
      </c>
      <c r="C8" s="204">
        <f>Income!C77</f>
        <v>0</v>
      </c>
      <c r="D8" s="204">
        <f>Income!D77</f>
        <v>0</v>
      </c>
      <c r="E8" s="204">
        <f>Income!E77</f>
        <v>79.386569840387608</v>
      </c>
      <c r="F8" s="205">
        <f t="shared" si="4"/>
        <v>0</v>
      </c>
      <c r="G8" s="205">
        <f t="shared" si="4"/>
        <v>0</v>
      </c>
      <c r="H8" s="205">
        <f t="shared" si="4"/>
        <v>0</v>
      </c>
      <c r="I8" s="205">
        <f t="shared" si="4"/>
        <v>0</v>
      </c>
      <c r="J8" s="205">
        <f t="shared" si="4"/>
        <v>0</v>
      </c>
      <c r="K8" s="205">
        <f t="shared" si="4"/>
        <v>0</v>
      </c>
      <c r="L8" s="205">
        <f t="shared" si="4"/>
        <v>0</v>
      </c>
      <c r="M8" s="205">
        <f t="shared" si="4"/>
        <v>0</v>
      </c>
      <c r="N8" s="205">
        <f t="shared" si="4"/>
        <v>0</v>
      </c>
      <c r="O8" s="205">
        <f t="shared" si="4"/>
        <v>0</v>
      </c>
      <c r="P8" s="205">
        <f t="shared" si="4"/>
        <v>0</v>
      </c>
      <c r="Q8" s="205">
        <f t="shared" si="4"/>
        <v>0</v>
      </c>
      <c r="R8" s="205">
        <f t="shared" si="4"/>
        <v>0</v>
      </c>
      <c r="S8" s="205">
        <f t="shared" si="4"/>
        <v>0</v>
      </c>
      <c r="T8" s="205">
        <f t="shared" si="4"/>
        <v>0</v>
      </c>
      <c r="U8" s="205">
        <f t="shared" si="4"/>
        <v>0</v>
      </c>
      <c r="V8" s="205">
        <f t="shared" ref="V8:AK18" si="6">IF(V$2&lt;=($B$2+$C$2+$D$2),IF(V$2&lt;=($B$2+$C$2),IF(V$2&lt;=$B$2,$B8,$C8),$D8),$E8)</f>
        <v>0</v>
      </c>
      <c r="W8" s="205">
        <f t="shared" si="6"/>
        <v>0</v>
      </c>
      <c r="X8" s="205">
        <f t="shared" si="6"/>
        <v>0</v>
      </c>
      <c r="Y8" s="205">
        <f t="shared" si="6"/>
        <v>0</v>
      </c>
      <c r="Z8" s="205">
        <f t="shared" si="6"/>
        <v>0</v>
      </c>
      <c r="AA8" s="205">
        <f t="shared" si="6"/>
        <v>0</v>
      </c>
      <c r="AB8" s="205">
        <f t="shared" si="6"/>
        <v>0</v>
      </c>
      <c r="AC8" s="205">
        <f t="shared" si="6"/>
        <v>0</v>
      </c>
      <c r="AD8" s="205">
        <f t="shared" si="6"/>
        <v>0</v>
      </c>
      <c r="AE8" s="205">
        <f t="shared" si="6"/>
        <v>0</v>
      </c>
      <c r="AF8" s="205">
        <f t="shared" si="6"/>
        <v>0</v>
      </c>
      <c r="AG8" s="205">
        <f t="shared" si="6"/>
        <v>0</v>
      </c>
      <c r="AH8" s="205">
        <f t="shared" si="6"/>
        <v>0</v>
      </c>
      <c r="AI8" s="205">
        <f t="shared" si="6"/>
        <v>0</v>
      </c>
      <c r="AJ8" s="205">
        <f t="shared" si="6"/>
        <v>0</v>
      </c>
      <c r="AK8" s="205">
        <f t="shared" si="6"/>
        <v>0</v>
      </c>
      <c r="AL8" s="205">
        <f t="shared" ref="AL8:BA18" si="7">IF(AL$2&lt;=($B$2+$C$2+$D$2),IF(AL$2&lt;=($B$2+$C$2),IF(AL$2&lt;=$B$2,$B8,$C8),$D8),$E8)</f>
        <v>0</v>
      </c>
      <c r="AM8" s="205">
        <f t="shared" si="7"/>
        <v>0</v>
      </c>
      <c r="AN8" s="205">
        <f t="shared" si="7"/>
        <v>0</v>
      </c>
      <c r="AO8" s="205">
        <f t="shared" si="7"/>
        <v>0</v>
      </c>
      <c r="AP8" s="205">
        <f t="shared" si="7"/>
        <v>0</v>
      </c>
      <c r="AQ8" s="205">
        <f t="shared" si="7"/>
        <v>0</v>
      </c>
      <c r="AR8" s="205">
        <f t="shared" si="7"/>
        <v>0</v>
      </c>
      <c r="AS8" s="205">
        <f t="shared" si="7"/>
        <v>0</v>
      </c>
      <c r="AT8" s="205">
        <f t="shared" si="7"/>
        <v>0</v>
      </c>
      <c r="AU8" s="205">
        <f t="shared" si="7"/>
        <v>0</v>
      </c>
      <c r="AV8" s="205">
        <f t="shared" si="7"/>
        <v>0</v>
      </c>
      <c r="AW8" s="205">
        <f t="shared" si="7"/>
        <v>0</v>
      </c>
      <c r="AX8" s="205">
        <f t="shared" si="7"/>
        <v>0</v>
      </c>
      <c r="AY8" s="205">
        <f t="shared" si="7"/>
        <v>0</v>
      </c>
      <c r="AZ8" s="205">
        <f t="shared" si="7"/>
        <v>0</v>
      </c>
      <c r="BA8" s="205">
        <f t="shared" si="7"/>
        <v>0</v>
      </c>
      <c r="BB8" s="205">
        <f t="shared" si="5"/>
        <v>0</v>
      </c>
      <c r="BC8" s="205">
        <f t="shared" si="5"/>
        <v>0</v>
      </c>
      <c r="BD8" s="205">
        <f t="shared" si="5"/>
        <v>0</v>
      </c>
      <c r="BE8" s="205">
        <f t="shared" si="5"/>
        <v>0</v>
      </c>
      <c r="BF8" s="205">
        <f t="shared" si="5"/>
        <v>0</v>
      </c>
      <c r="BG8" s="205">
        <f t="shared" si="5"/>
        <v>0</v>
      </c>
      <c r="BH8" s="205">
        <f t="shared" si="5"/>
        <v>0</v>
      </c>
      <c r="BI8" s="205">
        <f t="shared" si="5"/>
        <v>0</v>
      </c>
      <c r="BJ8" s="205">
        <f t="shared" si="5"/>
        <v>0</v>
      </c>
      <c r="BK8" s="205">
        <f t="shared" si="1"/>
        <v>0</v>
      </c>
      <c r="BL8" s="205">
        <f t="shared" si="1"/>
        <v>0</v>
      </c>
      <c r="BM8" s="205">
        <f t="shared" si="1"/>
        <v>0</v>
      </c>
      <c r="BN8" s="205">
        <f t="shared" si="1"/>
        <v>0</v>
      </c>
      <c r="BO8" s="205">
        <f t="shared" si="1"/>
        <v>0</v>
      </c>
      <c r="BP8" s="205">
        <f t="shared" si="1"/>
        <v>0</v>
      </c>
      <c r="BQ8" s="205">
        <f t="shared" si="1"/>
        <v>0</v>
      </c>
      <c r="BR8" s="205">
        <f t="shared" si="1"/>
        <v>0</v>
      </c>
      <c r="BS8" s="205">
        <f t="shared" si="1"/>
        <v>0</v>
      </c>
      <c r="BT8" s="205">
        <f t="shared" si="1"/>
        <v>0</v>
      </c>
      <c r="BU8" s="205">
        <f t="shared" si="1"/>
        <v>0</v>
      </c>
      <c r="BV8" s="205">
        <f t="shared" si="1"/>
        <v>0</v>
      </c>
      <c r="BW8" s="205">
        <f t="shared" si="1"/>
        <v>0</v>
      </c>
      <c r="BX8" s="205">
        <f t="shared" si="1"/>
        <v>0</v>
      </c>
      <c r="BY8" s="205">
        <f t="shared" si="1"/>
        <v>0</v>
      </c>
      <c r="BZ8" s="205">
        <f t="shared" si="1"/>
        <v>0</v>
      </c>
      <c r="CA8" s="205">
        <f t="shared" si="2"/>
        <v>0</v>
      </c>
      <c r="CB8" s="205">
        <f t="shared" si="2"/>
        <v>0</v>
      </c>
      <c r="CC8" s="205">
        <f t="shared" si="2"/>
        <v>0</v>
      </c>
      <c r="CD8" s="205">
        <f t="shared" si="2"/>
        <v>0</v>
      </c>
      <c r="CE8" s="205">
        <f t="shared" si="2"/>
        <v>0</v>
      </c>
      <c r="CF8" s="205">
        <f t="shared" si="2"/>
        <v>0</v>
      </c>
      <c r="CG8" s="205">
        <f t="shared" si="2"/>
        <v>0</v>
      </c>
      <c r="CH8" s="205">
        <f t="shared" si="2"/>
        <v>0</v>
      </c>
      <c r="CI8" s="205">
        <f t="shared" si="2"/>
        <v>0</v>
      </c>
      <c r="CJ8" s="205">
        <f t="shared" si="2"/>
        <v>0</v>
      </c>
      <c r="CK8" s="205">
        <f t="shared" si="2"/>
        <v>0</v>
      </c>
      <c r="CL8" s="205">
        <f t="shared" si="2"/>
        <v>0</v>
      </c>
      <c r="CM8" s="205">
        <f t="shared" si="2"/>
        <v>0</v>
      </c>
      <c r="CN8" s="205">
        <f t="shared" si="2"/>
        <v>0</v>
      </c>
      <c r="CO8" s="205">
        <f t="shared" si="2"/>
        <v>0</v>
      </c>
      <c r="CP8" s="205">
        <f t="shared" si="2"/>
        <v>0</v>
      </c>
      <c r="CQ8" s="205">
        <f t="shared" si="2"/>
        <v>0</v>
      </c>
      <c r="CR8" s="205">
        <f t="shared" si="2"/>
        <v>0</v>
      </c>
      <c r="CS8" s="205">
        <f t="shared" si="3"/>
        <v>0</v>
      </c>
      <c r="CT8" s="205">
        <f t="shared" si="3"/>
        <v>0</v>
      </c>
      <c r="CU8" s="205">
        <f t="shared" si="3"/>
        <v>0</v>
      </c>
      <c r="CV8" s="205">
        <f t="shared" si="3"/>
        <v>0</v>
      </c>
      <c r="CW8" s="205">
        <f t="shared" si="3"/>
        <v>79.386569840387608</v>
      </c>
      <c r="CX8" s="205">
        <f t="shared" si="3"/>
        <v>79.386569840387608</v>
      </c>
      <c r="CY8" s="205">
        <f t="shared" si="3"/>
        <v>79.386569840387608</v>
      </c>
      <c r="CZ8" s="205">
        <f t="shared" si="3"/>
        <v>79.386569840387608</v>
      </c>
      <c r="DA8" s="205">
        <f t="shared" si="3"/>
        <v>79.386569840387608</v>
      </c>
      <c r="DB8" s="205"/>
    </row>
    <row r="9" spans="1:106">
      <c r="A9" s="202" t="str">
        <f>Income!A78</f>
        <v>Labour - casual</v>
      </c>
      <c r="B9" s="204">
        <f>Income!B78</f>
        <v>0</v>
      </c>
      <c r="C9" s="204">
        <f>Income!C78</f>
        <v>1622.4143646408841</v>
      </c>
      <c r="D9" s="204">
        <f>Income!D78</f>
        <v>752</v>
      </c>
      <c r="E9" s="204">
        <f>Income!E78</f>
        <v>0</v>
      </c>
      <c r="F9" s="205">
        <f t="shared" si="4"/>
        <v>0</v>
      </c>
      <c r="G9" s="205">
        <f t="shared" si="4"/>
        <v>0</v>
      </c>
      <c r="H9" s="205">
        <f t="shared" si="4"/>
        <v>0</v>
      </c>
      <c r="I9" s="205">
        <f t="shared" si="4"/>
        <v>0</v>
      </c>
      <c r="J9" s="205">
        <f t="shared" si="4"/>
        <v>0</v>
      </c>
      <c r="K9" s="205">
        <f t="shared" si="4"/>
        <v>0</v>
      </c>
      <c r="L9" s="205">
        <f t="shared" si="4"/>
        <v>0</v>
      </c>
      <c r="M9" s="205">
        <f t="shared" si="4"/>
        <v>0</v>
      </c>
      <c r="N9" s="205">
        <f t="shared" si="4"/>
        <v>0</v>
      </c>
      <c r="O9" s="205">
        <f t="shared" si="4"/>
        <v>0</v>
      </c>
      <c r="P9" s="205">
        <f t="shared" si="4"/>
        <v>0</v>
      </c>
      <c r="Q9" s="205">
        <f t="shared" si="4"/>
        <v>0</v>
      </c>
      <c r="R9" s="205">
        <f t="shared" si="4"/>
        <v>0</v>
      </c>
      <c r="S9" s="205">
        <f t="shared" si="4"/>
        <v>0</v>
      </c>
      <c r="T9" s="205">
        <f t="shared" si="4"/>
        <v>0</v>
      </c>
      <c r="U9" s="205">
        <f t="shared" si="4"/>
        <v>0</v>
      </c>
      <c r="V9" s="205">
        <f t="shared" si="6"/>
        <v>0</v>
      </c>
      <c r="W9" s="205">
        <f t="shared" si="6"/>
        <v>0</v>
      </c>
      <c r="X9" s="205">
        <f t="shared" si="6"/>
        <v>0</v>
      </c>
      <c r="Y9" s="205">
        <f t="shared" si="6"/>
        <v>0</v>
      </c>
      <c r="Z9" s="205">
        <f t="shared" si="6"/>
        <v>0</v>
      </c>
      <c r="AA9" s="205">
        <f t="shared" si="6"/>
        <v>0</v>
      </c>
      <c r="AB9" s="205">
        <f t="shared" si="6"/>
        <v>0</v>
      </c>
      <c r="AC9" s="205">
        <f t="shared" si="6"/>
        <v>0</v>
      </c>
      <c r="AD9" s="205">
        <f t="shared" si="6"/>
        <v>0</v>
      </c>
      <c r="AE9" s="205">
        <f t="shared" si="6"/>
        <v>0</v>
      </c>
      <c r="AF9" s="205">
        <f t="shared" si="6"/>
        <v>0</v>
      </c>
      <c r="AG9" s="205">
        <f t="shared" si="6"/>
        <v>0</v>
      </c>
      <c r="AH9" s="205">
        <f t="shared" si="6"/>
        <v>0</v>
      </c>
      <c r="AI9" s="205">
        <f t="shared" si="6"/>
        <v>0</v>
      </c>
      <c r="AJ9" s="205">
        <f t="shared" si="6"/>
        <v>0</v>
      </c>
      <c r="AK9" s="205">
        <f t="shared" si="6"/>
        <v>0</v>
      </c>
      <c r="AL9" s="205">
        <f t="shared" si="7"/>
        <v>0</v>
      </c>
      <c r="AM9" s="205">
        <f t="shared" si="7"/>
        <v>0</v>
      </c>
      <c r="AN9" s="205">
        <f t="shared" si="7"/>
        <v>0</v>
      </c>
      <c r="AO9" s="205">
        <f t="shared" si="7"/>
        <v>0</v>
      </c>
      <c r="AP9" s="205">
        <f t="shared" si="7"/>
        <v>0</v>
      </c>
      <c r="AQ9" s="205">
        <f t="shared" si="7"/>
        <v>0</v>
      </c>
      <c r="AR9" s="205">
        <f t="shared" si="7"/>
        <v>0</v>
      </c>
      <c r="AS9" s="205">
        <f t="shared" si="7"/>
        <v>0</v>
      </c>
      <c r="AT9" s="205">
        <f t="shared" si="7"/>
        <v>0</v>
      </c>
      <c r="AU9" s="205">
        <f t="shared" si="7"/>
        <v>0</v>
      </c>
      <c r="AV9" s="205">
        <f t="shared" si="7"/>
        <v>0</v>
      </c>
      <c r="AW9" s="205">
        <f t="shared" si="7"/>
        <v>0</v>
      </c>
      <c r="AX9" s="205">
        <f t="shared" si="1"/>
        <v>0</v>
      </c>
      <c r="AY9" s="205">
        <f t="shared" si="1"/>
        <v>0</v>
      </c>
      <c r="AZ9" s="205">
        <f t="shared" si="1"/>
        <v>0</v>
      </c>
      <c r="BA9" s="205">
        <f t="shared" si="1"/>
        <v>0</v>
      </c>
      <c r="BB9" s="205">
        <f t="shared" si="1"/>
        <v>0</v>
      </c>
      <c r="BC9" s="205">
        <f t="shared" si="1"/>
        <v>0</v>
      </c>
      <c r="BD9" s="205">
        <f t="shared" si="1"/>
        <v>1622.4143646408841</v>
      </c>
      <c r="BE9" s="205">
        <f t="shared" si="1"/>
        <v>1622.4143646408841</v>
      </c>
      <c r="BF9" s="205">
        <f t="shared" si="1"/>
        <v>1622.4143646408841</v>
      </c>
      <c r="BG9" s="205">
        <f t="shared" si="1"/>
        <v>1622.4143646408841</v>
      </c>
      <c r="BH9" s="205">
        <f t="shared" si="1"/>
        <v>1622.4143646408841</v>
      </c>
      <c r="BI9" s="205">
        <f t="shared" si="1"/>
        <v>1622.4143646408841</v>
      </c>
      <c r="BJ9" s="205">
        <f t="shared" si="1"/>
        <v>1622.4143646408841</v>
      </c>
      <c r="BK9" s="205">
        <f t="shared" si="1"/>
        <v>1622.4143646408841</v>
      </c>
      <c r="BL9" s="205">
        <f t="shared" si="1"/>
        <v>1622.4143646408841</v>
      </c>
      <c r="BM9" s="205">
        <f t="shared" si="1"/>
        <v>1622.4143646408841</v>
      </c>
      <c r="BN9" s="205">
        <f t="shared" si="1"/>
        <v>1622.4143646408841</v>
      </c>
      <c r="BO9" s="205">
        <f t="shared" si="1"/>
        <v>1622.4143646408841</v>
      </c>
      <c r="BP9" s="205">
        <f t="shared" si="1"/>
        <v>1622.4143646408841</v>
      </c>
      <c r="BQ9" s="205">
        <f t="shared" si="1"/>
        <v>1622.4143646408841</v>
      </c>
      <c r="BR9" s="205">
        <f t="shared" si="1"/>
        <v>1622.4143646408841</v>
      </c>
      <c r="BS9" s="205">
        <f t="shared" si="1"/>
        <v>1622.4143646408841</v>
      </c>
      <c r="BT9" s="205">
        <f t="shared" si="1"/>
        <v>1622.4143646408841</v>
      </c>
      <c r="BU9" s="205">
        <f t="shared" si="1"/>
        <v>1622.4143646408841</v>
      </c>
      <c r="BV9" s="205">
        <f t="shared" si="1"/>
        <v>1622.4143646408841</v>
      </c>
      <c r="BW9" s="205">
        <f t="shared" si="1"/>
        <v>1622.4143646408841</v>
      </c>
      <c r="BX9" s="205">
        <f t="shared" si="1"/>
        <v>1622.4143646408841</v>
      </c>
      <c r="BY9" s="205">
        <f t="shared" si="1"/>
        <v>1622.4143646408841</v>
      </c>
      <c r="BZ9" s="205">
        <f t="shared" si="1"/>
        <v>1622.4143646408841</v>
      </c>
      <c r="CA9" s="205">
        <f t="shared" si="2"/>
        <v>1622.4143646408841</v>
      </c>
      <c r="CB9" s="205">
        <f t="shared" si="2"/>
        <v>1622.4143646408841</v>
      </c>
      <c r="CC9" s="205">
        <f t="shared" si="2"/>
        <v>1622.4143646408841</v>
      </c>
      <c r="CD9" s="205">
        <f t="shared" si="2"/>
        <v>1622.4143646408841</v>
      </c>
      <c r="CE9" s="205">
        <f t="shared" si="2"/>
        <v>1622.4143646408841</v>
      </c>
      <c r="CF9" s="205">
        <f t="shared" si="2"/>
        <v>1622.4143646408841</v>
      </c>
      <c r="CG9" s="205">
        <f t="shared" si="2"/>
        <v>1622.4143646408841</v>
      </c>
      <c r="CH9" s="205">
        <f t="shared" si="2"/>
        <v>752</v>
      </c>
      <c r="CI9" s="205">
        <f t="shared" si="2"/>
        <v>752</v>
      </c>
      <c r="CJ9" s="205">
        <f t="shared" si="2"/>
        <v>752</v>
      </c>
      <c r="CK9" s="205">
        <f t="shared" si="2"/>
        <v>752</v>
      </c>
      <c r="CL9" s="205">
        <f t="shared" si="2"/>
        <v>752</v>
      </c>
      <c r="CM9" s="205">
        <f t="shared" si="2"/>
        <v>752</v>
      </c>
      <c r="CN9" s="205">
        <f t="shared" si="2"/>
        <v>752</v>
      </c>
      <c r="CO9" s="205">
        <f t="shared" si="2"/>
        <v>752</v>
      </c>
      <c r="CP9" s="205">
        <f t="shared" si="2"/>
        <v>752</v>
      </c>
      <c r="CQ9" s="205">
        <f t="shared" si="2"/>
        <v>752</v>
      </c>
      <c r="CR9" s="205">
        <f t="shared" si="2"/>
        <v>752</v>
      </c>
      <c r="CS9" s="205">
        <f t="shared" si="3"/>
        <v>752</v>
      </c>
      <c r="CT9" s="205">
        <f t="shared" si="3"/>
        <v>752</v>
      </c>
      <c r="CU9" s="205">
        <f t="shared" si="3"/>
        <v>752</v>
      </c>
      <c r="CV9" s="205">
        <f t="shared" si="3"/>
        <v>752</v>
      </c>
      <c r="CW9" s="205">
        <f t="shared" si="3"/>
        <v>0</v>
      </c>
      <c r="CX9" s="205">
        <f t="shared" si="3"/>
        <v>0</v>
      </c>
      <c r="CY9" s="205">
        <f t="shared" si="3"/>
        <v>0</v>
      </c>
      <c r="CZ9" s="205">
        <f t="shared" si="3"/>
        <v>0</v>
      </c>
      <c r="DA9" s="205">
        <f t="shared" si="3"/>
        <v>0</v>
      </c>
      <c r="DB9" s="205"/>
    </row>
    <row r="10" spans="1:106">
      <c r="A10" s="202" t="str">
        <f>Income!A79</f>
        <v>Labour - formal emp</v>
      </c>
      <c r="B10" s="204">
        <f>Income!B79</f>
        <v>0</v>
      </c>
      <c r="C10" s="204">
        <f>Income!C79</f>
        <v>0</v>
      </c>
      <c r="D10" s="204">
        <f>Income!D79</f>
        <v>0</v>
      </c>
      <c r="E10" s="204">
        <f>Income!E79</f>
        <v>30897.777777777777</v>
      </c>
      <c r="F10" s="205">
        <f t="shared" si="4"/>
        <v>0</v>
      </c>
      <c r="G10" s="205">
        <f t="shared" si="4"/>
        <v>0</v>
      </c>
      <c r="H10" s="205">
        <f t="shared" si="4"/>
        <v>0</v>
      </c>
      <c r="I10" s="205">
        <f t="shared" si="4"/>
        <v>0</v>
      </c>
      <c r="J10" s="205">
        <f t="shared" si="4"/>
        <v>0</v>
      </c>
      <c r="K10" s="205">
        <f t="shared" si="4"/>
        <v>0</v>
      </c>
      <c r="L10" s="205">
        <f t="shared" si="4"/>
        <v>0</v>
      </c>
      <c r="M10" s="205">
        <f t="shared" si="4"/>
        <v>0</v>
      </c>
      <c r="N10" s="205">
        <f t="shared" si="4"/>
        <v>0</v>
      </c>
      <c r="O10" s="205">
        <f t="shared" si="4"/>
        <v>0</v>
      </c>
      <c r="P10" s="205">
        <f t="shared" si="4"/>
        <v>0</v>
      </c>
      <c r="Q10" s="205">
        <f t="shared" si="4"/>
        <v>0</v>
      </c>
      <c r="R10" s="205">
        <f t="shared" si="4"/>
        <v>0</v>
      </c>
      <c r="S10" s="205">
        <f t="shared" si="4"/>
        <v>0</v>
      </c>
      <c r="T10" s="205">
        <f t="shared" si="4"/>
        <v>0</v>
      </c>
      <c r="U10" s="205">
        <f t="shared" si="4"/>
        <v>0</v>
      </c>
      <c r="V10" s="205">
        <f t="shared" si="6"/>
        <v>0</v>
      </c>
      <c r="W10" s="205">
        <f t="shared" si="6"/>
        <v>0</v>
      </c>
      <c r="X10" s="205">
        <f t="shared" si="6"/>
        <v>0</v>
      </c>
      <c r="Y10" s="205">
        <f t="shared" si="6"/>
        <v>0</v>
      </c>
      <c r="Z10" s="205">
        <f t="shared" si="6"/>
        <v>0</v>
      </c>
      <c r="AA10" s="205">
        <f t="shared" si="6"/>
        <v>0</v>
      </c>
      <c r="AB10" s="205">
        <f t="shared" si="6"/>
        <v>0</v>
      </c>
      <c r="AC10" s="205">
        <f t="shared" si="6"/>
        <v>0</v>
      </c>
      <c r="AD10" s="205">
        <f t="shared" si="6"/>
        <v>0</v>
      </c>
      <c r="AE10" s="205">
        <f t="shared" si="6"/>
        <v>0</v>
      </c>
      <c r="AF10" s="205">
        <f t="shared" si="6"/>
        <v>0</v>
      </c>
      <c r="AG10" s="205">
        <f t="shared" si="6"/>
        <v>0</v>
      </c>
      <c r="AH10" s="205">
        <f t="shared" si="6"/>
        <v>0</v>
      </c>
      <c r="AI10" s="205">
        <f t="shared" si="6"/>
        <v>0</v>
      </c>
      <c r="AJ10" s="205">
        <f t="shared" si="6"/>
        <v>0</v>
      </c>
      <c r="AK10" s="205">
        <f t="shared" si="6"/>
        <v>0</v>
      </c>
      <c r="AL10" s="205">
        <f t="shared" si="7"/>
        <v>0</v>
      </c>
      <c r="AM10" s="205">
        <f t="shared" si="7"/>
        <v>0</v>
      </c>
      <c r="AN10" s="205">
        <f t="shared" si="7"/>
        <v>0</v>
      </c>
      <c r="AO10" s="205">
        <f t="shared" si="7"/>
        <v>0</v>
      </c>
      <c r="AP10" s="205">
        <f t="shared" si="7"/>
        <v>0</v>
      </c>
      <c r="AQ10" s="205">
        <f t="shared" si="7"/>
        <v>0</v>
      </c>
      <c r="AR10" s="205">
        <f t="shared" si="7"/>
        <v>0</v>
      </c>
      <c r="AS10" s="205">
        <f t="shared" si="7"/>
        <v>0</v>
      </c>
      <c r="AT10" s="205">
        <f t="shared" si="7"/>
        <v>0</v>
      </c>
      <c r="AU10" s="205">
        <f t="shared" si="7"/>
        <v>0</v>
      </c>
      <c r="AV10" s="205">
        <f t="shared" si="7"/>
        <v>0</v>
      </c>
      <c r="AW10" s="205">
        <f t="shared" si="7"/>
        <v>0</v>
      </c>
      <c r="AX10" s="205">
        <f t="shared" si="1"/>
        <v>0</v>
      </c>
      <c r="AY10" s="205">
        <f t="shared" si="1"/>
        <v>0</v>
      </c>
      <c r="AZ10" s="205">
        <f t="shared" si="1"/>
        <v>0</v>
      </c>
      <c r="BA10" s="205">
        <f t="shared" si="1"/>
        <v>0</v>
      </c>
      <c r="BB10" s="205">
        <f t="shared" si="1"/>
        <v>0</v>
      </c>
      <c r="BC10" s="205">
        <f t="shared" si="1"/>
        <v>0</v>
      </c>
      <c r="BD10" s="205">
        <f t="shared" si="1"/>
        <v>0</v>
      </c>
      <c r="BE10" s="205">
        <f t="shared" si="1"/>
        <v>0</v>
      </c>
      <c r="BF10" s="205">
        <f t="shared" si="1"/>
        <v>0</v>
      </c>
      <c r="BG10" s="205">
        <f t="shared" si="1"/>
        <v>0</v>
      </c>
      <c r="BH10" s="205">
        <f t="shared" si="1"/>
        <v>0</v>
      </c>
      <c r="BI10" s="205">
        <f t="shared" si="1"/>
        <v>0</v>
      </c>
      <c r="BJ10" s="205">
        <f t="shared" si="1"/>
        <v>0</v>
      </c>
      <c r="BK10" s="205">
        <f t="shared" si="1"/>
        <v>0</v>
      </c>
      <c r="BL10" s="205">
        <f t="shared" si="1"/>
        <v>0</v>
      </c>
      <c r="BM10" s="205">
        <f t="shared" si="1"/>
        <v>0</v>
      </c>
      <c r="BN10" s="205">
        <f t="shared" si="1"/>
        <v>0</v>
      </c>
      <c r="BO10" s="205">
        <f t="shared" si="1"/>
        <v>0</v>
      </c>
      <c r="BP10" s="205">
        <f t="shared" si="1"/>
        <v>0</v>
      </c>
      <c r="BQ10" s="205">
        <f t="shared" si="1"/>
        <v>0</v>
      </c>
      <c r="BR10" s="205">
        <f t="shared" ref="AX10:BZ18" si="8">IF(BR$2&lt;=($B$2+$C$2+$D$2),IF(BR$2&lt;=($B$2+$C$2),IF(BR$2&lt;=$B$2,$B10,$C10),$D10),$E10)</f>
        <v>0</v>
      </c>
      <c r="BS10" s="205">
        <f t="shared" si="8"/>
        <v>0</v>
      </c>
      <c r="BT10" s="205">
        <f t="shared" si="8"/>
        <v>0</v>
      </c>
      <c r="BU10" s="205">
        <f t="shared" si="8"/>
        <v>0</v>
      </c>
      <c r="BV10" s="205">
        <f t="shared" si="8"/>
        <v>0</v>
      </c>
      <c r="BW10" s="205">
        <f t="shared" si="8"/>
        <v>0</v>
      </c>
      <c r="BX10" s="205">
        <f t="shared" si="8"/>
        <v>0</v>
      </c>
      <c r="BY10" s="205">
        <f t="shared" si="8"/>
        <v>0</v>
      </c>
      <c r="BZ10" s="205">
        <f t="shared" si="8"/>
        <v>0</v>
      </c>
      <c r="CA10" s="205">
        <f t="shared" si="2"/>
        <v>0</v>
      </c>
      <c r="CB10" s="205">
        <f t="shared" si="2"/>
        <v>0</v>
      </c>
      <c r="CC10" s="205">
        <f t="shared" si="2"/>
        <v>0</v>
      </c>
      <c r="CD10" s="205">
        <f t="shared" si="2"/>
        <v>0</v>
      </c>
      <c r="CE10" s="205">
        <f t="shared" si="2"/>
        <v>0</v>
      </c>
      <c r="CF10" s="205">
        <f t="shared" si="2"/>
        <v>0</v>
      </c>
      <c r="CG10" s="205">
        <f t="shared" si="2"/>
        <v>0</v>
      </c>
      <c r="CH10" s="205">
        <f t="shared" si="2"/>
        <v>0</v>
      </c>
      <c r="CI10" s="205">
        <f t="shared" si="2"/>
        <v>0</v>
      </c>
      <c r="CJ10" s="205">
        <f t="shared" si="2"/>
        <v>0</v>
      </c>
      <c r="CK10" s="205">
        <f t="shared" si="2"/>
        <v>0</v>
      </c>
      <c r="CL10" s="205">
        <f t="shared" si="2"/>
        <v>0</v>
      </c>
      <c r="CM10" s="205">
        <f t="shared" si="2"/>
        <v>0</v>
      </c>
      <c r="CN10" s="205">
        <f t="shared" si="2"/>
        <v>0</v>
      </c>
      <c r="CO10" s="205">
        <f t="shared" si="2"/>
        <v>0</v>
      </c>
      <c r="CP10" s="205">
        <f t="shared" si="2"/>
        <v>0</v>
      </c>
      <c r="CQ10" s="205">
        <f t="shared" si="2"/>
        <v>0</v>
      </c>
      <c r="CR10" s="205">
        <f t="shared" si="2"/>
        <v>0</v>
      </c>
      <c r="CS10" s="205">
        <f t="shared" si="3"/>
        <v>0</v>
      </c>
      <c r="CT10" s="205">
        <f t="shared" si="3"/>
        <v>0</v>
      </c>
      <c r="CU10" s="205">
        <f t="shared" si="3"/>
        <v>0</v>
      </c>
      <c r="CV10" s="205">
        <f t="shared" si="3"/>
        <v>0</v>
      </c>
      <c r="CW10" s="205">
        <f t="shared" si="3"/>
        <v>30897.777777777777</v>
      </c>
      <c r="CX10" s="205">
        <f t="shared" si="3"/>
        <v>30897.777777777777</v>
      </c>
      <c r="CY10" s="205">
        <f t="shared" si="3"/>
        <v>30897.777777777777</v>
      </c>
      <c r="CZ10" s="205">
        <f t="shared" si="3"/>
        <v>30897.777777777777</v>
      </c>
      <c r="DA10" s="205">
        <f t="shared" si="3"/>
        <v>30897.777777777777</v>
      </c>
      <c r="DB10" s="205"/>
    </row>
    <row r="11" spans="1:106">
      <c r="A11" s="202" t="str">
        <f>Income!A81</f>
        <v>Self - employment</v>
      </c>
      <c r="B11" s="204">
        <f>Income!B81</f>
        <v>0</v>
      </c>
      <c r="C11" s="204">
        <f>Income!C81</f>
        <v>0</v>
      </c>
      <c r="D11" s="204">
        <f>Income!D81</f>
        <v>429</v>
      </c>
      <c r="E11" s="204">
        <f>Income!E81</f>
        <v>0</v>
      </c>
      <c r="F11" s="205">
        <f t="shared" si="4"/>
        <v>0</v>
      </c>
      <c r="G11" s="205">
        <f t="shared" si="4"/>
        <v>0</v>
      </c>
      <c r="H11" s="205">
        <f t="shared" si="4"/>
        <v>0</v>
      </c>
      <c r="I11" s="205">
        <f t="shared" si="4"/>
        <v>0</v>
      </c>
      <c r="J11" s="205">
        <f t="shared" si="4"/>
        <v>0</v>
      </c>
      <c r="K11" s="205">
        <f t="shared" si="4"/>
        <v>0</v>
      </c>
      <c r="L11" s="205">
        <f t="shared" si="4"/>
        <v>0</v>
      </c>
      <c r="M11" s="205">
        <f t="shared" si="4"/>
        <v>0</v>
      </c>
      <c r="N11" s="205">
        <f t="shared" si="4"/>
        <v>0</v>
      </c>
      <c r="O11" s="205">
        <f t="shared" si="4"/>
        <v>0</v>
      </c>
      <c r="P11" s="205">
        <f t="shared" si="4"/>
        <v>0</v>
      </c>
      <c r="Q11" s="205">
        <f t="shared" si="4"/>
        <v>0</v>
      </c>
      <c r="R11" s="205">
        <f t="shared" si="4"/>
        <v>0</v>
      </c>
      <c r="S11" s="205">
        <f t="shared" si="4"/>
        <v>0</v>
      </c>
      <c r="T11" s="205">
        <f t="shared" si="4"/>
        <v>0</v>
      </c>
      <c r="U11" s="205">
        <f t="shared" si="4"/>
        <v>0</v>
      </c>
      <c r="V11" s="205">
        <f t="shared" si="6"/>
        <v>0</v>
      </c>
      <c r="W11" s="205">
        <f t="shared" si="6"/>
        <v>0</v>
      </c>
      <c r="X11" s="205">
        <f t="shared" si="6"/>
        <v>0</v>
      </c>
      <c r="Y11" s="205">
        <f t="shared" si="6"/>
        <v>0</v>
      </c>
      <c r="Z11" s="205">
        <f t="shared" si="6"/>
        <v>0</v>
      </c>
      <c r="AA11" s="205">
        <f t="shared" si="6"/>
        <v>0</v>
      </c>
      <c r="AB11" s="205">
        <f t="shared" si="6"/>
        <v>0</v>
      </c>
      <c r="AC11" s="205">
        <f t="shared" si="6"/>
        <v>0</v>
      </c>
      <c r="AD11" s="205">
        <f t="shared" si="6"/>
        <v>0</v>
      </c>
      <c r="AE11" s="205">
        <f t="shared" si="6"/>
        <v>0</v>
      </c>
      <c r="AF11" s="205">
        <f t="shared" si="6"/>
        <v>0</v>
      </c>
      <c r="AG11" s="205">
        <f t="shared" si="6"/>
        <v>0</v>
      </c>
      <c r="AH11" s="205">
        <f t="shared" si="6"/>
        <v>0</v>
      </c>
      <c r="AI11" s="205">
        <f t="shared" si="6"/>
        <v>0</v>
      </c>
      <c r="AJ11" s="205">
        <f t="shared" si="6"/>
        <v>0</v>
      </c>
      <c r="AK11" s="205">
        <f t="shared" si="6"/>
        <v>0</v>
      </c>
      <c r="AL11" s="205">
        <f t="shared" si="7"/>
        <v>0</v>
      </c>
      <c r="AM11" s="205">
        <f t="shared" si="7"/>
        <v>0</v>
      </c>
      <c r="AN11" s="205">
        <f t="shared" si="7"/>
        <v>0</v>
      </c>
      <c r="AO11" s="205">
        <f t="shared" si="7"/>
        <v>0</v>
      </c>
      <c r="AP11" s="205">
        <f t="shared" si="7"/>
        <v>0</v>
      </c>
      <c r="AQ11" s="205">
        <f t="shared" si="7"/>
        <v>0</v>
      </c>
      <c r="AR11" s="205">
        <f t="shared" si="7"/>
        <v>0</v>
      </c>
      <c r="AS11" s="205">
        <f t="shared" si="7"/>
        <v>0</v>
      </c>
      <c r="AT11" s="205">
        <f t="shared" si="7"/>
        <v>0</v>
      </c>
      <c r="AU11" s="205">
        <f t="shared" si="7"/>
        <v>0</v>
      </c>
      <c r="AV11" s="205">
        <f t="shared" si="7"/>
        <v>0</v>
      </c>
      <c r="AW11" s="205">
        <f t="shared" si="7"/>
        <v>0</v>
      </c>
      <c r="AX11" s="205">
        <f t="shared" si="8"/>
        <v>0</v>
      </c>
      <c r="AY11" s="205">
        <f t="shared" si="8"/>
        <v>0</v>
      </c>
      <c r="AZ11" s="205">
        <f t="shared" si="8"/>
        <v>0</v>
      </c>
      <c r="BA11" s="205">
        <f t="shared" si="8"/>
        <v>0</v>
      </c>
      <c r="BB11" s="205">
        <f t="shared" si="8"/>
        <v>0</v>
      </c>
      <c r="BC11" s="205">
        <f t="shared" si="8"/>
        <v>0</v>
      </c>
      <c r="BD11" s="205">
        <f t="shared" si="8"/>
        <v>0</v>
      </c>
      <c r="BE11" s="205">
        <f t="shared" si="8"/>
        <v>0</v>
      </c>
      <c r="BF11" s="205">
        <f t="shared" si="8"/>
        <v>0</v>
      </c>
      <c r="BG11" s="205">
        <f t="shared" si="8"/>
        <v>0</v>
      </c>
      <c r="BH11" s="205">
        <f t="shared" si="8"/>
        <v>0</v>
      </c>
      <c r="BI11" s="205">
        <f t="shared" si="8"/>
        <v>0</v>
      </c>
      <c r="BJ11" s="205">
        <f t="shared" si="8"/>
        <v>0</v>
      </c>
      <c r="BK11" s="205">
        <f t="shared" si="8"/>
        <v>0</v>
      </c>
      <c r="BL11" s="205">
        <f t="shared" si="8"/>
        <v>0</v>
      </c>
      <c r="BM11" s="205">
        <f t="shared" si="8"/>
        <v>0</v>
      </c>
      <c r="BN11" s="205">
        <f t="shared" si="8"/>
        <v>0</v>
      </c>
      <c r="BO11" s="205">
        <f t="shared" si="8"/>
        <v>0</v>
      </c>
      <c r="BP11" s="205">
        <f t="shared" si="8"/>
        <v>0</v>
      </c>
      <c r="BQ11" s="205">
        <f t="shared" si="8"/>
        <v>0</v>
      </c>
      <c r="BR11" s="205">
        <f t="shared" si="8"/>
        <v>0</v>
      </c>
      <c r="BS11" s="205">
        <f t="shared" si="8"/>
        <v>0</v>
      </c>
      <c r="BT11" s="205">
        <f t="shared" si="8"/>
        <v>0</v>
      </c>
      <c r="BU11" s="205">
        <f t="shared" si="8"/>
        <v>0</v>
      </c>
      <c r="BV11" s="205">
        <f t="shared" si="8"/>
        <v>0</v>
      </c>
      <c r="BW11" s="205">
        <f t="shared" si="8"/>
        <v>0</v>
      </c>
      <c r="BX11" s="205">
        <f t="shared" si="8"/>
        <v>0</v>
      </c>
      <c r="BY11" s="205">
        <f t="shared" si="8"/>
        <v>0</v>
      </c>
      <c r="BZ11" s="205">
        <f t="shared" si="8"/>
        <v>0</v>
      </c>
      <c r="CA11" s="205">
        <f t="shared" si="2"/>
        <v>0</v>
      </c>
      <c r="CB11" s="205">
        <f t="shared" si="2"/>
        <v>0</v>
      </c>
      <c r="CC11" s="205">
        <f t="shared" si="2"/>
        <v>0</v>
      </c>
      <c r="CD11" s="205">
        <f t="shared" si="2"/>
        <v>0</v>
      </c>
      <c r="CE11" s="205">
        <f t="shared" si="2"/>
        <v>0</v>
      </c>
      <c r="CF11" s="205">
        <f t="shared" si="2"/>
        <v>0</v>
      </c>
      <c r="CG11" s="205">
        <f t="shared" si="2"/>
        <v>0</v>
      </c>
      <c r="CH11" s="205">
        <f t="shared" si="2"/>
        <v>429</v>
      </c>
      <c r="CI11" s="205">
        <f t="shared" si="2"/>
        <v>429</v>
      </c>
      <c r="CJ11" s="205">
        <f t="shared" si="2"/>
        <v>429</v>
      </c>
      <c r="CK11" s="205">
        <f t="shared" si="2"/>
        <v>429</v>
      </c>
      <c r="CL11" s="205">
        <f t="shared" si="2"/>
        <v>429</v>
      </c>
      <c r="CM11" s="205">
        <f t="shared" si="2"/>
        <v>429</v>
      </c>
      <c r="CN11" s="205">
        <f t="shared" si="2"/>
        <v>429</v>
      </c>
      <c r="CO11" s="205">
        <f t="shared" si="2"/>
        <v>429</v>
      </c>
      <c r="CP11" s="205">
        <f t="shared" si="2"/>
        <v>429</v>
      </c>
      <c r="CQ11" s="205">
        <f t="shared" si="2"/>
        <v>429</v>
      </c>
      <c r="CR11" s="205">
        <f t="shared" si="2"/>
        <v>429</v>
      </c>
      <c r="CS11" s="205">
        <f t="shared" si="3"/>
        <v>429</v>
      </c>
      <c r="CT11" s="205">
        <f t="shared" si="3"/>
        <v>429</v>
      </c>
      <c r="CU11" s="205">
        <f t="shared" si="3"/>
        <v>429</v>
      </c>
      <c r="CV11" s="205">
        <f t="shared" si="3"/>
        <v>429</v>
      </c>
      <c r="CW11" s="205">
        <f t="shared" si="3"/>
        <v>0</v>
      </c>
      <c r="CX11" s="205">
        <f t="shared" si="3"/>
        <v>0</v>
      </c>
      <c r="CY11" s="205">
        <f t="shared" si="3"/>
        <v>0</v>
      </c>
      <c r="CZ11" s="205">
        <f t="shared" si="3"/>
        <v>0</v>
      </c>
      <c r="DA11" s="205">
        <f t="shared" si="3"/>
        <v>0</v>
      </c>
      <c r="DB11" s="205"/>
    </row>
    <row r="12" spans="1:106">
      <c r="A12" s="202" t="str">
        <f>Income!A82</f>
        <v>Small business/petty trading</v>
      </c>
      <c r="B12" s="204">
        <f>Income!B82</f>
        <v>0</v>
      </c>
      <c r="C12" s="204">
        <f>Income!C82</f>
        <v>0</v>
      </c>
      <c r="D12" s="204">
        <f>Income!D82</f>
        <v>2160</v>
      </c>
      <c r="E12" s="204">
        <f>Income!E82</f>
        <v>0</v>
      </c>
      <c r="F12" s="205">
        <f t="shared" si="4"/>
        <v>0</v>
      </c>
      <c r="G12" s="205">
        <f t="shared" si="4"/>
        <v>0</v>
      </c>
      <c r="H12" s="205">
        <f t="shared" si="4"/>
        <v>0</v>
      </c>
      <c r="I12" s="205">
        <f t="shared" si="4"/>
        <v>0</v>
      </c>
      <c r="J12" s="205">
        <f t="shared" si="4"/>
        <v>0</v>
      </c>
      <c r="K12" s="205">
        <f t="shared" si="4"/>
        <v>0</v>
      </c>
      <c r="L12" s="205">
        <f t="shared" si="4"/>
        <v>0</v>
      </c>
      <c r="M12" s="205">
        <f t="shared" si="4"/>
        <v>0</v>
      </c>
      <c r="N12" s="205">
        <f t="shared" si="4"/>
        <v>0</v>
      </c>
      <c r="O12" s="205">
        <f t="shared" si="4"/>
        <v>0</v>
      </c>
      <c r="P12" s="205">
        <f t="shared" si="4"/>
        <v>0</v>
      </c>
      <c r="Q12" s="205">
        <f t="shared" si="4"/>
        <v>0</v>
      </c>
      <c r="R12" s="205">
        <f t="shared" si="4"/>
        <v>0</v>
      </c>
      <c r="S12" s="205">
        <f t="shared" si="4"/>
        <v>0</v>
      </c>
      <c r="T12" s="205">
        <f t="shared" si="4"/>
        <v>0</v>
      </c>
      <c r="U12" s="205">
        <f t="shared" si="4"/>
        <v>0</v>
      </c>
      <c r="V12" s="205">
        <f t="shared" si="6"/>
        <v>0</v>
      </c>
      <c r="W12" s="205">
        <f t="shared" si="6"/>
        <v>0</v>
      </c>
      <c r="X12" s="205">
        <f t="shared" si="6"/>
        <v>0</v>
      </c>
      <c r="Y12" s="205">
        <f t="shared" si="6"/>
        <v>0</v>
      </c>
      <c r="Z12" s="205">
        <f t="shared" si="6"/>
        <v>0</v>
      </c>
      <c r="AA12" s="205">
        <f t="shared" si="6"/>
        <v>0</v>
      </c>
      <c r="AB12" s="205">
        <f t="shared" si="6"/>
        <v>0</v>
      </c>
      <c r="AC12" s="205">
        <f t="shared" si="6"/>
        <v>0</v>
      </c>
      <c r="AD12" s="205">
        <f t="shared" si="6"/>
        <v>0</v>
      </c>
      <c r="AE12" s="205">
        <f t="shared" si="6"/>
        <v>0</v>
      </c>
      <c r="AF12" s="205">
        <f t="shared" si="6"/>
        <v>0</v>
      </c>
      <c r="AG12" s="205">
        <f t="shared" si="6"/>
        <v>0</v>
      </c>
      <c r="AH12" s="205">
        <f t="shared" si="6"/>
        <v>0</v>
      </c>
      <c r="AI12" s="205">
        <f t="shared" si="6"/>
        <v>0</v>
      </c>
      <c r="AJ12" s="205">
        <f t="shared" si="6"/>
        <v>0</v>
      </c>
      <c r="AK12" s="205">
        <f t="shared" si="6"/>
        <v>0</v>
      </c>
      <c r="AL12" s="205">
        <f t="shared" si="7"/>
        <v>0</v>
      </c>
      <c r="AM12" s="205">
        <f t="shared" si="7"/>
        <v>0</v>
      </c>
      <c r="AN12" s="205">
        <f t="shared" si="7"/>
        <v>0</v>
      </c>
      <c r="AO12" s="205">
        <f t="shared" si="7"/>
        <v>0</v>
      </c>
      <c r="AP12" s="205">
        <f t="shared" si="7"/>
        <v>0</v>
      </c>
      <c r="AQ12" s="205">
        <f t="shared" si="7"/>
        <v>0</v>
      </c>
      <c r="AR12" s="205">
        <f t="shared" si="7"/>
        <v>0</v>
      </c>
      <c r="AS12" s="205">
        <f t="shared" si="7"/>
        <v>0</v>
      </c>
      <c r="AT12" s="205">
        <f t="shared" si="7"/>
        <v>0</v>
      </c>
      <c r="AU12" s="205">
        <f t="shared" si="7"/>
        <v>0</v>
      </c>
      <c r="AV12" s="205">
        <f t="shared" si="7"/>
        <v>0</v>
      </c>
      <c r="AW12" s="205">
        <f t="shared" si="7"/>
        <v>0</v>
      </c>
      <c r="AX12" s="205">
        <f t="shared" si="8"/>
        <v>0</v>
      </c>
      <c r="AY12" s="205">
        <f t="shared" si="8"/>
        <v>0</v>
      </c>
      <c r="AZ12" s="205">
        <f t="shared" si="8"/>
        <v>0</v>
      </c>
      <c r="BA12" s="205">
        <f t="shared" si="8"/>
        <v>0</v>
      </c>
      <c r="BB12" s="205">
        <f t="shared" si="8"/>
        <v>0</v>
      </c>
      <c r="BC12" s="205">
        <f t="shared" si="8"/>
        <v>0</v>
      </c>
      <c r="BD12" s="205">
        <f t="shared" si="8"/>
        <v>0</v>
      </c>
      <c r="BE12" s="205">
        <f t="shared" si="8"/>
        <v>0</v>
      </c>
      <c r="BF12" s="205">
        <f t="shared" si="8"/>
        <v>0</v>
      </c>
      <c r="BG12" s="205">
        <f t="shared" si="8"/>
        <v>0</v>
      </c>
      <c r="BH12" s="205">
        <f t="shared" si="8"/>
        <v>0</v>
      </c>
      <c r="BI12" s="205">
        <f t="shared" si="8"/>
        <v>0</v>
      </c>
      <c r="BJ12" s="205">
        <f t="shared" si="8"/>
        <v>0</v>
      </c>
      <c r="BK12" s="205">
        <f t="shared" si="8"/>
        <v>0</v>
      </c>
      <c r="BL12" s="205">
        <f t="shared" si="8"/>
        <v>0</v>
      </c>
      <c r="BM12" s="205">
        <f t="shared" si="8"/>
        <v>0</v>
      </c>
      <c r="BN12" s="205">
        <f t="shared" si="8"/>
        <v>0</v>
      </c>
      <c r="BO12" s="205">
        <f t="shared" si="8"/>
        <v>0</v>
      </c>
      <c r="BP12" s="205">
        <f t="shared" si="8"/>
        <v>0</v>
      </c>
      <c r="BQ12" s="205">
        <f t="shared" si="8"/>
        <v>0</v>
      </c>
      <c r="BR12" s="205">
        <f t="shared" si="8"/>
        <v>0</v>
      </c>
      <c r="BS12" s="205">
        <f t="shared" si="8"/>
        <v>0</v>
      </c>
      <c r="BT12" s="205">
        <f t="shared" si="8"/>
        <v>0</v>
      </c>
      <c r="BU12" s="205">
        <f t="shared" si="8"/>
        <v>0</v>
      </c>
      <c r="BV12" s="205">
        <f t="shared" si="8"/>
        <v>0</v>
      </c>
      <c r="BW12" s="205">
        <f t="shared" si="8"/>
        <v>0</v>
      </c>
      <c r="BX12" s="205">
        <f t="shared" si="8"/>
        <v>0</v>
      </c>
      <c r="BY12" s="205">
        <f t="shared" si="8"/>
        <v>0</v>
      </c>
      <c r="BZ12" s="205">
        <f t="shared" si="8"/>
        <v>0</v>
      </c>
      <c r="CA12" s="205">
        <f t="shared" si="2"/>
        <v>0</v>
      </c>
      <c r="CB12" s="205">
        <f t="shared" si="2"/>
        <v>0</v>
      </c>
      <c r="CC12" s="205">
        <f t="shared" si="2"/>
        <v>0</v>
      </c>
      <c r="CD12" s="205">
        <f t="shared" si="2"/>
        <v>0</v>
      </c>
      <c r="CE12" s="205">
        <f t="shared" si="2"/>
        <v>0</v>
      </c>
      <c r="CF12" s="205">
        <f t="shared" si="2"/>
        <v>0</v>
      </c>
      <c r="CG12" s="205">
        <f t="shared" si="2"/>
        <v>0</v>
      </c>
      <c r="CH12" s="205">
        <f t="shared" si="2"/>
        <v>2160</v>
      </c>
      <c r="CI12" s="205">
        <f t="shared" si="2"/>
        <v>2160</v>
      </c>
      <c r="CJ12" s="205">
        <f t="shared" si="2"/>
        <v>2160</v>
      </c>
      <c r="CK12" s="205">
        <f t="shared" si="2"/>
        <v>2160</v>
      </c>
      <c r="CL12" s="205">
        <f t="shared" si="2"/>
        <v>2160</v>
      </c>
      <c r="CM12" s="205">
        <f t="shared" si="2"/>
        <v>2160</v>
      </c>
      <c r="CN12" s="205">
        <f t="shared" si="2"/>
        <v>2160</v>
      </c>
      <c r="CO12" s="205">
        <f t="shared" si="2"/>
        <v>2160</v>
      </c>
      <c r="CP12" s="205">
        <f t="shared" si="2"/>
        <v>2160</v>
      </c>
      <c r="CQ12" s="205">
        <f t="shared" si="2"/>
        <v>2160</v>
      </c>
      <c r="CR12" s="205">
        <f t="shared" si="2"/>
        <v>2160</v>
      </c>
      <c r="CS12" s="205">
        <f t="shared" si="3"/>
        <v>2160</v>
      </c>
      <c r="CT12" s="205">
        <f t="shared" si="3"/>
        <v>2160</v>
      </c>
      <c r="CU12" s="205">
        <f t="shared" si="3"/>
        <v>2160</v>
      </c>
      <c r="CV12" s="205">
        <f t="shared" si="3"/>
        <v>2160</v>
      </c>
      <c r="CW12" s="205">
        <f t="shared" si="3"/>
        <v>0</v>
      </c>
      <c r="CX12" s="205">
        <f t="shared" si="3"/>
        <v>0</v>
      </c>
      <c r="CY12" s="205">
        <f t="shared" si="3"/>
        <v>0</v>
      </c>
      <c r="CZ12" s="205">
        <f t="shared" si="3"/>
        <v>0</v>
      </c>
      <c r="DA12" s="205">
        <f t="shared" si="3"/>
        <v>0</v>
      </c>
      <c r="DB12" s="205"/>
    </row>
    <row r="13" spans="1:106">
      <c r="A13" s="202" t="str">
        <f>Income!A83</f>
        <v>Food transfer - official</v>
      </c>
      <c r="B13" s="204">
        <f>Income!B83</f>
        <v>807.33808994213837</v>
      </c>
      <c r="C13" s="204">
        <f>Income!C83</f>
        <v>807.33808994213837</v>
      </c>
      <c r="D13" s="204">
        <f>Income!D83</f>
        <v>807.33808994213837</v>
      </c>
      <c r="E13" s="204">
        <f>Income!E83</f>
        <v>717.63385772634524</v>
      </c>
      <c r="F13" s="205">
        <f t="shared" si="4"/>
        <v>807.33808994213837</v>
      </c>
      <c r="G13" s="205">
        <f t="shared" si="4"/>
        <v>807.33808994213837</v>
      </c>
      <c r="H13" s="205">
        <f t="shared" si="4"/>
        <v>807.33808994213837</v>
      </c>
      <c r="I13" s="205">
        <f t="shared" si="4"/>
        <v>807.33808994213837</v>
      </c>
      <c r="J13" s="205">
        <f t="shared" si="4"/>
        <v>807.33808994213837</v>
      </c>
      <c r="K13" s="205">
        <f t="shared" si="4"/>
        <v>807.33808994213837</v>
      </c>
      <c r="L13" s="205">
        <f t="shared" si="4"/>
        <v>807.33808994213837</v>
      </c>
      <c r="M13" s="205">
        <f t="shared" si="4"/>
        <v>807.33808994213837</v>
      </c>
      <c r="N13" s="205">
        <f t="shared" si="4"/>
        <v>807.33808994213837</v>
      </c>
      <c r="O13" s="205">
        <f t="shared" si="4"/>
        <v>807.33808994213837</v>
      </c>
      <c r="P13" s="205">
        <f t="shared" si="4"/>
        <v>807.33808994213837</v>
      </c>
      <c r="Q13" s="205">
        <f t="shared" si="4"/>
        <v>807.33808994213837</v>
      </c>
      <c r="R13" s="205">
        <f t="shared" si="4"/>
        <v>807.33808994213837</v>
      </c>
      <c r="S13" s="205">
        <f t="shared" si="4"/>
        <v>807.33808994213837</v>
      </c>
      <c r="T13" s="205">
        <f t="shared" si="4"/>
        <v>807.33808994213837</v>
      </c>
      <c r="U13" s="205">
        <f t="shared" si="4"/>
        <v>807.33808994213837</v>
      </c>
      <c r="V13" s="205">
        <f t="shared" si="6"/>
        <v>807.33808994213837</v>
      </c>
      <c r="W13" s="205">
        <f t="shared" si="6"/>
        <v>807.33808994213837</v>
      </c>
      <c r="X13" s="205">
        <f t="shared" si="6"/>
        <v>807.33808994213837</v>
      </c>
      <c r="Y13" s="205">
        <f t="shared" si="6"/>
        <v>807.33808994213837</v>
      </c>
      <c r="Z13" s="205">
        <f t="shared" si="6"/>
        <v>807.33808994213837</v>
      </c>
      <c r="AA13" s="205">
        <f t="shared" si="6"/>
        <v>807.33808994213837</v>
      </c>
      <c r="AB13" s="205">
        <f t="shared" si="6"/>
        <v>807.33808994213837</v>
      </c>
      <c r="AC13" s="205">
        <f t="shared" si="6"/>
        <v>807.33808994213837</v>
      </c>
      <c r="AD13" s="205">
        <f t="shared" si="6"/>
        <v>807.33808994213837</v>
      </c>
      <c r="AE13" s="205">
        <f t="shared" si="6"/>
        <v>807.33808994213837</v>
      </c>
      <c r="AF13" s="205">
        <f t="shared" si="6"/>
        <v>807.33808994213837</v>
      </c>
      <c r="AG13" s="205">
        <f t="shared" si="6"/>
        <v>807.33808994213837</v>
      </c>
      <c r="AH13" s="205">
        <f t="shared" si="6"/>
        <v>807.33808994213837</v>
      </c>
      <c r="AI13" s="205">
        <f t="shared" si="6"/>
        <v>807.33808994213837</v>
      </c>
      <c r="AJ13" s="205">
        <f t="shared" si="6"/>
        <v>807.33808994213837</v>
      </c>
      <c r="AK13" s="205">
        <f t="shared" si="6"/>
        <v>807.33808994213837</v>
      </c>
      <c r="AL13" s="205">
        <f t="shared" si="7"/>
        <v>807.33808994213837</v>
      </c>
      <c r="AM13" s="205">
        <f t="shared" si="7"/>
        <v>807.33808994213837</v>
      </c>
      <c r="AN13" s="205">
        <f t="shared" si="7"/>
        <v>807.33808994213837</v>
      </c>
      <c r="AO13" s="205">
        <f t="shared" si="7"/>
        <v>807.33808994213837</v>
      </c>
      <c r="AP13" s="205">
        <f t="shared" si="7"/>
        <v>807.33808994213837</v>
      </c>
      <c r="AQ13" s="205">
        <f t="shared" si="7"/>
        <v>807.33808994213837</v>
      </c>
      <c r="AR13" s="205">
        <f t="shared" si="7"/>
        <v>807.33808994213837</v>
      </c>
      <c r="AS13" s="205">
        <f t="shared" si="7"/>
        <v>807.33808994213837</v>
      </c>
      <c r="AT13" s="205">
        <f t="shared" si="7"/>
        <v>807.33808994213837</v>
      </c>
      <c r="AU13" s="205">
        <f t="shared" si="7"/>
        <v>807.33808994213837</v>
      </c>
      <c r="AV13" s="205">
        <f t="shared" si="7"/>
        <v>807.33808994213837</v>
      </c>
      <c r="AW13" s="205">
        <f t="shared" si="7"/>
        <v>807.33808994213837</v>
      </c>
      <c r="AX13" s="205">
        <f t="shared" si="8"/>
        <v>807.33808994213837</v>
      </c>
      <c r="AY13" s="205">
        <f t="shared" si="8"/>
        <v>807.33808994213837</v>
      </c>
      <c r="AZ13" s="205">
        <f t="shared" si="8"/>
        <v>807.33808994213837</v>
      </c>
      <c r="BA13" s="205">
        <f t="shared" si="8"/>
        <v>807.33808994213837</v>
      </c>
      <c r="BB13" s="205">
        <f t="shared" si="8"/>
        <v>807.33808994213837</v>
      </c>
      <c r="BC13" s="205">
        <f t="shared" si="8"/>
        <v>807.33808994213837</v>
      </c>
      <c r="BD13" s="205">
        <f t="shared" si="8"/>
        <v>807.33808994213837</v>
      </c>
      <c r="BE13" s="205">
        <f t="shared" si="8"/>
        <v>807.33808994213837</v>
      </c>
      <c r="BF13" s="205">
        <f t="shared" si="8"/>
        <v>807.33808994213837</v>
      </c>
      <c r="BG13" s="205">
        <f t="shared" si="8"/>
        <v>807.33808994213837</v>
      </c>
      <c r="BH13" s="205">
        <f t="shared" si="8"/>
        <v>807.33808994213837</v>
      </c>
      <c r="BI13" s="205">
        <f t="shared" si="8"/>
        <v>807.33808994213837</v>
      </c>
      <c r="BJ13" s="205">
        <f t="shared" si="8"/>
        <v>807.33808994213837</v>
      </c>
      <c r="BK13" s="205">
        <f t="shared" si="8"/>
        <v>807.33808994213837</v>
      </c>
      <c r="BL13" s="205">
        <f t="shared" si="8"/>
        <v>807.33808994213837</v>
      </c>
      <c r="BM13" s="205">
        <f t="shared" si="8"/>
        <v>807.33808994213837</v>
      </c>
      <c r="BN13" s="205">
        <f t="shared" si="8"/>
        <v>807.33808994213837</v>
      </c>
      <c r="BO13" s="205">
        <f t="shared" si="8"/>
        <v>807.33808994213837</v>
      </c>
      <c r="BP13" s="205">
        <f t="shared" si="8"/>
        <v>807.33808994213837</v>
      </c>
      <c r="BQ13" s="205">
        <f t="shared" si="8"/>
        <v>807.33808994213837</v>
      </c>
      <c r="BR13" s="205">
        <f t="shared" si="8"/>
        <v>807.33808994213837</v>
      </c>
      <c r="BS13" s="205">
        <f t="shared" si="8"/>
        <v>807.33808994213837</v>
      </c>
      <c r="BT13" s="205">
        <f t="shared" si="8"/>
        <v>807.33808994213837</v>
      </c>
      <c r="BU13" s="205">
        <f t="shared" si="8"/>
        <v>807.33808994213837</v>
      </c>
      <c r="BV13" s="205">
        <f t="shared" si="8"/>
        <v>807.33808994213837</v>
      </c>
      <c r="BW13" s="205">
        <f t="shared" si="8"/>
        <v>807.33808994213837</v>
      </c>
      <c r="BX13" s="205">
        <f t="shared" si="8"/>
        <v>807.33808994213837</v>
      </c>
      <c r="BY13" s="205">
        <f t="shared" si="8"/>
        <v>807.33808994213837</v>
      </c>
      <c r="BZ13" s="205">
        <f t="shared" si="8"/>
        <v>807.33808994213837</v>
      </c>
      <c r="CA13" s="205">
        <f t="shared" si="2"/>
        <v>807.33808994213837</v>
      </c>
      <c r="CB13" s="205">
        <f t="shared" si="2"/>
        <v>807.33808994213837</v>
      </c>
      <c r="CC13" s="205">
        <f t="shared" si="2"/>
        <v>807.33808994213837</v>
      </c>
      <c r="CD13" s="205">
        <f t="shared" si="2"/>
        <v>807.33808994213837</v>
      </c>
      <c r="CE13" s="205">
        <f t="shared" si="2"/>
        <v>807.33808994213837</v>
      </c>
      <c r="CF13" s="205">
        <f t="shared" si="2"/>
        <v>807.33808994213837</v>
      </c>
      <c r="CG13" s="205">
        <f t="shared" si="2"/>
        <v>807.33808994213837</v>
      </c>
      <c r="CH13" s="205">
        <f t="shared" si="2"/>
        <v>807.33808994213837</v>
      </c>
      <c r="CI13" s="205">
        <f t="shared" si="2"/>
        <v>807.33808994213837</v>
      </c>
      <c r="CJ13" s="205">
        <f t="shared" si="2"/>
        <v>807.33808994213837</v>
      </c>
      <c r="CK13" s="205">
        <f t="shared" si="2"/>
        <v>807.33808994213837</v>
      </c>
      <c r="CL13" s="205">
        <f t="shared" si="2"/>
        <v>807.33808994213837</v>
      </c>
      <c r="CM13" s="205">
        <f t="shared" si="2"/>
        <v>807.33808994213837</v>
      </c>
      <c r="CN13" s="205">
        <f t="shared" si="2"/>
        <v>807.33808994213837</v>
      </c>
      <c r="CO13" s="205">
        <f t="shared" si="2"/>
        <v>807.33808994213837</v>
      </c>
      <c r="CP13" s="205">
        <f t="shared" si="2"/>
        <v>807.33808994213837</v>
      </c>
      <c r="CQ13" s="205">
        <f t="shared" si="2"/>
        <v>807.33808994213837</v>
      </c>
      <c r="CR13" s="205">
        <f t="shared" si="2"/>
        <v>807.33808994213837</v>
      </c>
      <c r="CS13" s="205">
        <f t="shared" si="3"/>
        <v>807.33808994213837</v>
      </c>
      <c r="CT13" s="205">
        <f t="shared" si="3"/>
        <v>807.33808994213837</v>
      </c>
      <c r="CU13" s="205">
        <f t="shared" si="3"/>
        <v>807.33808994213837</v>
      </c>
      <c r="CV13" s="205">
        <f t="shared" si="3"/>
        <v>807.33808994213837</v>
      </c>
      <c r="CW13" s="205">
        <f t="shared" si="3"/>
        <v>717.63385772634524</v>
      </c>
      <c r="CX13" s="205">
        <f t="shared" si="3"/>
        <v>717.63385772634524</v>
      </c>
      <c r="CY13" s="205">
        <f t="shared" si="3"/>
        <v>717.63385772634524</v>
      </c>
      <c r="CZ13" s="205">
        <f t="shared" si="3"/>
        <v>717.63385772634524</v>
      </c>
      <c r="DA13" s="205">
        <f t="shared" si="3"/>
        <v>717.63385772634524</v>
      </c>
      <c r="DB13" s="205"/>
    </row>
    <row r="14" spans="1:106">
      <c r="A14" s="202" t="str">
        <f>Income!A85</f>
        <v>Cash transfer - official</v>
      </c>
      <c r="B14" s="204">
        <f>Income!B85</f>
        <v>22020</v>
      </c>
      <c r="C14" s="204">
        <f>Income!C85</f>
        <v>22020</v>
      </c>
      <c r="D14" s="204">
        <f>Income!D85</f>
        <v>22020</v>
      </c>
      <c r="E14" s="204">
        <f>Income!E85</f>
        <v>5477.333333333333</v>
      </c>
      <c r="F14" s="205">
        <f t="shared" si="4"/>
        <v>22020</v>
      </c>
      <c r="G14" s="205">
        <f t="shared" si="4"/>
        <v>22020</v>
      </c>
      <c r="H14" s="205">
        <f t="shared" si="4"/>
        <v>22020</v>
      </c>
      <c r="I14" s="205">
        <f t="shared" si="4"/>
        <v>22020</v>
      </c>
      <c r="J14" s="205">
        <f t="shared" si="4"/>
        <v>22020</v>
      </c>
      <c r="K14" s="205">
        <f t="shared" si="4"/>
        <v>22020</v>
      </c>
      <c r="L14" s="205">
        <f t="shared" si="4"/>
        <v>22020</v>
      </c>
      <c r="M14" s="205">
        <f t="shared" si="4"/>
        <v>22020</v>
      </c>
      <c r="N14" s="205">
        <f t="shared" si="4"/>
        <v>22020</v>
      </c>
      <c r="O14" s="205">
        <f t="shared" si="4"/>
        <v>22020</v>
      </c>
      <c r="P14" s="205">
        <f t="shared" si="4"/>
        <v>22020</v>
      </c>
      <c r="Q14" s="205">
        <f t="shared" si="4"/>
        <v>22020</v>
      </c>
      <c r="R14" s="205">
        <f t="shared" si="4"/>
        <v>22020</v>
      </c>
      <c r="S14" s="205">
        <f t="shared" si="4"/>
        <v>22020</v>
      </c>
      <c r="T14" s="205">
        <f t="shared" si="4"/>
        <v>22020</v>
      </c>
      <c r="U14" s="205">
        <f t="shared" si="4"/>
        <v>22020</v>
      </c>
      <c r="V14" s="205">
        <f t="shared" si="6"/>
        <v>22020</v>
      </c>
      <c r="W14" s="205">
        <f t="shared" si="6"/>
        <v>22020</v>
      </c>
      <c r="X14" s="205">
        <f t="shared" si="6"/>
        <v>22020</v>
      </c>
      <c r="Y14" s="205">
        <f t="shared" si="6"/>
        <v>22020</v>
      </c>
      <c r="Z14" s="205">
        <f t="shared" si="6"/>
        <v>22020</v>
      </c>
      <c r="AA14" s="205">
        <f t="shared" si="6"/>
        <v>22020</v>
      </c>
      <c r="AB14" s="205">
        <f t="shared" si="6"/>
        <v>22020</v>
      </c>
      <c r="AC14" s="205">
        <f t="shared" si="6"/>
        <v>22020</v>
      </c>
      <c r="AD14" s="205">
        <f t="shared" si="6"/>
        <v>22020</v>
      </c>
      <c r="AE14" s="205">
        <f t="shared" si="6"/>
        <v>22020</v>
      </c>
      <c r="AF14" s="205">
        <f t="shared" si="6"/>
        <v>22020</v>
      </c>
      <c r="AG14" s="205">
        <f t="shared" si="6"/>
        <v>22020</v>
      </c>
      <c r="AH14" s="205">
        <f t="shared" si="6"/>
        <v>22020</v>
      </c>
      <c r="AI14" s="205">
        <f t="shared" si="6"/>
        <v>22020</v>
      </c>
      <c r="AJ14" s="205">
        <f t="shared" si="6"/>
        <v>22020</v>
      </c>
      <c r="AK14" s="205">
        <f t="shared" si="6"/>
        <v>22020</v>
      </c>
      <c r="AL14" s="205">
        <f t="shared" si="7"/>
        <v>22020</v>
      </c>
      <c r="AM14" s="205">
        <f t="shared" si="7"/>
        <v>22020</v>
      </c>
      <c r="AN14" s="205">
        <f t="shared" si="7"/>
        <v>22020</v>
      </c>
      <c r="AO14" s="205">
        <f t="shared" si="7"/>
        <v>22020</v>
      </c>
      <c r="AP14" s="205">
        <f t="shared" si="7"/>
        <v>22020</v>
      </c>
      <c r="AQ14" s="205">
        <f t="shared" si="7"/>
        <v>22020</v>
      </c>
      <c r="AR14" s="205">
        <f t="shared" si="7"/>
        <v>22020</v>
      </c>
      <c r="AS14" s="205">
        <f t="shared" si="7"/>
        <v>22020</v>
      </c>
      <c r="AT14" s="205">
        <f t="shared" si="7"/>
        <v>22020</v>
      </c>
      <c r="AU14" s="205">
        <f t="shared" si="7"/>
        <v>22020</v>
      </c>
      <c r="AV14" s="205">
        <f t="shared" si="7"/>
        <v>22020</v>
      </c>
      <c r="AW14" s="205">
        <f t="shared" si="7"/>
        <v>22020</v>
      </c>
      <c r="AX14" s="205">
        <f t="shared" si="7"/>
        <v>22020</v>
      </c>
      <c r="AY14" s="205">
        <f t="shared" si="7"/>
        <v>22020</v>
      </c>
      <c r="AZ14" s="205">
        <f t="shared" si="7"/>
        <v>22020</v>
      </c>
      <c r="BA14" s="205">
        <f t="shared" si="7"/>
        <v>22020</v>
      </c>
      <c r="BB14" s="205">
        <f t="shared" si="8"/>
        <v>22020</v>
      </c>
      <c r="BC14" s="205">
        <f t="shared" si="8"/>
        <v>22020</v>
      </c>
      <c r="BD14" s="205">
        <f t="shared" si="8"/>
        <v>22020</v>
      </c>
      <c r="BE14" s="205">
        <f t="shared" si="8"/>
        <v>22020</v>
      </c>
      <c r="BF14" s="205">
        <f t="shared" si="8"/>
        <v>22020</v>
      </c>
      <c r="BG14" s="205">
        <f t="shared" si="8"/>
        <v>22020</v>
      </c>
      <c r="BH14" s="205">
        <f t="shared" si="8"/>
        <v>22020</v>
      </c>
      <c r="BI14" s="205">
        <f t="shared" si="8"/>
        <v>22020</v>
      </c>
      <c r="BJ14" s="205">
        <f t="shared" si="8"/>
        <v>22020</v>
      </c>
      <c r="BK14" s="205">
        <f t="shared" si="8"/>
        <v>22020</v>
      </c>
      <c r="BL14" s="205">
        <f t="shared" si="8"/>
        <v>22020</v>
      </c>
      <c r="BM14" s="205">
        <f t="shared" si="8"/>
        <v>22020</v>
      </c>
      <c r="BN14" s="205">
        <f t="shared" si="8"/>
        <v>22020</v>
      </c>
      <c r="BO14" s="205">
        <f t="shared" si="8"/>
        <v>22020</v>
      </c>
      <c r="BP14" s="205">
        <f t="shared" si="8"/>
        <v>22020</v>
      </c>
      <c r="BQ14" s="205">
        <f t="shared" si="8"/>
        <v>22020</v>
      </c>
      <c r="BR14" s="205">
        <f t="shared" si="8"/>
        <v>22020</v>
      </c>
      <c r="BS14" s="205">
        <f t="shared" si="8"/>
        <v>22020</v>
      </c>
      <c r="BT14" s="205">
        <f t="shared" si="8"/>
        <v>22020</v>
      </c>
      <c r="BU14" s="205">
        <f t="shared" si="8"/>
        <v>22020</v>
      </c>
      <c r="BV14" s="205">
        <f t="shared" si="8"/>
        <v>22020</v>
      </c>
      <c r="BW14" s="205">
        <f t="shared" si="8"/>
        <v>22020</v>
      </c>
      <c r="BX14" s="205">
        <f t="shared" si="8"/>
        <v>22020</v>
      </c>
      <c r="BY14" s="205">
        <f t="shared" si="8"/>
        <v>22020</v>
      </c>
      <c r="BZ14" s="205">
        <f t="shared" si="8"/>
        <v>22020</v>
      </c>
      <c r="CA14" s="205">
        <f t="shared" si="2"/>
        <v>22020</v>
      </c>
      <c r="CB14" s="205">
        <f t="shared" si="2"/>
        <v>22020</v>
      </c>
      <c r="CC14" s="205">
        <f t="shared" si="2"/>
        <v>22020</v>
      </c>
      <c r="CD14" s="205">
        <f t="shared" si="2"/>
        <v>22020</v>
      </c>
      <c r="CE14" s="205">
        <f t="shared" si="2"/>
        <v>22020</v>
      </c>
      <c r="CF14" s="205">
        <f t="shared" si="2"/>
        <v>22020</v>
      </c>
      <c r="CG14" s="205">
        <f t="shared" si="2"/>
        <v>22020</v>
      </c>
      <c r="CH14" s="205">
        <f t="shared" si="2"/>
        <v>22020</v>
      </c>
      <c r="CI14" s="205">
        <f t="shared" si="2"/>
        <v>22020</v>
      </c>
      <c r="CJ14" s="205">
        <f t="shared" si="2"/>
        <v>22020</v>
      </c>
      <c r="CK14" s="205">
        <f t="shared" si="2"/>
        <v>22020</v>
      </c>
      <c r="CL14" s="205">
        <f t="shared" si="2"/>
        <v>22020</v>
      </c>
      <c r="CM14" s="205">
        <f t="shared" si="2"/>
        <v>22020</v>
      </c>
      <c r="CN14" s="205">
        <f t="shared" si="2"/>
        <v>22020</v>
      </c>
      <c r="CO14" s="205">
        <f t="shared" si="2"/>
        <v>22020</v>
      </c>
      <c r="CP14" s="205">
        <f t="shared" si="2"/>
        <v>22020</v>
      </c>
      <c r="CQ14" s="205">
        <f t="shared" si="2"/>
        <v>22020</v>
      </c>
      <c r="CR14" s="205">
        <f t="shared" si="2"/>
        <v>22020</v>
      </c>
      <c r="CS14" s="205">
        <f t="shared" si="3"/>
        <v>22020</v>
      </c>
      <c r="CT14" s="205">
        <f t="shared" si="3"/>
        <v>22020</v>
      </c>
      <c r="CU14" s="205">
        <f t="shared" si="3"/>
        <v>22020</v>
      </c>
      <c r="CV14" s="205">
        <f t="shared" si="3"/>
        <v>22020</v>
      </c>
      <c r="CW14" s="205">
        <f t="shared" si="3"/>
        <v>5477.333333333333</v>
      </c>
      <c r="CX14" s="205">
        <f t="shared" si="3"/>
        <v>5477.333333333333</v>
      </c>
      <c r="CY14" s="205">
        <f t="shared" si="3"/>
        <v>5477.333333333333</v>
      </c>
      <c r="CZ14" s="205">
        <f t="shared" si="3"/>
        <v>5477.333333333333</v>
      </c>
      <c r="DA14" s="205">
        <f t="shared" si="3"/>
        <v>5477.333333333333</v>
      </c>
      <c r="DB14" s="205"/>
    </row>
    <row r="15" spans="1:106">
      <c r="A15" s="202" t="str">
        <f>Income!A86</f>
        <v>Cash transfer - gifts</v>
      </c>
      <c r="B15" s="204">
        <f>Income!B86</f>
        <v>0</v>
      </c>
      <c r="C15" s="204">
        <f>Income!C86</f>
        <v>0</v>
      </c>
      <c r="D15" s="204">
        <f>Income!D86</f>
        <v>0</v>
      </c>
      <c r="E15" s="204">
        <f>Income!E86</f>
        <v>0</v>
      </c>
      <c r="F15" s="205">
        <f t="shared" si="4"/>
        <v>0</v>
      </c>
      <c r="G15" s="205">
        <f t="shared" si="4"/>
        <v>0</v>
      </c>
      <c r="H15" s="205">
        <f t="shared" si="4"/>
        <v>0</v>
      </c>
      <c r="I15" s="205">
        <f t="shared" si="4"/>
        <v>0</v>
      </c>
      <c r="J15" s="205">
        <f t="shared" si="4"/>
        <v>0</v>
      </c>
      <c r="K15" s="205">
        <f t="shared" si="4"/>
        <v>0</v>
      </c>
      <c r="L15" s="205">
        <f t="shared" si="4"/>
        <v>0</v>
      </c>
      <c r="M15" s="205">
        <f t="shared" si="4"/>
        <v>0</v>
      </c>
      <c r="N15" s="205">
        <f t="shared" si="4"/>
        <v>0</v>
      </c>
      <c r="O15" s="205">
        <f t="shared" si="4"/>
        <v>0</v>
      </c>
      <c r="P15" s="205">
        <f t="shared" si="4"/>
        <v>0</v>
      </c>
      <c r="Q15" s="205">
        <f t="shared" si="4"/>
        <v>0</v>
      </c>
      <c r="R15" s="205">
        <f t="shared" si="4"/>
        <v>0</v>
      </c>
      <c r="S15" s="205">
        <f t="shared" si="4"/>
        <v>0</v>
      </c>
      <c r="T15" s="205">
        <f t="shared" si="4"/>
        <v>0</v>
      </c>
      <c r="U15" s="205">
        <f t="shared" si="4"/>
        <v>0</v>
      </c>
      <c r="V15" s="205">
        <f t="shared" si="6"/>
        <v>0</v>
      </c>
      <c r="W15" s="205">
        <f t="shared" si="6"/>
        <v>0</v>
      </c>
      <c r="X15" s="205">
        <f t="shared" si="6"/>
        <v>0</v>
      </c>
      <c r="Y15" s="205">
        <f t="shared" si="6"/>
        <v>0</v>
      </c>
      <c r="Z15" s="205">
        <f t="shared" si="6"/>
        <v>0</v>
      </c>
      <c r="AA15" s="205">
        <f t="shared" si="6"/>
        <v>0</v>
      </c>
      <c r="AB15" s="205">
        <f t="shared" si="6"/>
        <v>0</v>
      </c>
      <c r="AC15" s="205">
        <f t="shared" si="6"/>
        <v>0</v>
      </c>
      <c r="AD15" s="205">
        <f t="shared" si="6"/>
        <v>0</v>
      </c>
      <c r="AE15" s="205">
        <f t="shared" si="6"/>
        <v>0</v>
      </c>
      <c r="AF15" s="205">
        <f t="shared" si="6"/>
        <v>0</v>
      </c>
      <c r="AG15" s="205">
        <f t="shared" si="6"/>
        <v>0</v>
      </c>
      <c r="AH15" s="205">
        <f t="shared" si="6"/>
        <v>0</v>
      </c>
      <c r="AI15" s="205">
        <f t="shared" si="6"/>
        <v>0</v>
      </c>
      <c r="AJ15" s="205">
        <f t="shared" si="6"/>
        <v>0</v>
      </c>
      <c r="AK15" s="205">
        <f t="shared" si="6"/>
        <v>0</v>
      </c>
      <c r="AL15" s="205">
        <f t="shared" si="7"/>
        <v>0</v>
      </c>
      <c r="AM15" s="205">
        <f t="shared" si="7"/>
        <v>0</v>
      </c>
      <c r="AN15" s="205">
        <f t="shared" si="7"/>
        <v>0</v>
      </c>
      <c r="AO15" s="205">
        <f t="shared" si="7"/>
        <v>0</v>
      </c>
      <c r="AP15" s="205">
        <f t="shared" si="7"/>
        <v>0</v>
      </c>
      <c r="AQ15" s="205">
        <f t="shared" si="7"/>
        <v>0</v>
      </c>
      <c r="AR15" s="205">
        <f t="shared" si="7"/>
        <v>0</v>
      </c>
      <c r="AS15" s="205">
        <f t="shared" si="7"/>
        <v>0</v>
      </c>
      <c r="AT15" s="205">
        <f t="shared" si="7"/>
        <v>0</v>
      </c>
      <c r="AU15" s="205">
        <f t="shared" si="7"/>
        <v>0</v>
      </c>
      <c r="AV15" s="205">
        <f t="shared" si="7"/>
        <v>0</v>
      </c>
      <c r="AW15" s="205">
        <f t="shared" si="7"/>
        <v>0</v>
      </c>
      <c r="AX15" s="205">
        <f t="shared" si="8"/>
        <v>0</v>
      </c>
      <c r="AY15" s="205">
        <f t="shared" si="8"/>
        <v>0</v>
      </c>
      <c r="AZ15" s="205">
        <f t="shared" si="8"/>
        <v>0</v>
      </c>
      <c r="BA15" s="205">
        <f t="shared" si="8"/>
        <v>0</v>
      </c>
      <c r="BB15" s="205">
        <f t="shared" si="8"/>
        <v>0</v>
      </c>
      <c r="BC15" s="205">
        <f t="shared" si="8"/>
        <v>0</v>
      </c>
      <c r="BD15" s="205">
        <f t="shared" si="8"/>
        <v>0</v>
      </c>
      <c r="BE15" s="205">
        <f t="shared" si="8"/>
        <v>0</v>
      </c>
      <c r="BF15" s="205">
        <f t="shared" si="8"/>
        <v>0</v>
      </c>
      <c r="BG15" s="205">
        <f t="shared" si="8"/>
        <v>0</v>
      </c>
      <c r="BH15" s="205">
        <f t="shared" si="8"/>
        <v>0</v>
      </c>
      <c r="BI15" s="205">
        <f t="shared" si="8"/>
        <v>0</v>
      </c>
      <c r="BJ15" s="205">
        <f t="shared" si="8"/>
        <v>0</v>
      </c>
      <c r="BK15" s="205">
        <f t="shared" si="8"/>
        <v>0</v>
      </c>
      <c r="BL15" s="205">
        <f t="shared" si="8"/>
        <v>0</v>
      </c>
      <c r="BM15" s="205">
        <f t="shared" si="8"/>
        <v>0</v>
      </c>
      <c r="BN15" s="205">
        <f t="shared" si="8"/>
        <v>0</v>
      </c>
      <c r="BO15" s="205">
        <f t="shared" si="8"/>
        <v>0</v>
      </c>
      <c r="BP15" s="205">
        <f t="shared" si="8"/>
        <v>0</v>
      </c>
      <c r="BQ15" s="205">
        <f t="shared" si="8"/>
        <v>0</v>
      </c>
      <c r="BR15" s="205">
        <f t="shared" si="8"/>
        <v>0</v>
      </c>
      <c r="BS15" s="205">
        <f t="shared" si="8"/>
        <v>0</v>
      </c>
      <c r="BT15" s="205">
        <f t="shared" si="8"/>
        <v>0</v>
      </c>
      <c r="BU15" s="205">
        <f t="shared" si="8"/>
        <v>0</v>
      </c>
      <c r="BV15" s="205">
        <f t="shared" si="8"/>
        <v>0</v>
      </c>
      <c r="BW15" s="205">
        <f t="shared" si="8"/>
        <v>0</v>
      </c>
      <c r="BX15" s="205">
        <f t="shared" si="8"/>
        <v>0</v>
      </c>
      <c r="BY15" s="205">
        <f t="shared" si="8"/>
        <v>0</v>
      </c>
      <c r="BZ15" s="205">
        <f t="shared" si="8"/>
        <v>0</v>
      </c>
      <c r="CA15" s="205">
        <f t="shared" si="2"/>
        <v>0</v>
      </c>
      <c r="CB15" s="205">
        <f t="shared" si="2"/>
        <v>0</v>
      </c>
      <c r="CC15" s="205">
        <f t="shared" si="2"/>
        <v>0</v>
      </c>
      <c r="CD15" s="205">
        <f t="shared" ref="CC15:CR18" si="9">IF(CD$2&lt;=($B$2+$C$2+$D$2),IF(CD$2&lt;=($B$2+$C$2),IF(CD$2&lt;=$B$2,$B15,$C15),$D15),$E15)</f>
        <v>0</v>
      </c>
      <c r="CE15" s="205">
        <f t="shared" si="9"/>
        <v>0</v>
      </c>
      <c r="CF15" s="205">
        <f t="shared" si="9"/>
        <v>0</v>
      </c>
      <c r="CG15" s="205">
        <f t="shared" si="9"/>
        <v>0</v>
      </c>
      <c r="CH15" s="205">
        <f t="shared" si="9"/>
        <v>0</v>
      </c>
      <c r="CI15" s="205">
        <f t="shared" si="9"/>
        <v>0</v>
      </c>
      <c r="CJ15" s="205">
        <f t="shared" si="9"/>
        <v>0</v>
      </c>
      <c r="CK15" s="205">
        <f t="shared" si="9"/>
        <v>0</v>
      </c>
      <c r="CL15" s="205">
        <f t="shared" si="9"/>
        <v>0</v>
      </c>
      <c r="CM15" s="205">
        <f t="shared" si="9"/>
        <v>0</v>
      </c>
      <c r="CN15" s="205">
        <f t="shared" si="9"/>
        <v>0</v>
      </c>
      <c r="CO15" s="205">
        <f t="shared" si="9"/>
        <v>0</v>
      </c>
      <c r="CP15" s="205">
        <f t="shared" si="9"/>
        <v>0</v>
      </c>
      <c r="CQ15" s="205">
        <f t="shared" si="9"/>
        <v>0</v>
      </c>
      <c r="CR15" s="205">
        <f t="shared" si="9"/>
        <v>0</v>
      </c>
      <c r="CS15" s="205">
        <f t="shared" si="3"/>
        <v>0</v>
      </c>
      <c r="CT15" s="205">
        <f t="shared" si="3"/>
        <v>0</v>
      </c>
      <c r="CU15" s="205">
        <f t="shared" si="3"/>
        <v>0</v>
      </c>
      <c r="CV15" s="205">
        <f t="shared" si="3"/>
        <v>0</v>
      </c>
      <c r="CW15" s="205">
        <f t="shared" si="3"/>
        <v>0</v>
      </c>
      <c r="CX15" s="205">
        <f t="shared" si="3"/>
        <v>0</v>
      </c>
      <c r="CY15" s="205">
        <f t="shared" si="3"/>
        <v>0</v>
      </c>
      <c r="CZ15" s="205">
        <f t="shared" si="3"/>
        <v>0</v>
      </c>
      <c r="DA15" s="205">
        <f t="shared" si="3"/>
        <v>0</v>
      </c>
      <c r="DB15" s="205"/>
    </row>
    <row r="16" spans="1:106">
      <c r="A16" s="202" t="s">
        <v>115</v>
      </c>
      <c r="B16" s="204">
        <f>Income!B88</f>
        <v>25120.269275404262</v>
      </c>
      <c r="C16" s="204">
        <f>Income!C88</f>
        <v>28391.218255281561</v>
      </c>
      <c r="D16" s="204">
        <f>Income!D88</f>
        <v>39240.654168836765</v>
      </c>
      <c r="E16" s="204">
        <f>Income!E88</f>
        <v>57051.684200048665</v>
      </c>
      <c r="F16" s="205">
        <f t="shared" si="4"/>
        <v>25120.269275404262</v>
      </c>
      <c r="G16" s="205">
        <f t="shared" si="4"/>
        <v>25120.269275404262</v>
      </c>
      <c r="H16" s="205">
        <f t="shared" si="4"/>
        <v>25120.269275404262</v>
      </c>
      <c r="I16" s="205">
        <f t="shared" si="4"/>
        <v>25120.269275404262</v>
      </c>
      <c r="J16" s="205">
        <f t="shared" si="4"/>
        <v>25120.269275404262</v>
      </c>
      <c r="K16" s="205">
        <f t="shared" si="4"/>
        <v>25120.269275404262</v>
      </c>
      <c r="L16" s="205">
        <f t="shared" si="4"/>
        <v>25120.269275404262</v>
      </c>
      <c r="M16" s="205">
        <f t="shared" si="4"/>
        <v>25120.269275404262</v>
      </c>
      <c r="N16" s="205">
        <f t="shared" si="4"/>
        <v>25120.269275404262</v>
      </c>
      <c r="O16" s="205">
        <f t="shared" si="4"/>
        <v>25120.269275404262</v>
      </c>
      <c r="P16" s="205">
        <f t="shared" si="4"/>
        <v>25120.269275404262</v>
      </c>
      <c r="Q16" s="205">
        <f t="shared" si="4"/>
        <v>25120.269275404262</v>
      </c>
      <c r="R16" s="205">
        <f t="shared" si="4"/>
        <v>25120.269275404262</v>
      </c>
      <c r="S16" s="205">
        <f t="shared" si="4"/>
        <v>25120.269275404262</v>
      </c>
      <c r="T16" s="205">
        <f t="shared" si="4"/>
        <v>25120.269275404262</v>
      </c>
      <c r="U16" s="205">
        <f t="shared" si="4"/>
        <v>25120.269275404262</v>
      </c>
      <c r="V16" s="205">
        <f t="shared" si="6"/>
        <v>25120.269275404262</v>
      </c>
      <c r="W16" s="205">
        <f t="shared" si="6"/>
        <v>25120.269275404262</v>
      </c>
      <c r="X16" s="205">
        <f t="shared" si="6"/>
        <v>25120.269275404262</v>
      </c>
      <c r="Y16" s="205">
        <f t="shared" si="6"/>
        <v>25120.269275404262</v>
      </c>
      <c r="Z16" s="205">
        <f t="shared" si="6"/>
        <v>25120.269275404262</v>
      </c>
      <c r="AA16" s="205">
        <f t="shared" si="6"/>
        <v>25120.269275404262</v>
      </c>
      <c r="AB16" s="205">
        <f t="shared" si="6"/>
        <v>25120.269275404262</v>
      </c>
      <c r="AC16" s="205">
        <f t="shared" si="6"/>
        <v>25120.269275404262</v>
      </c>
      <c r="AD16" s="205">
        <f t="shared" si="6"/>
        <v>25120.269275404262</v>
      </c>
      <c r="AE16" s="205">
        <f>IF(AE$2&lt;=($B$2+$C$2+$D$2),IF(AE$2&lt;=($B$2+$C$2),IF(AE$2&lt;=$B$2,$B16,$C16),$D16),$E16)</f>
        <v>25120.269275404262</v>
      </c>
      <c r="AF16" s="205">
        <f t="shared" si="6"/>
        <v>25120.269275404262</v>
      </c>
      <c r="AG16" s="205">
        <f t="shared" si="6"/>
        <v>25120.269275404262</v>
      </c>
      <c r="AH16" s="205">
        <f t="shared" si="6"/>
        <v>25120.269275404262</v>
      </c>
      <c r="AI16" s="205">
        <f t="shared" si="6"/>
        <v>25120.269275404262</v>
      </c>
      <c r="AJ16" s="205">
        <f t="shared" si="6"/>
        <v>25120.269275404262</v>
      </c>
      <c r="AK16" s="205">
        <f t="shared" si="6"/>
        <v>25120.269275404262</v>
      </c>
      <c r="AL16" s="205">
        <f t="shared" si="7"/>
        <v>25120.269275404262</v>
      </c>
      <c r="AM16" s="205">
        <f t="shared" si="7"/>
        <v>25120.269275404262</v>
      </c>
      <c r="AN16" s="205">
        <f t="shared" si="7"/>
        <v>25120.269275404262</v>
      </c>
      <c r="AO16" s="205">
        <f t="shared" si="7"/>
        <v>25120.269275404262</v>
      </c>
      <c r="AP16" s="205">
        <f t="shared" si="7"/>
        <v>25120.269275404262</v>
      </c>
      <c r="AQ16" s="205">
        <f t="shared" si="7"/>
        <v>25120.269275404262</v>
      </c>
      <c r="AR16" s="205">
        <f t="shared" si="7"/>
        <v>25120.269275404262</v>
      </c>
      <c r="AS16" s="205">
        <f t="shared" si="7"/>
        <v>25120.269275404262</v>
      </c>
      <c r="AT16" s="205">
        <f t="shared" si="7"/>
        <v>25120.269275404262</v>
      </c>
      <c r="AU16" s="205">
        <f t="shared" si="7"/>
        <v>25120.269275404262</v>
      </c>
      <c r="AV16" s="205">
        <f t="shared" si="7"/>
        <v>25120.269275404262</v>
      </c>
      <c r="AW16" s="205">
        <f t="shared" si="7"/>
        <v>25120.269275404262</v>
      </c>
      <c r="AX16" s="205">
        <f t="shared" si="8"/>
        <v>25120.269275404262</v>
      </c>
      <c r="AY16" s="205">
        <f t="shared" si="8"/>
        <v>25120.269275404262</v>
      </c>
      <c r="AZ16" s="205">
        <f t="shared" si="8"/>
        <v>25120.269275404262</v>
      </c>
      <c r="BA16" s="205">
        <f t="shared" si="8"/>
        <v>25120.269275404262</v>
      </c>
      <c r="BB16" s="205">
        <f t="shared" si="8"/>
        <v>25120.269275404262</v>
      </c>
      <c r="BC16" s="205">
        <f t="shared" si="8"/>
        <v>25120.269275404262</v>
      </c>
      <c r="BD16" s="205">
        <f t="shared" si="8"/>
        <v>28391.218255281561</v>
      </c>
      <c r="BE16" s="205">
        <f t="shared" si="8"/>
        <v>28391.218255281561</v>
      </c>
      <c r="BF16" s="205">
        <f t="shared" si="8"/>
        <v>28391.218255281561</v>
      </c>
      <c r="BG16" s="205">
        <f t="shared" si="8"/>
        <v>28391.218255281561</v>
      </c>
      <c r="BH16" s="205">
        <f t="shared" si="8"/>
        <v>28391.218255281561</v>
      </c>
      <c r="BI16" s="205">
        <f t="shared" si="8"/>
        <v>28391.218255281561</v>
      </c>
      <c r="BJ16" s="205">
        <f t="shared" si="8"/>
        <v>28391.218255281561</v>
      </c>
      <c r="BK16" s="205">
        <f t="shared" si="8"/>
        <v>28391.218255281561</v>
      </c>
      <c r="BL16" s="205">
        <f t="shared" si="8"/>
        <v>28391.218255281561</v>
      </c>
      <c r="BM16" s="205">
        <f t="shared" si="8"/>
        <v>28391.218255281561</v>
      </c>
      <c r="BN16" s="205">
        <f t="shared" si="8"/>
        <v>28391.218255281561</v>
      </c>
      <c r="BO16" s="205">
        <f t="shared" si="8"/>
        <v>28391.218255281561</v>
      </c>
      <c r="BP16" s="205">
        <f t="shared" si="8"/>
        <v>28391.218255281561</v>
      </c>
      <c r="BQ16" s="205">
        <f t="shared" si="8"/>
        <v>28391.218255281561</v>
      </c>
      <c r="BR16" s="205">
        <f t="shared" si="8"/>
        <v>28391.218255281561</v>
      </c>
      <c r="BS16" s="205">
        <f t="shared" si="8"/>
        <v>28391.218255281561</v>
      </c>
      <c r="BT16" s="205">
        <f t="shared" si="8"/>
        <v>28391.218255281561</v>
      </c>
      <c r="BU16" s="205">
        <f t="shared" si="8"/>
        <v>28391.218255281561</v>
      </c>
      <c r="BV16" s="205">
        <f t="shared" si="8"/>
        <v>28391.218255281561</v>
      </c>
      <c r="BW16" s="205">
        <f t="shared" si="8"/>
        <v>28391.218255281561</v>
      </c>
      <c r="BX16" s="205">
        <f t="shared" si="8"/>
        <v>28391.218255281561</v>
      </c>
      <c r="BY16" s="205">
        <f t="shared" si="8"/>
        <v>28391.218255281561</v>
      </c>
      <c r="BZ16" s="205">
        <f t="shared" si="8"/>
        <v>28391.218255281561</v>
      </c>
      <c r="CA16" s="205">
        <f t="shared" ref="CA16:CB18" si="10">IF(CA$2&lt;=($B$2+$C$2+$D$2),IF(CA$2&lt;=($B$2+$C$2),IF(CA$2&lt;=$B$2,$B16,$C16),$D16),$E16)</f>
        <v>28391.218255281561</v>
      </c>
      <c r="CB16" s="205">
        <f t="shared" si="10"/>
        <v>28391.218255281561</v>
      </c>
      <c r="CC16" s="205">
        <f t="shared" si="9"/>
        <v>28391.218255281561</v>
      </c>
      <c r="CD16" s="205">
        <f t="shared" si="9"/>
        <v>28391.218255281561</v>
      </c>
      <c r="CE16" s="205">
        <f t="shared" si="9"/>
        <v>28391.218255281561</v>
      </c>
      <c r="CF16" s="205">
        <f t="shared" si="9"/>
        <v>28391.218255281561</v>
      </c>
      <c r="CG16" s="205">
        <f t="shared" si="9"/>
        <v>28391.218255281561</v>
      </c>
      <c r="CH16" s="205">
        <f t="shared" si="9"/>
        <v>39240.654168836765</v>
      </c>
      <c r="CI16" s="205">
        <f t="shared" si="9"/>
        <v>39240.654168836765</v>
      </c>
      <c r="CJ16" s="205">
        <f t="shared" si="9"/>
        <v>39240.654168836765</v>
      </c>
      <c r="CK16" s="205">
        <f t="shared" si="9"/>
        <v>39240.654168836765</v>
      </c>
      <c r="CL16" s="205">
        <f t="shared" si="9"/>
        <v>39240.654168836765</v>
      </c>
      <c r="CM16" s="205">
        <f t="shared" si="9"/>
        <v>39240.654168836765</v>
      </c>
      <c r="CN16" s="205">
        <f t="shared" si="9"/>
        <v>39240.654168836765</v>
      </c>
      <c r="CO16" s="205">
        <f t="shared" si="9"/>
        <v>39240.654168836765</v>
      </c>
      <c r="CP16" s="205">
        <f t="shared" si="9"/>
        <v>39240.654168836765</v>
      </c>
      <c r="CQ16" s="205">
        <f t="shared" si="9"/>
        <v>39240.654168836765</v>
      </c>
      <c r="CR16" s="205">
        <f t="shared" si="9"/>
        <v>39240.654168836765</v>
      </c>
      <c r="CS16" s="205">
        <f t="shared" ref="CS16:DA18" si="11">IF(CS$2&lt;=($B$2+$C$2+$D$2),IF(CS$2&lt;=($B$2+$C$2),IF(CS$2&lt;=$B$2,$B16,$C16),$D16),$E16)</f>
        <v>39240.654168836765</v>
      </c>
      <c r="CT16" s="205">
        <f t="shared" si="11"/>
        <v>39240.654168836765</v>
      </c>
      <c r="CU16" s="205">
        <f t="shared" si="11"/>
        <v>39240.654168836765</v>
      </c>
      <c r="CV16" s="205">
        <f t="shared" si="11"/>
        <v>39240.654168836765</v>
      </c>
      <c r="CW16" s="205">
        <f t="shared" si="11"/>
        <v>57051.684200048665</v>
      </c>
      <c r="CX16" s="205">
        <f t="shared" si="11"/>
        <v>57051.684200048665</v>
      </c>
      <c r="CY16" s="205">
        <f t="shared" si="11"/>
        <v>57051.684200048665</v>
      </c>
      <c r="CZ16" s="205">
        <f t="shared" si="11"/>
        <v>57051.684200048665</v>
      </c>
      <c r="DA16" s="205">
        <f t="shared" si="11"/>
        <v>57051.684200048665</v>
      </c>
      <c r="DB16" s="205"/>
    </row>
    <row r="17" spans="1:105">
      <c r="A17" s="202" t="s">
        <v>101</v>
      </c>
      <c r="B17" s="204">
        <f>Income!B89</f>
        <v>17059.8252222761</v>
      </c>
      <c r="C17" s="204">
        <f>Income!C89</f>
        <v>17059.8252222761</v>
      </c>
      <c r="D17" s="204">
        <f>Income!D89</f>
        <v>17059.8252222761</v>
      </c>
      <c r="E17" s="204">
        <f>Income!E89</f>
        <v>17059.825222276104</v>
      </c>
      <c r="F17" s="205">
        <f t="shared" si="4"/>
        <v>17059.8252222761</v>
      </c>
      <c r="G17" s="205">
        <f t="shared" si="4"/>
        <v>17059.8252222761</v>
      </c>
      <c r="H17" s="205">
        <f t="shared" si="4"/>
        <v>17059.8252222761</v>
      </c>
      <c r="I17" s="205">
        <f t="shared" si="4"/>
        <v>17059.8252222761</v>
      </c>
      <c r="J17" s="205">
        <f t="shared" si="4"/>
        <v>17059.8252222761</v>
      </c>
      <c r="K17" s="205">
        <f t="shared" si="4"/>
        <v>17059.8252222761</v>
      </c>
      <c r="L17" s="205">
        <f t="shared" si="4"/>
        <v>17059.8252222761</v>
      </c>
      <c r="M17" s="205">
        <f t="shared" si="4"/>
        <v>17059.8252222761</v>
      </c>
      <c r="N17" s="205">
        <f t="shared" si="4"/>
        <v>17059.8252222761</v>
      </c>
      <c r="O17" s="205">
        <f t="shared" si="4"/>
        <v>17059.8252222761</v>
      </c>
      <c r="P17" s="205">
        <f t="shared" si="4"/>
        <v>17059.8252222761</v>
      </c>
      <c r="Q17" s="205">
        <f t="shared" si="4"/>
        <v>17059.8252222761</v>
      </c>
      <c r="R17" s="205">
        <f t="shared" si="4"/>
        <v>17059.8252222761</v>
      </c>
      <c r="S17" s="205">
        <f t="shared" si="4"/>
        <v>17059.8252222761</v>
      </c>
      <c r="T17" s="205">
        <f t="shared" si="4"/>
        <v>17059.8252222761</v>
      </c>
      <c r="U17" s="205">
        <f t="shared" si="4"/>
        <v>17059.8252222761</v>
      </c>
      <c r="V17" s="205">
        <f t="shared" si="6"/>
        <v>17059.8252222761</v>
      </c>
      <c r="W17" s="205">
        <f t="shared" si="6"/>
        <v>17059.8252222761</v>
      </c>
      <c r="X17" s="205">
        <f t="shared" si="6"/>
        <v>17059.8252222761</v>
      </c>
      <c r="Y17" s="205">
        <f t="shared" si="6"/>
        <v>17059.8252222761</v>
      </c>
      <c r="Z17" s="205">
        <f t="shared" si="6"/>
        <v>17059.8252222761</v>
      </c>
      <c r="AA17" s="205">
        <f t="shared" si="6"/>
        <v>17059.8252222761</v>
      </c>
      <c r="AB17" s="205">
        <f t="shared" si="6"/>
        <v>17059.8252222761</v>
      </c>
      <c r="AC17" s="205">
        <f t="shared" si="6"/>
        <v>17059.8252222761</v>
      </c>
      <c r="AD17" s="205">
        <f t="shared" si="6"/>
        <v>17059.8252222761</v>
      </c>
      <c r="AE17" s="205">
        <f t="shared" si="6"/>
        <v>17059.8252222761</v>
      </c>
      <c r="AF17" s="205">
        <f t="shared" si="6"/>
        <v>17059.8252222761</v>
      </c>
      <c r="AG17" s="205">
        <f t="shared" si="6"/>
        <v>17059.8252222761</v>
      </c>
      <c r="AH17" s="205">
        <f t="shared" si="6"/>
        <v>17059.8252222761</v>
      </c>
      <c r="AI17" s="205">
        <f t="shared" si="6"/>
        <v>17059.8252222761</v>
      </c>
      <c r="AJ17" s="205">
        <f t="shared" si="6"/>
        <v>17059.8252222761</v>
      </c>
      <c r="AK17" s="205">
        <f t="shared" si="6"/>
        <v>17059.8252222761</v>
      </c>
      <c r="AL17" s="205">
        <f t="shared" si="7"/>
        <v>17059.8252222761</v>
      </c>
      <c r="AM17" s="205">
        <f t="shared" si="7"/>
        <v>17059.8252222761</v>
      </c>
      <c r="AN17" s="205">
        <f t="shared" si="7"/>
        <v>17059.8252222761</v>
      </c>
      <c r="AO17" s="205">
        <f t="shared" si="7"/>
        <v>17059.8252222761</v>
      </c>
      <c r="AP17" s="205">
        <f t="shared" si="7"/>
        <v>17059.8252222761</v>
      </c>
      <c r="AQ17" s="205">
        <f t="shared" si="7"/>
        <v>17059.8252222761</v>
      </c>
      <c r="AR17" s="205">
        <f t="shared" si="7"/>
        <v>17059.8252222761</v>
      </c>
      <c r="AS17" s="205">
        <f t="shared" si="7"/>
        <v>17059.8252222761</v>
      </c>
      <c r="AT17" s="205">
        <f t="shared" si="7"/>
        <v>17059.8252222761</v>
      </c>
      <c r="AU17" s="205">
        <f t="shared" si="7"/>
        <v>17059.8252222761</v>
      </c>
      <c r="AV17" s="205">
        <f t="shared" si="7"/>
        <v>17059.8252222761</v>
      </c>
      <c r="AW17" s="205">
        <f t="shared" si="7"/>
        <v>17059.8252222761</v>
      </c>
      <c r="AX17" s="205">
        <f t="shared" si="8"/>
        <v>17059.8252222761</v>
      </c>
      <c r="AY17" s="205">
        <f t="shared" si="8"/>
        <v>17059.8252222761</v>
      </c>
      <c r="AZ17" s="205">
        <f t="shared" si="8"/>
        <v>17059.8252222761</v>
      </c>
      <c r="BA17" s="205">
        <f t="shared" si="8"/>
        <v>17059.8252222761</v>
      </c>
      <c r="BB17" s="205">
        <f t="shared" si="8"/>
        <v>17059.8252222761</v>
      </c>
      <c r="BC17" s="205">
        <f t="shared" si="8"/>
        <v>17059.8252222761</v>
      </c>
      <c r="BD17" s="205">
        <f t="shared" si="8"/>
        <v>17059.8252222761</v>
      </c>
      <c r="BE17" s="205">
        <f t="shared" si="8"/>
        <v>17059.8252222761</v>
      </c>
      <c r="BF17" s="205">
        <f t="shared" si="8"/>
        <v>17059.8252222761</v>
      </c>
      <c r="BG17" s="205">
        <f t="shared" si="8"/>
        <v>17059.8252222761</v>
      </c>
      <c r="BH17" s="205">
        <f t="shared" si="8"/>
        <v>17059.8252222761</v>
      </c>
      <c r="BI17" s="205">
        <f t="shared" si="8"/>
        <v>17059.8252222761</v>
      </c>
      <c r="BJ17" s="205">
        <f t="shared" si="8"/>
        <v>17059.8252222761</v>
      </c>
      <c r="BK17" s="205">
        <f t="shared" si="8"/>
        <v>17059.8252222761</v>
      </c>
      <c r="BL17" s="205">
        <f t="shared" si="8"/>
        <v>17059.8252222761</v>
      </c>
      <c r="BM17" s="205">
        <f t="shared" si="8"/>
        <v>17059.8252222761</v>
      </c>
      <c r="BN17" s="205">
        <f t="shared" si="8"/>
        <v>17059.8252222761</v>
      </c>
      <c r="BO17" s="205">
        <f t="shared" si="8"/>
        <v>17059.8252222761</v>
      </c>
      <c r="BP17" s="205">
        <f t="shared" si="8"/>
        <v>17059.8252222761</v>
      </c>
      <c r="BQ17" s="205">
        <f t="shared" si="8"/>
        <v>17059.8252222761</v>
      </c>
      <c r="BR17" s="205">
        <f t="shared" si="8"/>
        <v>17059.8252222761</v>
      </c>
      <c r="BS17" s="205">
        <f t="shared" si="8"/>
        <v>17059.8252222761</v>
      </c>
      <c r="BT17" s="205">
        <f t="shared" si="8"/>
        <v>17059.8252222761</v>
      </c>
      <c r="BU17" s="205">
        <f t="shared" si="8"/>
        <v>17059.8252222761</v>
      </c>
      <c r="BV17" s="205">
        <f t="shared" si="8"/>
        <v>17059.8252222761</v>
      </c>
      <c r="BW17" s="205">
        <f t="shared" si="8"/>
        <v>17059.8252222761</v>
      </c>
      <c r="BX17" s="205">
        <f t="shared" si="8"/>
        <v>17059.8252222761</v>
      </c>
      <c r="BY17" s="205">
        <f t="shared" si="8"/>
        <v>17059.8252222761</v>
      </c>
      <c r="BZ17" s="205">
        <f t="shared" si="8"/>
        <v>17059.8252222761</v>
      </c>
      <c r="CA17" s="205">
        <f t="shared" si="10"/>
        <v>17059.8252222761</v>
      </c>
      <c r="CB17" s="205">
        <f t="shared" si="10"/>
        <v>17059.8252222761</v>
      </c>
      <c r="CC17" s="205">
        <f t="shared" si="9"/>
        <v>17059.8252222761</v>
      </c>
      <c r="CD17" s="205">
        <f t="shared" si="9"/>
        <v>17059.8252222761</v>
      </c>
      <c r="CE17" s="205">
        <f t="shared" si="9"/>
        <v>17059.8252222761</v>
      </c>
      <c r="CF17" s="205">
        <f t="shared" si="9"/>
        <v>17059.8252222761</v>
      </c>
      <c r="CG17" s="205">
        <f t="shared" si="9"/>
        <v>17059.8252222761</v>
      </c>
      <c r="CH17" s="205">
        <f t="shared" si="9"/>
        <v>17059.8252222761</v>
      </c>
      <c r="CI17" s="205">
        <f t="shared" si="9"/>
        <v>17059.8252222761</v>
      </c>
      <c r="CJ17" s="205">
        <f t="shared" si="9"/>
        <v>17059.8252222761</v>
      </c>
      <c r="CK17" s="205">
        <f t="shared" si="9"/>
        <v>17059.8252222761</v>
      </c>
      <c r="CL17" s="205">
        <f t="shared" si="9"/>
        <v>17059.8252222761</v>
      </c>
      <c r="CM17" s="205">
        <f t="shared" si="9"/>
        <v>17059.8252222761</v>
      </c>
      <c r="CN17" s="205">
        <f t="shared" si="9"/>
        <v>17059.8252222761</v>
      </c>
      <c r="CO17" s="205">
        <f t="shared" si="9"/>
        <v>17059.8252222761</v>
      </c>
      <c r="CP17" s="205">
        <f t="shared" si="9"/>
        <v>17059.8252222761</v>
      </c>
      <c r="CQ17" s="205">
        <f t="shared" si="9"/>
        <v>17059.8252222761</v>
      </c>
      <c r="CR17" s="205">
        <f t="shared" si="9"/>
        <v>17059.8252222761</v>
      </c>
      <c r="CS17" s="205">
        <f t="shared" si="11"/>
        <v>17059.8252222761</v>
      </c>
      <c r="CT17" s="205">
        <f t="shared" si="11"/>
        <v>17059.8252222761</v>
      </c>
      <c r="CU17" s="205">
        <f t="shared" si="11"/>
        <v>17059.8252222761</v>
      </c>
      <c r="CV17" s="205">
        <f t="shared" si="11"/>
        <v>17059.8252222761</v>
      </c>
      <c r="CW17" s="205">
        <f t="shared" si="11"/>
        <v>17059.825222276104</v>
      </c>
      <c r="CX17" s="205">
        <f t="shared" si="11"/>
        <v>17059.825222276104</v>
      </c>
      <c r="CY17" s="205">
        <f t="shared" si="11"/>
        <v>17059.825222276104</v>
      </c>
      <c r="CZ17" s="205">
        <f t="shared" si="11"/>
        <v>17059.825222276104</v>
      </c>
      <c r="DA17" s="205">
        <f t="shared" si="11"/>
        <v>17059.825222276104</v>
      </c>
    </row>
    <row r="18" spans="1:105">
      <c r="A18" s="202" t="s">
        <v>85</v>
      </c>
      <c r="B18" s="204">
        <f>Income!B90</f>
        <v>31038.491888942768</v>
      </c>
      <c r="C18" s="204">
        <f>Income!C90</f>
        <v>31038.491888942768</v>
      </c>
      <c r="D18" s="204">
        <f>Income!D90</f>
        <v>31038.491888942768</v>
      </c>
      <c r="E18" s="204">
        <f>Income!E90</f>
        <v>31038.491888942764</v>
      </c>
      <c r="F18" s="205">
        <f t="shared" ref="F18:U18" si="12">IF(F$2&lt;=($B$2+$C$2+$D$2),IF(F$2&lt;=($B$2+$C$2),IF(F$2&lt;=$B$2,$B18,$C18),$D18),$E18)</f>
        <v>31038.491888942768</v>
      </c>
      <c r="G18" s="205">
        <f t="shared" si="12"/>
        <v>31038.491888942768</v>
      </c>
      <c r="H18" s="205">
        <f t="shared" si="12"/>
        <v>31038.491888942768</v>
      </c>
      <c r="I18" s="205">
        <f t="shared" si="12"/>
        <v>31038.491888942768</v>
      </c>
      <c r="J18" s="205">
        <f t="shared" si="12"/>
        <v>31038.491888942768</v>
      </c>
      <c r="K18" s="205">
        <f t="shared" si="12"/>
        <v>31038.491888942768</v>
      </c>
      <c r="L18" s="205">
        <f t="shared" si="12"/>
        <v>31038.491888942768</v>
      </c>
      <c r="M18" s="205">
        <f t="shared" si="12"/>
        <v>31038.491888942768</v>
      </c>
      <c r="N18" s="205">
        <f t="shared" si="12"/>
        <v>31038.491888942768</v>
      </c>
      <c r="O18" s="205">
        <f t="shared" si="12"/>
        <v>31038.491888942768</v>
      </c>
      <c r="P18" s="205">
        <f t="shared" si="12"/>
        <v>31038.491888942768</v>
      </c>
      <c r="Q18" s="205">
        <f t="shared" si="12"/>
        <v>31038.491888942768</v>
      </c>
      <c r="R18" s="205">
        <f t="shared" si="12"/>
        <v>31038.491888942768</v>
      </c>
      <c r="S18" s="205">
        <f t="shared" si="12"/>
        <v>31038.491888942768</v>
      </c>
      <c r="T18" s="205">
        <f t="shared" si="12"/>
        <v>31038.491888942768</v>
      </c>
      <c r="U18" s="205">
        <f t="shared" si="12"/>
        <v>31038.491888942768</v>
      </c>
      <c r="V18" s="205">
        <f t="shared" si="6"/>
        <v>31038.491888942768</v>
      </c>
      <c r="W18" s="205">
        <f t="shared" si="6"/>
        <v>31038.491888942768</v>
      </c>
      <c r="X18" s="205">
        <f t="shared" si="6"/>
        <v>31038.491888942768</v>
      </c>
      <c r="Y18" s="205">
        <f t="shared" si="6"/>
        <v>31038.491888942768</v>
      </c>
      <c r="Z18" s="205">
        <f t="shared" si="6"/>
        <v>31038.491888942768</v>
      </c>
      <c r="AA18" s="205">
        <f t="shared" si="6"/>
        <v>31038.491888942768</v>
      </c>
      <c r="AB18" s="205">
        <f t="shared" si="6"/>
        <v>31038.491888942768</v>
      </c>
      <c r="AC18" s="205">
        <f t="shared" si="6"/>
        <v>31038.491888942768</v>
      </c>
      <c r="AD18" s="205">
        <f t="shared" si="6"/>
        <v>31038.491888942768</v>
      </c>
      <c r="AE18" s="205">
        <f t="shared" si="6"/>
        <v>31038.491888942768</v>
      </c>
      <c r="AF18" s="205">
        <f t="shared" si="6"/>
        <v>31038.491888942768</v>
      </c>
      <c r="AG18" s="205">
        <f t="shared" si="6"/>
        <v>31038.491888942768</v>
      </c>
      <c r="AH18" s="205">
        <f t="shared" si="6"/>
        <v>31038.491888942768</v>
      </c>
      <c r="AI18" s="205">
        <f t="shared" si="6"/>
        <v>31038.491888942768</v>
      </c>
      <c r="AJ18" s="205">
        <f t="shared" si="6"/>
        <v>31038.491888942768</v>
      </c>
      <c r="AK18" s="205">
        <f t="shared" si="6"/>
        <v>31038.491888942768</v>
      </c>
      <c r="AL18" s="205">
        <f t="shared" si="7"/>
        <v>31038.491888942768</v>
      </c>
      <c r="AM18" s="205">
        <f t="shared" si="7"/>
        <v>31038.491888942768</v>
      </c>
      <c r="AN18" s="205">
        <f t="shared" si="7"/>
        <v>31038.491888942768</v>
      </c>
      <c r="AO18" s="205">
        <f t="shared" si="7"/>
        <v>31038.491888942768</v>
      </c>
      <c r="AP18" s="205">
        <f t="shared" si="7"/>
        <v>31038.491888942768</v>
      </c>
      <c r="AQ18" s="205">
        <f t="shared" si="7"/>
        <v>31038.491888942768</v>
      </c>
      <c r="AR18" s="205">
        <f t="shared" si="7"/>
        <v>31038.491888942768</v>
      </c>
      <c r="AS18" s="205">
        <f t="shared" si="7"/>
        <v>31038.491888942768</v>
      </c>
      <c r="AT18" s="205">
        <f t="shared" si="7"/>
        <v>31038.491888942768</v>
      </c>
      <c r="AU18" s="205">
        <f t="shared" si="7"/>
        <v>31038.491888942768</v>
      </c>
      <c r="AV18" s="205">
        <f t="shared" si="7"/>
        <v>31038.491888942768</v>
      </c>
      <c r="AW18" s="205">
        <f t="shared" si="7"/>
        <v>31038.491888942768</v>
      </c>
      <c r="AX18" s="205">
        <f t="shared" si="8"/>
        <v>31038.491888942768</v>
      </c>
      <c r="AY18" s="205">
        <f t="shared" si="8"/>
        <v>31038.491888942768</v>
      </c>
      <c r="AZ18" s="205">
        <f t="shared" si="8"/>
        <v>31038.491888942768</v>
      </c>
      <c r="BA18" s="205">
        <f t="shared" si="8"/>
        <v>31038.491888942768</v>
      </c>
      <c r="BB18" s="205">
        <f t="shared" si="8"/>
        <v>31038.491888942768</v>
      </c>
      <c r="BC18" s="205">
        <f t="shared" si="8"/>
        <v>31038.491888942768</v>
      </c>
      <c r="BD18" s="205">
        <f t="shared" si="8"/>
        <v>31038.491888942768</v>
      </c>
      <c r="BE18" s="205">
        <f t="shared" si="8"/>
        <v>31038.491888942768</v>
      </c>
      <c r="BF18" s="205">
        <f t="shared" si="8"/>
        <v>31038.491888942768</v>
      </c>
      <c r="BG18" s="205">
        <f t="shared" si="8"/>
        <v>31038.491888942768</v>
      </c>
      <c r="BH18" s="205">
        <f t="shared" si="8"/>
        <v>31038.491888942768</v>
      </c>
      <c r="BI18" s="205">
        <f t="shared" si="8"/>
        <v>31038.491888942768</v>
      </c>
      <c r="BJ18" s="205">
        <f t="shared" si="8"/>
        <v>31038.491888942768</v>
      </c>
      <c r="BK18" s="205">
        <f t="shared" si="8"/>
        <v>31038.491888942768</v>
      </c>
      <c r="BL18" s="205">
        <f t="shared" ref="BL18:BZ18" si="13">IF(BL$2&lt;=($B$2+$C$2+$D$2),IF(BL$2&lt;=($B$2+$C$2),IF(BL$2&lt;=$B$2,$B18,$C18),$D18),$E18)</f>
        <v>31038.491888942768</v>
      </c>
      <c r="BM18" s="205">
        <f t="shared" si="13"/>
        <v>31038.491888942768</v>
      </c>
      <c r="BN18" s="205">
        <f t="shared" si="13"/>
        <v>31038.491888942768</v>
      </c>
      <c r="BO18" s="205">
        <f t="shared" si="13"/>
        <v>31038.491888942768</v>
      </c>
      <c r="BP18" s="205">
        <f t="shared" si="13"/>
        <v>31038.491888942768</v>
      </c>
      <c r="BQ18" s="205">
        <f t="shared" si="13"/>
        <v>31038.491888942768</v>
      </c>
      <c r="BR18" s="205">
        <f t="shared" si="13"/>
        <v>31038.491888942768</v>
      </c>
      <c r="BS18" s="205">
        <f t="shared" si="13"/>
        <v>31038.491888942768</v>
      </c>
      <c r="BT18" s="205">
        <f t="shared" si="13"/>
        <v>31038.491888942768</v>
      </c>
      <c r="BU18" s="205">
        <f t="shared" si="13"/>
        <v>31038.491888942768</v>
      </c>
      <c r="BV18" s="205">
        <f t="shared" si="13"/>
        <v>31038.491888942768</v>
      </c>
      <c r="BW18" s="205">
        <f t="shared" si="13"/>
        <v>31038.491888942768</v>
      </c>
      <c r="BX18" s="205">
        <f t="shared" si="13"/>
        <v>31038.491888942768</v>
      </c>
      <c r="BY18" s="205">
        <f t="shared" si="13"/>
        <v>31038.491888942768</v>
      </c>
      <c r="BZ18" s="205">
        <f t="shared" si="13"/>
        <v>31038.491888942768</v>
      </c>
      <c r="CA18" s="205">
        <f t="shared" si="10"/>
        <v>31038.491888942768</v>
      </c>
      <c r="CB18" s="205">
        <f t="shared" si="10"/>
        <v>31038.491888942768</v>
      </c>
      <c r="CC18" s="205">
        <f t="shared" si="9"/>
        <v>31038.491888942768</v>
      </c>
      <c r="CD18" s="205">
        <f t="shared" si="9"/>
        <v>31038.491888942768</v>
      </c>
      <c r="CE18" s="205">
        <f t="shared" si="9"/>
        <v>31038.491888942768</v>
      </c>
      <c r="CF18" s="205">
        <f t="shared" si="9"/>
        <v>31038.491888942768</v>
      </c>
      <c r="CG18" s="205">
        <f t="shared" si="9"/>
        <v>31038.491888942768</v>
      </c>
      <c r="CH18" s="205">
        <f t="shared" si="9"/>
        <v>31038.491888942768</v>
      </c>
      <c r="CI18" s="205">
        <f t="shared" si="9"/>
        <v>31038.491888942768</v>
      </c>
      <c r="CJ18" s="205">
        <f t="shared" si="9"/>
        <v>31038.491888942768</v>
      </c>
      <c r="CK18" s="205">
        <f t="shared" si="9"/>
        <v>31038.491888942768</v>
      </c>
      <c r="CL18" s="205">
        <f t="shared" si="9"/>
        <v>31038.491888942768</v>
      </c>
      <c r="CM18" s="205">
        <f t="shared" si="9"/>
        <v>31038.491888942768</v>
      </c>
      <c r="CN18" s="205">
        <f t="shared" si="9"/>
        <v>31038.491888942768</v>
      </c>
      <c r="CO18" s="205">
        <f t="shared" si="9"/>
        <v>31038.491888942768</v>
      </c>
      <c r="CP18" s="205">
        <f t="shared" si="9"/>
        <v>31038.491888942768</v>
      </c>
      <c r="CQ18" s="205">
        <f t="shared" si="9"/>
        <v>31038.491888942768</v>
      </c>
      <c r="CR18" s="205">
        <f t="shared" si="9"/>
        <v>31038.491888942768</v>
      </c>
      <c r="CS18" s="205">
        <f t="shared" si="11"/>
        <v>31038.491888942768</v>
      </c>
      <c r="CT18" s="205">
        <f t="shared" si="11"/>
        <v>31038.491888942768</v>
      </c>
      <c r="CU18" s="205">
        <f t="shared" si="11"/>
        <v>31038.491888942768</v>
      </c>
      <c r="CV18" s="205">
        <f t="shared" si="11"/>
        <v>31038.491888942768</v>
      </c>
      <c r="CW18" s="205">
        <f t="shared" si="11"/>
        <v>31038.491888942764</v>
      </c>
      <c r="CX18" s="205">
        <f t="shared" si="11"/>
        <v>31038.491888942764</v>
      </c>
      <c r="CY18" s="205">
        <f t="shared" si="11"/>
        <v>31038.491888942764</v>
      </c>
      <c r="CZ18" s="205">
        <f t="shared" si="11"/>
        <v>31038.491888942764</v>
      </c>
      <c r="DA18" s="205">
        <f t="shared" si="11"/>
        <v>31038.491888942764</v>
      </c>
    </row>
    <row r="19" spans="1:105">
      <c r="A19" s="202" t="s">
        <v>116</v>
      </c>
      <c r="F19" s="202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2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2" t="str">
        <f t="shared" si="14"/>
        <v/>
      </c>
      <c r="I19" s="202" t="str">
        <f t="shared" si="14"/>
        <v/>
      </c>
      <c r="J19" s="202" t="str">
        <f t="shared" si="14"/>
        <v/>
      </c>
      <c r="K19" s="202" t="str">
        <f t="shared" si="14"/>
        <v/>
      </c>
      <c r="L19" s="202" t="str">
        <f t="shared" si="14"/>
        <v/>
      </c>
      <c r="M19" s="202" t="str">
        <f t="shared" si="14"/>
        <v/>
      </c>
      <c r="N19" s="202" t="str">
        <f t="shared" si="14"/>
        <v/>
      </c>
      <c r="O19" s="202" t="str">
        <f t="shared" si="14"/>
        <v/>
      </c>
      <c r="P19" s="202" t="str">
        <f t="shared" si="14"/>
        <v/>
      </c>
      <c r="Q19" s="202" t="str">
        <f t="shared" si="14"/>
        <v/>
      </c>
      <c r="R19" s="202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2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2" t="str">
        <f t="shared" si="14"/>
        <v/>
      </c>
      <c r="U19" s="202" t="str">
        <f t="shared" si="14"/>
        <v/>
      </c>
      <c r="V19" s="202" t="str">
        <f t="shared" si="14"/>
        <v/>
      </c>
      <c r="W19" s="202" t="str">
        <f t="shared" si="14"/>
        <v/>
      </c>
      <c r="X19" s="202" t="str">
        <f t="shared" si="14"/>
        <v/>
      </c>
      <c r="Y19" s="202" t="str">
        <f t="shared" si="14"/>
        <v/>
      </c>
      <c r="Z19" s="202" t="str">
        <f t="shared" si="14"/>
        <v/>
      </c>
      <c r="AA19" s="202" t="str">
        <f t="shared" si="14"/>
        <v/>
      </c>
      <c r="AB19" s="202" t="str">
        <f t="shared" si="14"/>
        <v/>
      </c>
      <c r="AC19" s="202" t="str">
        <f t="shared" si="14"/>
        <v/>
      </c>
      <c r="AD19" s="202" t="str">
        <f t="shared" si="14"/>
        <v/>
      </c>
      <c r="AE19" s="202">
        <f t="shared" si="14"/>
        <v>25120.269275404262</v>
      </c>
      <c r="AF19" s="202">
        <f t="shared" si="14"/>
        <v>25202.042999901194</v>
      </c>
      <c r="AG19" s="202">
        <f t="shared" si="14"/>
        <v>25283.816724398126</v>
      </c>
      <c r="AH19" s="202">
        <f t="shared" si="14"/>
        <v>25365.590448895058</v>
      </c>
      <c r="AI19" s="202">
        <f t="shared" si="14"/>
        <v>25447.36417339199</v>
      </c>
      <c r="AJ19" s="202">
        <f t="shared" si="14"/>
        <v>25529.137897888926</v>
      </c>
      <c r="AK19" s="202">
        <f t="shared" si="14"/>
        <v>25610.911622385858</v>
      </c>
      <c r="AL19" s="202">
        <f t="shared" si="14"/>
        <v>25692.68534688279</v>
      </c>
      <c r="AM19" s="202">
        <f t="shared" si="14"/>
        <v>25774.459071379722</v>
      </c>
      <c r="AN19" s="202">
        <f t="shared" si="14"/>
        <v>25856.232795876655</v>
      </c>
      <c r="AO19" s="202">
        <f t="shared" si="14"/>
        <v>25938.006520373587</v>
      </c>
      <c r="AP19" s="202">
        <f t="shared" si="14"/>
        <v>26019.780244870519</v>
      </c>
      <c r="AQ19" s="202">
        <f t="shared" si="14"/>
        <v>26101.553969367451</v>
      </c>
      <c r="AR19" s="202">
        <f t="shared" si="14"/>
        <v>26183.327693864383</v>
      </c>
      <c r="AS19" s="202">
        <f t="shared" si="14"/>
        <v>26265.101418361315</v>
      </c>
      <c r="AT19" s="202">
        <f t="shared" si="14"/>
        <v>26346.875142858247</v>
      </c>
      <c r="AU19" s="202">
        <f t="shared" si="14"/>
        <v>26428.648867355183</v>
      </c>
      <c r="AV19" s="202">
        <f t="shared" si="14"/>
        <v>26510.422591852115</v>
      </c>
      <c r="AW19" s="202">
        <f t="shared" si="14"/>
        <v>26592.196316349047</v>
      </c>
      <c r="AX19" s="202">
        <f t="shared" si="14"/>
        <v>26673.970040845979</v>
      </c>
      <c r="AY19" s="202">
        <f t="shared" si="14"/>
        <v>26755.743765342912</v>
      </c>
      <c r="AZ19" s="202">
        <f t="shared" si="14"/>
        <v>26837.517489839844</v>
      </c>
      <c r="BA19" s="202">
        <f t="shared" si="14"/>
        <v>26919.291214336776</v>
      </c>
      <c r="BB19" s="202">
        <f t="shared" si="14"/>
        <v>27001.064938833708</v>
      </c>
      <c r="BC19" s="202">
        <f t="shared" si="14"/>
        <v>27082.83866333064</v>
      </c>
      <c r="BD19" s="202">
        <f t="shared" si="14"/>
        <v>27164.612387827576</v>
      </c>
      <c r="BE19" s="202">
        <f t="shared" si="14"/>
        <v>27246.386112324508</v>
      </c>
      <c r="BF19" s="202">
        <f t="shared" si="14"/>
        <v>27328.15983682144</v>
      </c>
      <c r="BG19" s="202">
        <f t="shared" si="14"/>
        <v>27409.933561318372</v>
      </c>
      <c r="BH19" s="202">
        <f t="shared" si="14"/>
        <v>27491.707285815304</v>
      </c>
      <c r="BI19" s="202">
        <f t="shared" si="14"/>
        <v>27573.481010312236</v>
      </c>
      <c r="BJ19" s="202">
        <f t="shared" si="14"/>
        <v>27655.254734809168</v>
      </c>
      <c r="BK19" s="202">
        <f t="shared" si="14"/>
        <v>27737.028459306101</v>
      </c>
      <c r="BL19" s="202">
        <f t="shared" si="14"/>
        <v>27818.802183803033</v>
      </c>
      <c r="BM19" s="202">
        <f t="shared" si="14"/>
        <v>27900.575908299965</v>
      </c>
      <c r="BN19" s="202">
        <f t="shared" si="14"/>
        <v>27982.349632796897</v>
      </c>
      <c r="BO19" s="202">
        <f t="shared" si="14"/>
        <v>28064.123357293833</v>
      </c>
      <c r="BP19" s="202">
        <f t="shared" si="14"/>
        <v>28145.897081790765</v>
      </c>
      <c r="BQ19" s="202">
        <f t="shared" si="14"/>
        <v>28227.670806287697</v>
      </c>
      <c r="BR19" s="202">
        <f t="shared" si="14"/>
        <v>28309.444530784629</v>
      </c>
      <c r="BS19" s="202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28391.218255281561</v>
      </c>
      <c r="BT19" s="202">
        <f t="shared" si="15"/>
        <v>28873.415406995126</v>
      </c>
      <c r="BU19" s="202">
        <f t="shared" si="15"/>
        <v>29355.61255870869</v>
      </c>
      <c r="BV19" s="202">
        <f t="shared" si="15"/>
        <v>29837.809710422254</v>
      </c>
      <c r="BW19" s="202">
        <f t="shared" si="15"/>
        <v>30320.006862135819</v>
      </c>
      <c r="BX19" s="202">
        <f t="shared" si="15"/>
        <v>30802.204013849383</v>
      </c>
      <c r="BY19" s="202">
        <f t="shared" si="15"/>
        <v>31284.401165562947</v>
      </c>
      <c r="BZ19" s="202">
        <f t="shared" si="15"/>
        <v>31766.598317276512</v>
      </c>
      <c r="CA19" s="202">
        <f t="shared" si="15"/>
        <v>32248.79546899008</v>
      </c>
      <c r="CB19" s="202">
        <f t="shared" si="15"/>
        <v>32730.992620703641</v>
      </c>
      <c r="CC19" s="202">
        <f t="shared" si="15"/>
        <v>33213.189772417209</v>
      </c>
      <c r="CD19" s="202">
        <f t="shared" si="15"/>
        <v>33695.386924130769</v>
      </c>
      <c r="CE19" s="202">
        <f t="shared" si="15"/>
        <v>34177.584075844337</v>
      </c>
      <c r="CF19" s="202">
        <f t="shared" si="15"/>
        <v>34659.781227557898</v>
      </c>
      <c r="CG19" s="202">
        <f t="shared" si="15"/>
        <v>35141.978379271466</v>
      </c>
      <c r="CH19" s="202">
        <f t="shared" si="15"/>
        <v>35624.175530985027</v>
      </c>
      <c r="CI19" s="202">
        <f t="shared" si="15"/>
        <v>36106.372682698595</v>
      </c>
      <c r="CJ19" s="202">
        <f t="shared" si="15"/>
        <v>36588.569834412163</v>
      </c>
      <c r="CK19" s="202">
        <f t="shared" si="15"/>
        <v>37070.766986125724</v>
      </c>
      <c r="CL19" s="202">
        <f t="shared" si="15"/>
        <v>37552.964137839284</v>
      </c>
      <c r="CM19" s="202">
        <f t="shared" si="15"/>
        <v>38035.161289552852</v>
      </c>
      <c r="CN19" s="202">
        <f t="shared" si="15"/>
        <v>38517.35844126642</v>
      </c>
      <c r="CO19" s="202">
        <f t="shared" si="15"/>
        <v>38999.555592979981</v>
      </c>
      <c r="CP19" s="202">
        <f t="shared" si="15"/>
        <v>40131.205670397358</v>
      </c>
      <c r="CQ19" s="202">
        <f t="shared" si="15"/>
        <v>41912.30867351855</v>
      </c>
      <c r="CR19" s="202">
        <f t="shared" si="15"/>
        <v>43693.411676639742</v>
      </c>
      <c r="CS19" s="202">
        <f t="shared" si="15"/>
        <v>45474.514679760927</v>
      </c>
      <c r="CT19" s="202">
        <f t="shared" si="15"/>
        <v>47255.617682882119</v>
      </c>
      <c r="CU19" s="202">
        <f t="shared" si="15"/>
        <v>49036.720686003311</v>
      </c>
      <c r="CV19" s="202">
        <f t="shared" si="15"/>
        <v>50817.823689124503</v>
      </c>
      <c r="CW19" s="202">
        <f t="shared" si="15"/>
        <v>52598.926692245688</v>
      </c>
      <c r="CX19" s="202">
        <f t="shared" si="15"/>
        <v>54380.02969536688</v>
      </c>
      <c r="CY19" s="202">
        <f t="shared" si="15"/>
        <v>56161.132698488072</v>
      </c>
      <c r="CZ19" s="202" t="str">
        <f t="shared" si="15"/>
        <v/>
      </c>
      <c r="DA19" s="202" t="str">
        <f t="shared" si="15"/>
        <v/>
      </c>
    </row>
    <row r="21" spans="1:105">
      <c r="B21" s="202" t="s">
        <v>97</v>
      </c>
      <c r="C21" s="202" t="s">
        <v>96</v>
      </c>
      <c r="D21" s="202" t="s">
        <v>98</v>
      </c>
      <c r="E21" s="202" t="s">
        <v>99</v>
      </c>
    </row>
    <row r="22" spans="1:105">
      <c r="B22" s="206">
        <f>B2*100</f>
        <v>50</v>
      </c>
      <c r="C22" s="206">
        <f>C2*100</f>
        <v>30</v>
      </c>
      <c r="D22" s="206">
        <f>D2*100</f>
        <v>15</v>
      </c>
      <c r="E22" s="206">
        <f>E2*100</f>
        <v>5</v>
      </c>
      <c r="F22" s="206">
        <v>0</v>
      </c>
      <c r="G22" s="206">
        <v>1</v>
      </c>
      <c r="H22" s="206">
        <v>2</v>
      </c>
      <c r="I22" s="206">
        <v>3</v>
      </c>
      <c r="J22" s="206">
        <v>4</v>
      </c>
      <c r="K22" s="206">
        <v>5</v>
      </c>
      <c r="L22" s="206">
        <v>6</v>
      </c>
      <c r="M22" s="206">
        <v>7</v>
      </c>
      <c r="N22" s="206">
        <v>8</v>
      </c>
      <c r="O22" s="206">
        <v>9</v>
      </c>
      <c r="P22" s="206">
        <v>10</v>
      </c>
      <c r="Q22" s="206">
        <v>11</v>
      </c>
      <c r="R22" s="206">
        <v>12</v>
      </c>
      <c r="S22" s="206">
        <v>13</v>
      </c>
      <c r="T22" s="206">
        <v>14</v>
      </c>
      <c r="U22" s="206">
        <v>15</v>
      </c>
      <c r="V22" s="206">
        <v>16</v>
      </c>
      <c r="W22" s="206">
        <v>17</v>
      </c>
      <c r="X22" s="206">
        <v>18</v>
      </c>
      <c r="Y22" s="206">
        <v>19</v>
      </c>
      <c r="Z22" s="206">
        <v>20</v>
      </c>
      <c r="AA22" s="206">
        <v>21</v>
      </c>
      <c r="AB22" s="206">
        <v>22</v>
      </c>
      <c r="AC22" s="206">
        <v>23</v>
      </c>
      <c r="AD22" s="206">
        <v>24</v>
      </c>
      <c r="AE22" s="206">
        <v>25</v>
      </c>
      <c r="AF22" s="206">
        <v>26</v>
      </c>
      <c r="AG22" s="206">
        <v>27</v>
      </c>
      <c r="AH22" s="206">
        <v>28</v>
      </c>
      <c r="AI22" s="206">
        <v>29</v>
      </c>
      <c r="AJ22" s="206">
        <v>30</v>
      </c>
      <c r="AK22" s="206">
        <v>31</v>
      </c>
      <c r="AL22" s="206">
        <v>32</v>
      </c>
      <c r="AM22" s="206">
        <v>33</v>
      </c>
      <c r="AN22" s="206">
        <v>34</v>
      </c>
      <c r="AO22" s="206">
        <v>35</v>
      </c>
      <c r="AP22" s="206">
        <v>36</v>
      </c>
      <c r="AQ22" s="206">
        <v>37</v>
      </c>
      <c r="AR22" s="206">
        <v>38</v>
      </c>
      <c r="AS22" s="206">
        <v>39</v>
      </c>
      <c r="AT22" s="206">
        <v>40</v>
      </c>
      <c r="AU22" s="206">
        <v>41</v>
      </c>
      <c r="AV22" s="206">
        <v>42</v>
      </c>
      <c r="AW22" s="206">
        <v>43</v>
      </c>
      <c r="AX22" s="206">
        <v>44</v>
      </c>
      <c r="AY22" s="206">
        <v>45</v>
      </c>
      <c r="AZ22" s="206">
        <v>46</v>
      </c>
      <c r="BA22" s="206">
        <v>47</v>
      </c>
      <c r="BB22" s="206">
        <v>48</v>
      </c>
      <c r="BC22" s="206">
        <v>49</v>
      </c>
      <c r="BD22" s="206">
        <v>50</v>
      </c>
      <c r="BE22" s="206">
        <v>51</v>
      </c>
      <c r="BF22" s="206">
        <v>52</v>
      </c>
      <c r="BG22" s="206">
        <v>53</v>
      </c>
      <c r="BH22" s="206">
        <v>54</v>
      </c>
      <c r="BI22" s="206">
        <v>55</v>
      </c>
      <c r="BJ22" s="206">
        <v>56</v>
      </c>
      <c r="BK22" s="206">
        <v>57</v>
      </c>
      <c r="BL22" s="206">
        <v>58</v>
      </c>
      <c r="BM22" s="206">
        <v>59</v>
      </c>
      <c r="BN22" s="206">
        <v>60</v>
      </c>
      <c r="BO22" s="206">
        <v>61</v>
      </c>
      <c r="BP22" s="206">
        <v>62</v>
      </c>
      <c r="BQ22" s="206">
        <v>63</v>
      </c>
      <c r="BR22" s="206">
        <v>64</v>
      </c>
      <c r="BS22" s="206">
        <v>65</v>
      </c>
      <c r="BT22" s="206">
        <v>66</v>
      </c>
      <c r="BU22" s="206">
        <v>67</v>
      </c>
      <c r="BV22" s="206">
        <v>68</v>
      </c>
      <c r="BW22" s="206">
        <v>69</v>
      </c>
      <c r="BX22" s="206">
        <v>70</v>
      </c>
      <c r="BY22" s="206">
        <v>71</v>
      </c>
      <c r="BZ22" s="206">
        <v>72</v>
      </c>
      <c r="CA22" s="206">
        <v>73</v>
      </c>
      <c r="CB22" s="206">
        <v>74</v>
      </c>
      <c r="CC22" s="206">
        <v>75</v>
      </c>
      <c r="CD22" s="206">
        <v>76</v>
      </c>
      <c r="CE22" s="206">
        <v>77</v>
      </c>
      <c r="CF22" s="206">
        <v>78</v>
      </c>
      <c r="CG22" s="206">
        <v>79</v>
      </c>
      <c r="CH22" s="206">
        <v>80</v>
      </c>
      <c r="CI22" s="206">
        <v>81</v>
      </c>
      <c r="CJ22" s="206">
        <v>82</v>
      </c>
      <c r="CK22" s="206">
        <v>83</v>
      </c>
      <c r="CL22" s="206">
        <v>84</v>
      </c>
      <c r="CM22" s="206">
        <v>85</v>
      </c>
      <c r="CN22" s="206">
        <v>86</v>
      </c>
      <c r="CO22" s="206">
        <v>87</v>
      </c>
      <c r="CP22" s="206">
        <v>88</v>
      </c>
      <c r="CQ22" s="206">
        <v>89</v>
      </c>
      <c r="CR22" s="206">
        <v>90</v>
      </c>
      <c r="CS22" s="206">
        <v>91</v>
      </c>
      <c r="CT22" s="206">
        <v>92</v>
      </c>
      <c r="CU22" s="206">
        <v>93</v>
      </c>
      <c r="CV22" s="206">
        <v>94</v>
      </c>
      <c r="CW22" s="206">
        <v>95</v>
      </c>
      <c r="CX22" s="206">
        <v>96</v>
      </c>
      <c r="CY22" s="206">
        <v>97</v>
      </c>
      <c r="CZ22" s="206">
        <v>98</v>
      </c>
      <c r="DA22" s="206">
        <v>99</v>
      </c>
    </row>
    <row r="23" spans="1:105">
      <c r="B23" s="207">
        <f>SUM($B22:B22)</f>
        <v>50</v>
      </c>
      <c r="C23" s="207">
        <f>SUM($B22:C22)</f>
        <v>80</v>
      </c>
      <c r="D23" s="207">
        <f>SUM($B22:D22)</f>
        <v>95</v>
      </c>
      <c r="E23" s="207">
        <f>SUM($B22:E22)</f>
        <v>100</v>
      </c>
      <c r="F23" s="208"/>
      <c r="G23" s="208"/>
      <c r="H23" s="208"/>
      <c r="I23" s="208"/>
      <c r="J23" s="208"/>
      <c r="K23" s="208"/>
      <c r="L23" s="208"/>
      <c r="M23" s="208"/>
      <c r="N23" s="208"/>
      <c r="O23" s="208"/>
      <c r="P23" s="208"/>
      <c r="Q23" s="208"/>
      <c r="R23" s="208"/>
      <c r="S23" s="208"/>
      <c r="T23" s="208"/>
      <c r="U23" s="208"/>
      <c r="V23" s="208"/>
      <c r="W23" s="208"/>
      <c r="X23" s="208"/>
      <c r="Y23" s="208"/>
      <c r="Z23" s="208"/>
      <c r="AA23" s="208"/>
      <c r="AB23" s="208"/>
      <c r="AC23" s="208"/>
      <c r="AD23" s="208"/>
      <c r="AE23" s="208"/>
      <c r="AF23" s="208"/>
      <c r="AG23" s="208"/>
      <c r="AH23" s="208"/>
      <c r="AI23" s="208"/>
      <c r="AJ23" s="208"/>
      <c r="AK23" s="208"/>
      <c r="AL23" s="208"/>
      <c r="AM23" s="208"/>
      <c r="AN23" s="208"/>
      <c r="AO23" s="208"/>
      <c r="AP23" s="208"/>
      <c r="AQ23" s="208"/>
      <c r="AR23" s="208"/>
      <c r="AS23" s="208"/>
      <c r="AT23" s="208"/>
      <c r="AU23" s="208"/>
      <c r="AV23" s="208"/>
      <c r="AW23" s="208"/>
      <c r="AX23" s="208"/>
      <c r="AY23" s="208"/>
      <c r="AZ23" s="208"/>
      <c r="BA23" s="208"/>
      <c r="BB23" s="208"/>
      <c r="BC23" s="208"/>
      <c r="BD23" s="208"/>
      <c r="BE23" s="208"/>
      <c r="BF23" s="208"/>
      <c r="BG23" s="208"/>
      <c r="BH23" s="208"/>
      <c r="BI23" s="208"/>
      <c r="BJ23" s="208"/>
      <c r="BK23" s="208"/>
      <c r="BL23" s="208"/>
      <c r="BM23" s="208"/>
      <c r="BN23" s="208"/>
      <c r="BO23" s="208"/>
      <c r="BP23" s="208"/>
      <c r="BQ23" s="208"/>
      <c r="BR23" s="208"/>
      <c r="BS23" s="208"/>
      <c r="BT23" s="208"/>
      <c r="BU23" s="208"/>
      <c r="BV23" s="208"/>
      <c r="BW23" s="208"/>
      <c r="BX23" s="208"/>
      <c r="BY23" s="208"/>
      <c r="BZ23" s="208"/>
      <c r="CA23" s="208"/>
      <c r="CB23" s="208"/>
      <c r="CC23" s="208"/>
      <c r="CD23" s="208"/>
      <c r="CE23" s="208"/>
      <c r="CF23" s="208"/>
      <c r="CG23" s="208"/>
      <c r="CH23" s="208"/>
      <c r="CI23" s="208"/>
      <c r="CJ23" s="208"/>
      <c r="CK23" s="208"/>
      <c r="CL23" s="208"/>
      <c r="CM23" s="208"/>
      <c r="CN23" s="208"/>
      <c r="CO23" s="208"/>
      <c r="CP23" s="208"/>
      <c r="CQ23" s="208"/>
      <c r="CR23" s="208"/>
      <c r="CS23" s="208"/>
      <c r="CT23" s="208"/>
      <c r="CU23" s="208"/>
      <c r="CV23" s="208"/>
      <c r="CW23" s="208"/>
      <c r="CX23" s="208"/>
      <c r="CY23" s="208"/>
      <c r="CZ23" s="208"/>
      <c r="DA23" s="208"/>
    </row>
    <row r="24" spans="1:105">
      <c r="B24" s="209">
        <f>A23+(B23-A23)/2</f>
        <v>25</v>
      </c>
      <c r="C24" s="209">
        <f>B23+(C23-B23)/2</f>
        <v>65</v>
      </c>
      <c r="D24" s="209">
        <f>C23+(D23-C23)/2</f>
        <v>87.5</v>
      </c>
      <c r="E24" s="209">
        <f>D23+(E23-D23)/2</f>
        <v>97.5</v>
      </c>
      <c r="F24" s="210"/>
      <c r="G24" s="210"/>
      <c r="H24" s="210"/>
      <c r="I24" s="210"/>
      <c r="J24" s="210"/>
      <c r="K24" s="210"/>
      <c r="L24" s="210"/>
      <c r="M24" s="210"/>
      <c r="N24" s="210"/>
      <c r="O24" s="210"/>
      <c r="P24" s="210"/>
      <c r="Q24" s="210"/>
      <c r="R24" s="210"/>
      <c r="S24" s="210"/>
      <c r="T24" s="210"/>
      <c r="U24" s="210"/>
      <c r="V24" s="210"/>
      <c r="W24" s="210"/>
      <c r="X24" s="210"/>
      <c r="Y24" s="210"/>
      <c r="Z24" s="210"/>
      <c r="AA24" s="210"/>
      <c r="AB24" s="210"/>
      <c r="AC24" s="210"/>
      <c r="AD24" s="210"/>
      <c r="AE24" s="210"/>
      <c r="AF24" s="210"/>
      <c r="AG24" s="210"/>
      <c r="AH24" s="210"/>
      <c r="AI24" s="210"/>
      <c r="AJ24" s="210"/>
      <c r="AK24" s="210"/>
      <c r="AL24" s="210"/>
      <c r="AM24" s="210"/>
      <c r="AN24" s="210"/>
      <c r="AO24" s="210"/>
      <c r="AP24" s="210"/>
      <c r="AQ24" s="210"/>
      <c r="AR24" s="210"/>
      <c r="AS24" s="210"/>
      <c r="AT24" s="210"/>
      <c r="AU24" s="210"/>
      <c r="AV24" s="210"/>
      <c r="AW24" s="210"/>
      <c r="AX24" s="210"/>
      <c r="AY24" s="210"/>
      <c r="AZ24" s="210"/>
      <c r="BA24" s="210"/>
      <c r="BB24" s="210"/>
      <c r="BC24" s="210"/>
      <c r="BD24" s="210"/>
      <c r="BE24" s="210"/>
      <c r="BF24" s="210"/>
      <c r="BG24" s="210"/>
      <c r="BH24" s="210"/>
      <c r="BI24" s="210"/>
      <c r="BJ24" s="210"/>
      <c r="BK24" s="210"/>
      <c r="BL24" s="210"/>
      <c r="BM24" s="210"/>
      <c r="BN24" s="210"/>
      <c r="BO24" s="210"/>
      <c r="BP24" s="210"/>
      <c r="BQ24" s="210"/>
      <c r="BR24" s="210"/>
      <c r="BS24" s="210"/>
      <c r="BT24" s="210"/>
      <c r="BU24" s="210"/>
      <c r="BV24" s="210"/>
      <c r="BW24" s="210"/>
      <c r="BX24" s="210"/>
      <c r="BY24" s="210"/>
      <c r="BZ24" s="210"/>
      <c r="CA24" s="210"/>
      <c r="CB24" s="210"/>
      <c r="CC24" s="210"/>
      <c r="CD24" s="210"/>
      <c r="CE24" s="210"/>
      <c r="CF24" s="210"/>
      <c r="CG24" s="210"/>
      <c r="CH24" s="210"/>
      <c r="CI24" s="210"/>
      <c r="CJ24" s="210"/>
      <c r="CK24" s="210"/>
      <c r="CL24" s="210"/>
      <c r="CM24" s="210"/>
      <c r="CN24" s="210"/>
      <c r="CO24" s="210"/>
      <c r="CP24" s="210"/>
      <c r="CQ24" s="210"/>
      <c r="CR24" s="210"/>
      <c r="CS24" s="210"/>
      <c r="CT24" s="210"/>
      <c r="CU24" s="210"/>
      <c r="CV24" s="210"/>
      <c r="CW24" s="210"/>
      <c r="CX24" s="210"/>
      <c r="CY24" s="210"/>
      <c r="CZ24" s="210"/>
      <c r="DA24" s="210"/>
    </row>
    <row r="25" spans="1:105">
      <c r="A25" s="202" t="str">
        <f>Income!A72</f>
        <v>Own crops Consumed</v>
      </c>
      <c r="B25" s="204">
        <f>Income!B72</f>
        <v>2141.4760993113323</v>
      </c>
      <c r="C25" s="204">
        <f>Income!C72</f>
        <v>2371.3955683925333</v>
      </c>
      <c r="D25" s="204">
        <f>Income!D72</f>
        <v>3300.5357221090021</v>
      </c>
      <c r="E25" s="204">
        <f>Income!E72</f>
        <v>3337.8721544275227</v>
      </c>
      <c r="F25" s="211">
        <f>IF(F$22&lt;=$E$24,IF(F$22&lt;=$D$24,IF(F$22&lt;=$C$24,IF(F$22&lt;=$B$24,$B25,$B25+(F$22-$B$24)*($C25-$B25)/($C$24-$B$24)),$C25+(F$22-$C$24)*($D25-$C25)/($D$24-$C$24)),$D25+(F$22-$D$24)*($E25-$D25)/($E$24-$D$24)),$E25)</f>
        <v>2141.4760993113323</v>
      </c>
      <c r="G25" s="211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2141.4760993113323</v>
      </c>
      <c r="H25" s="211">
        <f t="shared" si="16"/>
        <v>2141.4760993113323</v>
      </c>
      <c r="I25" s="211">
        <f t="shared" si="16"/>
        <v>2141.4760993113323</v>
      </c>
      <c r="J25" s="211">
        <f t="shared" si="16"/>
        <v>2141.4760993113323</v>
      </c>
      <c r="K25" s="211">
        <f t="shared" si="16"/>
        <v>2141.4760993113323</v>
      </c>
      <c r="L25" s="211">
        <f t="shared" si="16"/>
        <v>2141.4760993113323</v>
      </c>
      <c r="M25" s="211">
        <f t="shared" si="16"/>
        <v>2141.4760993113323</v>
      </c>
      <c r="N25" s="211">
        <f t="shared" si="16"/>
        <v>2141.4760993113323</v>
      </c>
      <c r="O25" s="211">
        <f t="shared" si="16"/>
        <v>2141.4760993113323</v>
      </c>
      <c r="P25" s="211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2141.4760993113323</v>
      </c>
      <c r="Q25" s="211">
        <f t="shared" si="17"/>
        <v>2141.4760993113323</v>
      </c>
      <c r="R25" s="211">
        <f t="shared" si="17"/>
        <v>2141.4760993113323</v>
      </c>
      <c r="S25" s="211">
        <f>IF(S$22&lt;=$E$24,IF(S$22&lt;=$D$24,IF(S$22&lt;=$C$24,IF(S$22&lt;=$B$24,$B25,$B25+(S$22-$B$24)*($C25-$B25)/($C$24-$B$24)),$C25+(S$22-$C$24)*($D25-$C25)/($D$24-$C$24)),$D25+(S$22-$D$24)*($E25-$D25)/($E$24-$D$24)),$E25)</f>
        <v>2141.4760993113323</v>
      </c>
      <c r="T25" s="211">
        <f t="shared" si="17"/>
        <v>2141.4760993113323</v>
      </c>
      <c r="U25" s="211">
        <f t="shared" si="17"/>
        <v>2141.4760993113323</v>
      </c>
      <c r="V25" s="211">
        <f t="shared" si="17"/>
        <v>2141.4760993113323</v>
      </c>
      <c r="W25" s="211">
        <f t="shared" si="17"/>
        <v>2141.4760993113323</v>
      </c>
      <c r="X25" s="211">
        <f t="shared" si="17"/>
        <v>2141.4760993113323</v>
      </c>
      <c r="Y25" s="211">
        <f t="shared" si="17"/>
        <v>2141.4760993113323</v>
      </c>
      <c r="Z25" s="211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2141.4760993113323</v>
      </c>
      <c r="AA25" s="211">
        <f t="shared" si="18"/>
        <v>2141.4760993113323</v>
      </c>
      <c r="AB25" s="211">
        <f t="shared" si="18"/>
        <v>2141.4760993113323</v>
      </c>
      <c r="AC25" s="211">
        <f t="shared" si="18"/>
        <v>2141.4760993113323</v>
      </c>
      <c r="AD25" s="211">
        <f t="shared" si="18"/>
        <v>2141.4760993113323</v>
      </c>
      <c r="AE25" s="211">
        <f t="shared" si="18"/>
        <v>2141.4760993113323</v>
      </c>
      <c r="AF25" s="211">
        <f t="shared" si="18"/>
        <v>2147.2240860383622</v>
      </c>
      <c r="AG25" s="211">
        <f t="shared" si="18"/>
        <v>2152.9720727653921</v>
      </c>
      <c r="AH25" s="211">
        <f t="shared" si="18"/>
        <v>2158.7200594924225</v>
      </c>
      <c r="AI25" s="211">
        <f t="shared" si="18"/>
        <v>2164.4680462194524</v>
      </c>
      <c r="AJ25" s="211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2170.2160329464823</v>
      </c>
      <c r="AK25" s="211">
        <f t="shared" si="19"/>
        <v>2175.9640196735127</v>
      </c>
      <c r="AL25" s="211">
        <f t="shared" si="19"/>
        <v>2181.7120064005426</v>
      </c>
      <c r="AM25" s="211">
        <f t="shared" si="19"/>
        <v>2187.4599931275725</v>
      </c>
      <c r="AN25" s="211">
        <f t="shared" si="19"/>
        <v>2193.2079798546024</v>
      </c>
      <c r="AO25" s="211">
        <f t="shared" si="19"/>
        <v>2198.9559665816323</v>
      </c>
      <c r="AP25" s="211">
        <f t="shared" si="19"/>
        <v>2204.7039533086627</v>
      </c>
      <c r="AQ25" s="211">
        <f t="shared" si="19"/>
        <v>2210.4519400356926</v>
      </c>
      <c r="AR25" s="211">
        <f t="shared" si="19"/>
        <v>2216.1999267627225</v>
      </c>
      <c r="AS25" s="211">
        <f t="shared" si="19"/>
        <v>2221.9479134897529</v>
      </c>
      <c r="AT25" s="211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2227.6959002167828</v>
      </c>
      <c r="AU25" s="211">
        <f t="shared" si="20"/>
        <v>2233.4438869438127</v>
      </c>
      <c r="AV25" s="211">
        <f t="shared" si="20"/>
        <v>2239.1918736708426</v>
      </c>
      <c r="AW25" s="211">
        <f t="shared" si="20"/>
        <v>2244.9398603978725</v>
      </c>
      <c r="AX25" s="211">
        <f t="shared" si="20"/>
        <v>2250.6878471249029</v>
      </c>
      <c r="AY25" s="211">
        <f t="shared" si="20"/>
        <v>2256.4358338519328</v>
      </c>
      <c r="AZ25" s="211">
        <f t="shared" si="20"/>
        <v>2262.1838205789627</v>
      </c>
      <c r="BA25" s="211">
        <f t="shared" si="20"/>
        <v>2267.9318073059931</v>
      </c>
      <c r="BB25" s="211">
        <f t="shared" si="20"/>
        <v>2273.679794033023</v>
      </c>
      <c r="BC25" s="211">
        <f t="shared" si="20"/>
        <v>2279.4277807600529</v>
      </c>
      <c r="BD25" s="211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2285.1757674870828</v>
      </c>
      <c r="BE25" s="211">
        <f t="shared" si="21"/>
        <v>2290.9237542141127</v>
      </c>
      <c r="BF25" s="211">
        <f t="shared" si="21"/>
        <v>2296.6717409411431</v>
      </c>
      <c r="BG25" s="211">
        <f t="shared" si="21"/>
        <v>2302.419727668173</v>
      </c>
      <c r="BH25" s="211">
        <f t="shared" si="21"/>
        <v>2308.1677143952029</v>
      </c>
      <c r="BI25" s="211">
        <f t="shared" si="21"/>
        <v>2313.9157011222333</v>
      </c>
      <c r="BJ25" s="211">
        <f t="shared" si="21"/>
        <v>2319.6636878492632</v>
      </c>
      <c r="BK25" s="211">
        <f t="shared" si="21"/>
        <v>2325.4116745762931</v>
      </c>
      <c r="BL25" s="211">
        <f t="shared" si="21"/>
        <v>2331.159661303323</v>
      </c>
      <c r="BM25" s="211">
        <f t="shared" si="21"/>
        <v>2336.9076480303529</v>
      </c>
      <c r="BN25" s="211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2342.6556347573833</v>
      </c>
      <c r="BO25" s="211">
        <f t="shared" si="22"/>
        <v>2348.4036214844132</v>
      </c>
      <c r="BP25" s="211">
        <f t="shared" si="22"/>
        <v>2354.1516082114431</v>
      </c>
      <c r="BQ25" s="211">
        <f t="shared" si="22"/>
        <v>2359.8995949384735</v>
      </c>
      <c r="BR25" s="211">
        <f t="shared" si="22"/>
        <v>2365.6475816655034</v>
      </c>
      <c r="BS25" s="211">
        <f t="shared" si="22"/>
        <v>2371.3955683925333</v>
      </c>
      <c r="BT25" s="211">
        <f t="shared" si="22"/>
        <v>2412.6906863354875</v>
      </c>
      <c r="BU25" s="211">
        <f t="shared" si="22"/>
        <v>2453.9858042784417</v>
      </c>
      <c r="BV25" s="211">
        <f t="shared" si="22"/>
        <v>2495.2809222213959</v>
      </c>
      <c r="BW25" s="211">
        <f t="shared" si="22"/>
        <v>2536.5760401643502</v>
      </c>
      <c r="BX25" s="211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2577.8711581073039</v>
      </c>
      <c r="BY25" s="211">
        <f t="shared" si="23"/>
        <v>2619.1662760502581</v>
      </c>
      <c r="BZ25" s="211">
        <f t="shared" si="23"/>
        <v>2660.4613939932124</v>
      </c>
      <c r="CA25" s="211">
        <f t="shared" si="23"/>
        <v>2701.7565119361666</v>
      </c>
      <c r="CB25" s="211">
        <f t="shared" si="23"/>
        <v>2743.0516298791208</v>
      </c>
      <c r="CC25" s="211">
        <f t="shared" si="23"/>
        <v>2784.346747822075</v>
      </c>
      <c r="CD25" s="211">
        <f t="shared" si="23"/>
        <v>2825.6418657650293</v>
      </c>
      <c r="CE25" s="211">
        <f t="shared" si="23"/>
        <v>2866.9369837079835</v>
      </c>
      <c r="CF25" s="211">
        <f t="shared" si="23"/>
        <v>2908.2321016509377</v>
      </c>
      <c r="CG25" s="211">
        <f t="shared" si="23"/>
        <v>2949.5272195938915</v>
      </c>
      <c r="CH25" s="211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2990.8223375368457</v>
      </c>
      <c r="CI25" s="211">
        <f t="shared" si="24"/>
        <v>3032.1174554797999</v>
      </c>
      <c r="CJ25" s="211">
        <f t="shared" si="24"/>
        <v>3073.4125734227541</v>
      </c>
      <c r="CK25" s="211">
        <f t="shared" si="24"/>
        <v>3114.7076913657083</v>
      </c>
      <c r="CL25" s="211">
        <f t="shared" si="24"/>
        <v>3156.0028093086626</v>
      </c>
      <c r="CM25" s="211">
        <f t="shared" si="24"/>
        <v>3197.2979272516168</v>
      </c>
      <c r="CN25" s="211">
        <f t="shared" si="24"/>
        <v>3238.593045194571</v>
      </c>
      <c r="CO25" s="211">
        <f t="shared" si="24"/>
        <v>3279.8881631375252</v>
      </c>
      <c r="CP25" s="211">
        <f t="shared" si="24"/>
        <v>3302.4025437249284</v>
      </c>
      <c r="CQ25" s="211">
        <f t="shared" si="24"/>
        <v>3306.13618695678</v>
      </c>
      <c r="CR25" s="211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3309.8698301886325</v>
      </c>
      <c r="CS25" s="211">
        <f t="shared" si="25"/>
        <v>3313.6034734204841</v>
      </c>
      <c r="CT25" s="211">
        <f t="shared" si="25"/>
        <v>3317.3371166523366</v>
      </c>
      <c r="CU25" s="211">
        <f t="shared" si="25"/>
        <v>3321.0707598841882</v>
      </c>
      <c r="CV25" s="211">
        <f t="shared" si="25"/>
        <v>3324.8044031160407</v>
      </c>
      <c r="CW25" s="211">
        <f t="shared" si="25"/>
        <v>3328.5380463478923</v>
      </c>
      <c r="CX25" s="211">
        <f t="shared" si="25"/>
        <v>3332.2716895797448</v>
      </c>
      <c r="CY25" s="211">
        <f t="shared" si="25"/>
        <v>3336.0053328115964</v>
      </c>
      <c r="CZ25" s="211">
        <f t="shared" si="25"/>
        <v>3337.8721544275227</v>
      </c>
      <c r="DA25" s="211">
        <f t="shared" si="25"/>
        <v>3337.8721544275227</v>
      </c>
    </row>
    <row r="26" spans="1:105">
      <c r="A26" s="202" t="str">
        <f>Income!A73</f>
        <v>Own crops sold</v>
      </c>
      <c r="B26" s="204">
        <f>Income!B73</f>
        <v>0</v>
      </c>
      <c r="C26" s="204">
        <f>Income!C73</f>
        <v>836</v>
      </c>
      <c r="D26" s="204">
        <f>Income!D73</f>
        <v>3621</v>
      </c>
      <c r="E26" s="204">
        <f>Income!E73</f>
        <v>5132.4444444444443</v>
      </c>
      <c r="F26" s="211">
        <f t="shared" si="16"/>
        <v>0</v>
      </c>
      <c r="G26" s="211">
        <f t="shared" si="16"/>
        <v>0</v>
      </c>
      <c r="H26" s="211">
        <f t="shared" si="16"/>
        <v>0</v>
      </c>
      <c r="I26" s="211">
        <f t="shared" si="16"/>
        <v>0</v>
      </c>
      <c r="J26" s="211">
        <f t="shared" si="16"/>
        <v>0</v>
      </c>
      <c r="K26" s="211">
        <f t="shared" si="16"/>
        <v>0</v>
      </c>
      <c r="L26" s="211">
        <f t="shared" si="16"/>
        <v>0</v>
      </c>
      <c r="M26" s="211">
        <f t="shared" si="16"/>
        <v>0</v>
      </c>
      <c r="N26" s="211">
        <f t="shared" si="16"/>
        <v>0</v>
      </c>
      <c r="O26" s="211">
        <f t="shared" si="16"/>
        <v>0</v>
      </c>
      <c r="P26" s="211">
        <f t="shared" si="17"/>
        <v>0</v>
      </c>
      <c r="Q26" s="211">
        <f t="shared" si="17"/>
        <v>0</v>
      </c>
      <c r="R26" s="211">
        <f t="shared" si="17"/>
        <v>0</v>
      </c>
      <c r="S26" s="211">
        <f t="shared" si="17"/>
        <v>0</v>
      </c>
      <c r="T26" s="211">
        <f t="shared" si="17"/>
        <v>0</v>
      </c>
      <c r="U26" s="211">
        <f t="shared" si="17"/>
        <v>0</v>
      </c>
      <c r="V26" s="211">
        <f t="shared" si="17"/>
        <v>0</v>
      </c>
      <c r="W26" s="211">
        <f t="shared" si="17"/>
        <v>0</v>
      </c>
      <c r="X26" s="211">
        <f t="shared" si="17"/>
        <v>0</v>
      </c>
      <c r="Y26" s="211">
        <f t="shared" si="17"/>
        <v>0</v>
      </c>
      <c r="Z26" s="211">
        <f t="shared" si="18"/>
        <v>0</v>
      </c>
      <c r="AA26" s="211">
        <f t="shared" si="18"/>
        <v>0</v>
      </c>
      <c r="AB26" s="211">
        <f t="shared" si="18"/>
        <v>0</v>
      </c>
      <c r="AC26" s="211">
        <f t="shared" si="18"/>
        <v>0</v>
      </c>
      <c r="AD26" s="211">
        <f t="shared" si="18"/>
        <v>0</v>
      </c>
      <c r="AE26" s="211">
        <f t="shared" si="18"/>
        <v>0</v>
      </c>
      <c r="AF26" s="211">
        <f t="shared" si="18"/>
        <v>20.9</v>
      </c>
      <c r="AG26" s="211">
        <f t="shared" si="18"/>
        <v>41.8</v>
      </c>
      <c r="AH26" s="211">
        <f t="shared" si="18"/>
        <v>62.7</v>
      </c>
      <c r="AI26" s="211">
        <f t="shared" si="18"/>
        <v>83.6</v>
      </c>
      <c r="AJ26" s="211">
        <f t="shared" si="19"/>
        <v>104.5</v>
      </c>
      <c r="AK26" s="211">
        <f t="shared" si="19"/>
        <v>125.4</v>
      </c>
      <c r="AL26" s="211">
        <f t="shared" si="19"/>
        <v>146.30000000000001</v>
      </c>
      <c r="AM26" s="211">
        <f t="shared" si="19"/>
        <v>167.2</v>
      </c>
      <c r="AN26" s="211">
        <f t="shared" si="19"/>
        <v>188.1</v>
      </c>
      <c r="AO26" s="211">
        <f t="shared" si="19"/>
        <v>209</v>
      </c>
      <c r="AP26" s="211">
        <f t="shared" si="19"/>
        <v>229.9</v>
      </c>
      <c r="AQ26" s="211">
        <f t="shared" si="19"/>
        <v>250.8</v>
      </c>
      <c r="AR26" s="211">
        <f t="shared" si="19"/>
        <v>271.7</v>
      </c>
      <c r="AS26" s="211">
        <f t="shared" si="19"/>
        <v>292.60000000000002</v>
      </c>
      <c r="AT26" s="211">
        <f t="shared" si="20"/>
        <v>313.5</v>
      </c>
      <c r="AU26" s="211">
        <f t="shared" si="20"/>
        <v>334.4</v>
      </c>
      <c r="AV26" s="211">
        <f t="shared" si="20"/>
        <v>355.3</v>
      </c>
      <c r="AW26" s="211">
        <f t="shared" si="20"/>
        <v>376.2</v>
      </c>
      <c r="AX26" s="211">
        <f t="shared" si="20"/>
        <v>397.1</v>
      </c>
      <c r="AY26" s="211">
        <f t="shared" si="20"/>
        <v>418</v>
      </c>
      <c r="AZ26" s="211">
        <f t="shared" si="20"/>
        <v>438.9</v>
      </c>
      <c r="BA26" s="211">
        <f t="shared" si="20"/>
        <v>459.8</v>
      </c>
      <c r="BB26" s="211">
        <f t="shared" si="20"/>
        <v>480.7</v>
      </c>
      <c r="BC26" s="211">
        <f t="shared" si="20"/>
        <v>501.6</v>
      </c>
      <c r="BD26" s="211">
        <f t="shared" si="21"/>
        <v>522.5</v>
      </c>
      <c r="BE26" s="211">
        <f t="shared" si="21"/>
        <v>543.4</v>
      </c>
      <c r="BF26" s="211">
        <f t="shared" si="21"/>
        <v>564.29999999999995</v>
      </c>
      <c r="BG26" s="211">
        <f t="shared" si="21"/>
        <v>585.20000000000005</v>
      </c>
      <c r="BH26" s="211">
        <f t="shared" si="21"/>
        <v>606.1</v>
      </c>
      <c r="BI26" s="211">
        <f t="shared" si="21"/>
        <v>627</v>
      </c>
      <c r="BJ26" s="211">
        <f t="shared" si="21"/>
        <v>647.9</v>
      </c>
      <c r="BK26" s="211">
        <f t="shared" si="21"/>
        <v>668.8</v>
      </c>
      <c r="BL26" s="211">
        <f t="shared" si="21"/>
        <v>689.7</v>
      </c>
      <c r="BM26" s="211">
        <f t="shared" si="21"/>
        <v>710.6</v>
      </c>
      <c r="BN26" s="211">
        <f t="shared" si="22"/>
        <v>731.5</v>
      </c>
      <c r="BO26" s="211">
        <f t="shared" si="22"/>
        <v>752.4</v>
      </c>
      <c r="BP26" s="211">
        <f t="shared" si="22"/>
        <v>773.3</v>
      </c>
      <c r="BQ26" s="211">
        <f t="shared" si="22"/>
        <v>794.2</v>
      </c>
      <c r="BR26" s="211">
        <f t="shared" si="22"/>
        <v>815.1</v>
      </c>
      <c r="BS26" s="211">
        <f t="shared" si="22"/>
        <v>836</v>
      </c>
      <c r="BT26" s="211">
        <f t="shared" si="22"/>
        <v>959.77777777777783</v>
      </c>
      <c r="BU26" s="211">
        <f t="shared" si="22"/>
        <v>1083.5555555555557</v>
      </c>
      <c r="BV26" s="211">
        <f t="shared" si="22"/>
        <v>1207.3333333333333</v>
      </c>
      <c r="BW26" s="211">
        <f t="shared" si="22"/>
        <v>1331.1111111111111</v>
      </c>
      <c r="BX26" s="211">
        <f t="shared" si="23"/>
        <v>1454.8888888888889</v>
      </c>
      <c r="BY26" s="211">
        <f t="shared" si="23"/>
        <v>1578.6666666666665</v>
      </c>
      <c r="BZ26" s="211">
        <f t="shared" si="23"/>
        <v>1702.4444444444443</v>
      </c>
      <c r="CA26" s="211">
        <f t="shared" si="23"/>
        <v>1826.2222222222222</v>
      </c>
      <c r="CB26" s="211">
        <f t="shared" si="23"/>
        <v>1950</v>
      </c>
      <c r="CC26" s="211">
        <f t="shared" si="23"/>
        <v>2073.7777777777778</v>
      </c>
      <c r="CD26" s="211">
        <f t="shared" si="23"/>
        <v>2197.5555555555557</v>
      </c>
      <c r="CE26" s="211">
        <f t="shared" si="23"/>
        <v>2321.333333333333</v>
      </c>
      <c r="CF26" s="211">
        <f t="shared" si="23"/>
        <v>2445.1111111111113</v>
      </c>
      <c r="CG26" s="211">
        <f t="shared" si="23"/>
        <v>2568.8888888888887</v>
      </c>
      <c r="CH26" s="211">
        <f t="shared" si="24"/>
        <v>2692.666666666667</v>
      </c>
      <c r="CI26" s="211">
        <f t="shared" si="24"/>
        <v>2816.4444444444443</v>
      </c>
      <c r="CJ26" s="211">
        <f t="shared" si="24"/>
        <v>2940.2222222222222</v>
      </c>
      <c r="CK26" s="211">
        <f t="shared" si="24"/>
        <v>3064</v>
      </c>
      <c r="CL26" s="211">
        <f t="shared" si="24"/>
        <v>3187.7777777777778</v>
      </c>
      <c r="CM26" s="211">
        <f t="shared" si="24"/>
        <v>3311.5555555555557</v>
      </c>
      <c r="CN26" s="211">
        <f t="shared" si="24"/>
        <v>3435.3333333333335</v>
      </c>
      <c r="CO26" s="211">
        <f t="shared" si="24"/>
        <v>3559.1111111111113</v>
      </c>
      <c r="CP26" s="211">
        <f t="shared" si="24"/>
        <v>3696.5722222222221</v>
      </c>
      <c r="CQ26" s="211">
        <f t="shared" si="24"/>
        <v>3847.7166666666667</v>
      </c>
      <c r="CR26" s="211">
        <f t="shared" si="25"/>
        <v>3998.8611111111113</v>
      </c>
      <c r="CS26" s="211">
        <f t="shared" si="25"/>
        <v>4150.0055555555555</v>
      </c>
      <c r="CT26" s="211">
        <f t="shared" si="25"/>
        <v>4301.1499999999996</v>
      </c>
      <c r="CU26" s="211">
        <f t="shared" si="25"/>
        <v>4452.2944444444447</v>
      </c>
      <c r="CV26" s="211">
        <f t="shared" si="25"/>
        <v>4603.4388888888889</v>
      </c>
      <c r="CW26" s="211">
        <f t="shared" si="25"/>
        <v>4754.583333333333</v>
      </c>
      <c r="CX26" s="211">
        <f t="shared" si="25"/>
        <v>4905.7277777777781</v>
      </c>
      <c r="CY26" s="211">
        <f t="shared" si="25"/>
        <v>5056.8722222222223</v>
      </c>
      <c r="CZ26" s="211">
        <f t="shared" si="25"/>
        <v>5132.4444444444443</v>
      </c>
      <c r="DA26" s="211">
        <f t="shared" si="25"/>
        <v>5132.4444444444443</v>
      </c>
    </row>
    <row r="27" spans="1:105">
      <c r="A27" s="202" t="str">
        <f>Income!A74</f>
        <v>Animal products consumed</v>
      </c>
      <c r="B27" s="204">
        <f>Income!B74</f>
        <v>151.45508615079123</v>
      </c>
      <c r="C27" s="204">
        <f>Income!C74</f>
        <v>234.07023230600569</v>
      </c>
      <c r="D27" s="204">
        <f>Income!D74</f>
        <v>403.32969654166982</v>
      </c>
      <c r="E27" s="204">
        <f>Income!E74</f>
        <v>1050.5131066722433</v>
      </c>
      <c r="F27" s="211">
        <f t="shared" si="16"/>
        <v>151.45508615079123</v>
      </c>
      <c r="G27" s="211">
        <f t="shared" si="16"/>
        <v>151.45508615079123</v>
      </c>
      <c r="H27" s="211">
        <f t="shared" si="16"/>
        <v>151.45508615079123</v>
      </c>
      <c r="I27" s="211">
        <f t="shared" si="16"/>
        <v>151.45508615079123</v>
      </c>
      <c r="J27" s="211">
        <f t="shared" si="16"/>
        <v>151.45508615079123</v>
      </c>
      <c r="K27" s="211">
        <f t="shared" si="16"/>
        <v>151.45508615079123</v>
      </c>
      <c r="L27" s="211">
        <f t="shared" si="16"/>
        <v>151.45508615079123</v>
      </c>
      <c r="M27" s="211">
        <f t="shared" si="16"/>
        <v>151.45508615079123</v>
      </c>
      <c r="N27" s="211">
        <f t="shared" si="16"/>
        <v>151.45508615079123</v>
      </c>
      <c r="O27" s="211">
        <f t="shared" si="16"/>
        <v>151.45508615079123</v>
      </c>
      <c r="P27" s="211">
        <f t="shared" si="17"/>
        <v>151.45508615079123</v>
      </c>
      <c r="Q27" s="211">
        <f t="shared" si="17"/>
        <v>151.45508615079123</v>
      </c>
      <c r="R27" s="211">
        <f t="shared" si="17"/>
        <v>151.45508615079123</v>
      </c>
      <c r="S27" s="211">
        <f t="shared" si="17"/>
        <v>151.45508615079123</v>
      </c>
      <c r="T27" s="211">
        <f t="shared" si="17"/>
        <v>151.45508615079123</v>
      </c>
      <c r="U27" s="211">
        <f t="shared" si="17"/>
        <v>151.45508615079123</v>
      </c>
      <c r="V27" s="211">
        <f t="shared" si="17"/>
        <v>151.45508615079123</v>
      </c>
      <c r="W27" s="211">
        <f t="shared" si="17"/>
        <v>151.45508615079123</v>
      </c>
      <c r="X27" s="211">
        <f t="shared" si="17"/>
        <v>151.45508615079123</v>
      </c>
      <c r="Y27" s="211">
        <f t="shared" si="17"/>
        <v>151.45508615079123</v>
      </c>
      <c r="Z27" s="211">
        <f t="shared" si="18"/>
        <v>151.45508615079123</v>
      </c>
      <c r="AA27" s="211">
        <f t="shared" si="18"/>
        <v>151.45508615079123</v>
      </c>
      <c r="AB27" s="211">
        <f t="shared" si="18"/>
        <v>151.45508615079123</v>
      </c>
      <c r="AC27" s="211">
        <f t="shared" si="18"/>
        <v>151.45508615079123</v>
      </c>
      <c r="AD27" s="211">
        <f t="shared" si="18"/>
        <v>151.45508615079123</v>
      </c>
      <c r="AE27" s="211">
        <f t="shared" si="18"/>
        <v>151.45508615079123</v>
      </c>
      <c r="AF27" s="211">
        <f t="shared" si="18"/>
        <v>153.5204648046716</v>
      </c>
      <c r="AG27" s="211">
        <f t="shared" si="18"/>
        <v>155.58584345855195</v>
      </c>
      <c r="AH27" s="211">
        <f t="shared" si="18"/>
        <v>157.65122211243232</v>
      </c>
      <c r="AI27" s="211">
        <f t="shared" si="18"/>
        <v>159.71660076631267</v>
      </c>
      <c r="AJ27" s="211">
        <f t="shared" si="19"/>
        <v>161.78197942019304</v>
      </c>
      <c r="AK27" s="211">
        <f t="shared" si="19"/>
        <v>163.84735807407341</v>
      </c>
      <c r="AL27" s="211">
        <f t="shared" si="19"/>
        <v>165.91273672795376</v>
      </c>
      <c r="AM27" s="211">
        <f t="shared" si="19"/>
        <v>167.97811538183413</v>
      </c>
      <c r="AN27" s="211">
        <f t="shared" si="19"/>
        <v>170.04349403571447</v>
      </c>
      <c r="AO27" s="211">
        <f t="shared" si="19"/>
        <v>172.10887268959485</v>
      </c>
      <c r="AP27" s="211">
        <f t="shared" si="19"/>
        <v>174.17425134347522</v>
      </c>
      <c r="AQ27" s="211">
        <f t="shared" si="19"/>
        <v>176.23962999735556</v>
      </c>
      <c r="AR27" s="211">
        <f t="shared" si="19"/>
        <v>178.30500865123594</v>
      </c>
      <c r="AS27" s="211">
        <f t="shared" si="19"/>
        <v>180.37038730511628</v>
      </c>
      <c r="AT27" s="211">
        <f t="shared" si="20"/>
        <v>182.43576595899665</v>
      </c>
      <c r="AU27" s="211">
        <f t="shared" si="20"/>
        <v>184.501144612877</v>
      </c>
      <c r="AV27" s="211">
        <f t="shared" si="20"/>
        <v>186.56652326675737</v>
      </c>
      <c r="AW27" s="211">
        <f t="shared" si="20"/>
        <v>188.63190192063774</v>
      </c>
      <c r="AX27" s="211">
        <f t="shared" si="20"/>
        <v>190.69728057451812</v>
      </c>
      <c r="AY27" s="211">
        <f t="shared" si="20"/>
        <v>192.76265922839846</v>
      </c>
      <c r="AZ27" s="211">
        <f t="shared" si="20"/>
        <v>194.82803788227881</v>
      </c>
      <c r="BA27" s="211">
        <f t="shared" si="20"/>
        <v>196.89341653615918</v>
      </c>
      <c r="BB27" s="211">
        <f t="shared" si="20"/>
        <v>198.95879519003955</v>
      </c>
      <c r="BC27" s="211">
        <f t="shared" si="20"/>
        <v>201.02417384391993</v>
      </c>
      <c r="BD27" s="211">
        <f t="shared" si="21"/>
        <v>203.08955249780027</v>
      </c>
      <c r="BE27" s="211">
        <f t="shared" si="21"/>
        <v>205.15493115168061</v>
      </c>
      <c r="BF27" s="211">
        <f t="shared" si="21"/>
        <v>207.22030980556099</v>
      </c>
      <c r="BG27" s="211">
        <f t="shared" si="21"/>
        <v>209.28568845944136</v>
      </c>
      <c r="BH27" s="211">
        <f t="shared" si="21"/>
        <v>211.35106711332173</v>
      </c>
      <c r="BI27" s="211">
        <f t="shared" si="21"/>
        <v>213.41644576720208</v>
      </c>
      <c r="BJ27" s="211">
        <f t="shared" si="21"/>
        <v>215.48182442108242</v>
      </c>
      <c r="BK27" s="211">
        <f t="shared" si="21"/>
        <v>217.54720307496279</v>
      </c>
      <c r="BL27" s="211">
        <f t="shared" si="21"/>
        <v>219.61258172884317</v>
      </c>
      <c r="BM27" s="211">
        <f t="shared" si="21"/>
        <v>221.67796038272354</v>
      </c>
      <c r="BN27" s="211">
        <f t="shared" si="22"/>
        <v>223.74333903660389</v>
      </c>
      <c r="BO27" s="211">
        <f t="shared" si="22"/>
        <v>225.80871769048423</v>
      </c>
      <c r="BP27" s="211">
        <f t="shared" si="22"/>
        <v>227.8740963443646</v>
      </c>
      <c r="BQ27" s="211">
        <f t="shared" si="22"/>
        <v>229.93947499824498</v>
      </c>
      <c r="BR27" s="211">
        <f t="shared" si="22"/>
        <v>232.00485365212535</v>
      </c>
      <c r="BS27" s="211">
        <f t="shared" si="22"/>
        <v>234.07023230600569</v>
      </c>
      <c r="BT27" s="211">
        <f t="shared" si="22"/>
        <v>241.59287516092411</v>
      </c>
      <c r="BU27" s="211">
        <f t="shared" si="22"/>
        <v>249.1155180158425</v>
      </c>
      <c r="BV27" s="211">
        <f t="shared" si="22"/>
        <v>256.63816087076088</v>
      </c>
      <c r="BW27" s="211">
        <f t="shared" si="22"/>
        <v>264.16080372567933</v>
      </c>
      <c r="BX27" s="211">
        <f t="shared" si="23"/>
        <v>271.68344658059772</v>
      </c>
      <c r="BY27" s="211">
        <f t="shared" si="23"/>
        <v>279.20608943551611</v>
      </c>
      <c r="BZ27" s="211">
        <f t="shared" si="23"/>
        <v>286.72873229043455</v>
      </c>
      <c r="CA27" s="211">
        <f t="shared" si="23"/>
        <v>294.25137514535294</v>
      </c>
      <c r="CB27" s="211">
        <f t="shared" si="23"/>
        <v>301.77401800027133</v>
      </c>
      <c r="CC27" s="211">
        <f t="shared" si="23"/>
        <v>309.29666085518977</v>
      </c>
      <c r="CD27" s="211">
        <f t="shared" si="23"/>
        <v>316.81930371010816</v>
      </c>
      <c r="CE27" s="211">
        <f t="shared" si="23"/>
        <v>324.34194656502655</v>
      </c>
      <c r="CF27" s="211">
        <f t="shared" si="23"/>
        <v>331.86458941994499</v>
      </c>
      <c r="CG27" s="211">
        <f t="shared" si="23"/>
        <v>339.38723227486338</v>
      </c>
      <c r="CH27" s="211">
        <f t="shared" si="24"/>
        <v>346.90987512978177</v>
      </c>
      <c r="CI27" s="211">
        <f t="shared" si="24"/>
        <v>354.43251798470021</v>
      </c>
      <c r="CJ27" s="211">
        <f t="shared" si="24"/>
        <v>361.9551608396186</v>
      </c>
      <c r="CK27" s="211">
        <f t="shared" si="24"/>
        <v>369.47780369453699</v>
      </c>
      <c r="CL27" s="211">
        <f t="shared" si="24"/>
        <v>377.00044654945543</v>
      </c>
      <c r="CM27" s="211">
        <f t="shared" si="24"/>
        <v>384.52308940437382</v>
      </c>
      <c r="CN27" s="211">
        <f t="shared" si="24"/>
        <v>392.04573225929221</v>
      </c>
      <c r="CO27" s="211">
        <f t="shared" si="24"/>
        <v>399.56837511421065</v>
      </c>
      <c r="CP27" s="211">
        <f t="shared" si="24"/>
        <v>435.68886704819852</v>
      </c>
      <c r="CQ27" s="211">
        <f t="shared" si="24"/>
        <v>500.40720806125586</v>
      </c>
      <c r="CR27" s="211">
        <f t="shared" si="25"/>
        <v>565.1255490743132</v>
      </c>
      <c r="CS27" s="211">
        <f t="shared" si="25"/>
        <v>629.84389008737048</v>
      </c>
      <c r="CT27" s="211">
        <f t="shared" si="25"/>
        <v>694.56223110042788</v>
      </c>
      <c r="CU27" s="211">
        <f t="shared" si="25"/>
        <v>759.28057211348528</v>
      </c>
      <c r="CV27" s="211">
        <f t="shared" si="25"/>
        <v>823.99891312654267</v>
      </c>
      <c r="CW27" s="211">
        <f t="shared" si="25"/>
        <v>888.71725413959996</v>
      </c>
      <c r="CX27" s="211">
        <f t="shared" si="25"/>
        <v>953.43559515265736</v>
      </c>
      <c r="CY27" s="211">
        <f t="shared" si="25"/>
        <v>1018.1539361657146</v>
      </c>
      <c r="CZ27" s="211">
        <f t="shared" si="25"/>
        <v>1050.5131066722433</v>
      </c>
      <c r="DA27" s="211">
        <f t="shared" si="25"/>
        <v>1050.5131066722433</v>
      </c>
    </row>
    <row r="28" spans="1:105">
      <c r="A28" s="202" t="str">
        <f>Income!A75</f>
        <v>Animal products sold</v>
      </c>
      <c r="B28" s="204">
        <f>Income!B75</f>
        <v>0</v>
      </c>
      <c r="C28" s="204">
        <f>Income!C75</f>
        <v>0</v>
      </c>
      <c r="D28" s="204">
        <f>Income!D75</f>
        <v>0</v>
      </c>
      <c r="E28" s="204">
        <f>Income!E75</f>
        <v>0</v>
      </c>
      <c r="F28" s="211">
        <f t="shared" si="16"/>
        <v>0</v>
      </c>
      <c r="G28" s="211">
        <f t="shared" si="16"/>
        <v>0</v>
      </c>
      <c r="H28" s="211">
        <f t="shared" si="16"/>
        <v>0</v>
      </c>
      <c r="I28" s="211">
        <f t="shared" si="16"/>
        <v>0</v>
      </c>
      <c r="J28" s="211">
        <f t="shared" si="16"/>
        <v>0</v>
      </c>
      <c r="K28" s="211">
        <f t="shared" si="16"/>
        <v>0</v>
      </c>
      <c r="L28" s="211">
        <f t="shared" si="16"/>
        <v>0</v>
      </c>
      <c r="M28" s="211">
        <f t="shared" si="16"/>
        <v>0</v>
      </c>
      <c r="N28" s="211">
        <f t="shared" si="16"/>
        <v>0</v>
      </c>
      <c r="O28" s="211">
        <f t="shared" si="16"/>
        <v>0</v>
      </c>
      <c r="P28" s="211">
        <f t="shared" si="17"/>
        <v>0</v>
      </c>
      <c r="Q28" s="211">
        <f t="shared" si="17"/>
        <v>0</v>
      </c>
      <c r="R28" s="211">
        <f t="shared" si="17"/>
        <v>0</v>
      </c>
      <c r="S28" s="211">
        <f t="shared" si="17"/>
        <v>0</v>
      </c>
      <c r="T28" s="211">
        <f t="shared" si="17"/>
        <v>0</v>
      </c>
      <c r="U28" s="211">
        <f t="shared" si="17"/>
        <v>0</v>
      </c>
      <c r="V28" s="211">
        <f t="shared" si="17"/>
        <v>0</v>
      </c>
      <c r="W28" s="211">
        <f t="shared" si="17"/>
        <v>0</v>
      </c>
      <c r="X28" s="211">
        <f t="shared" si="17"/>
        <v>0</v>
      </c>
      <c r="Y28" s="211">
        <f t="shared" si="17"/>
        <v>0</v>
      </c>
      <c r="Z28" s="211">
        <f t="shared" si="18"/>
        <v>0</v>
      </c>
      <c r="AA28" s="211">
        <f t="shared" si="18"/>
        <v>0</v>
      </c>
      <c r="AB28" s="211">
        <f t="shared" si="18"/>
        <v>0</v>
      </c>
      <c r="AC28" s="211">
        <f t="shared" si="18"/>
        <v>0</v>
      </c>
      <c r="AD28" s="211">
        <f t="shared" si="18"/>
        <v>0</v>
      </c>
      <c r="AE28" s="211">
        <f t="shared" si="18"/>
        <v>0</v>
      </c>
      <c r="AF28" s="211">
        <f t="shared" si="18"/>
        <v>0</v>
      </c>
      <c r="AG28" s="211">
        <f t="shared" si="18"/>
        <v>0</v>
      </c>
      <c r="AH28" s="211">
        <f t="shared" si="18"/>
        <v>0</v>
      </c>
      <c r="AI28" s="211">
        <f t="shared" si="18"/>
        <v>0</v>
      </c>
      <c r="AJ28" s="211">
        <f t="shared" si="19"/>
        <v>0</v>
      </c>
      <c r="AK28" s="211">
        <f t="shared" si="19"/>
        <v>0</v>
      </c>
      <c r="AL28" s="211">
        <f t="shared" si="19"/>
        <v>0</v>
      </c>
      <c r="AM28" s="211">
        <f t="shared" si="19"/>
        <v>0</v>
      </c>
      <c r="AN28" s="211">
        <f t="shared" si="19"/>
        <v>0</v>
      </c>
      <c r="AO28" s="211">
        <f t="shared" si="19"/>
        <v>0</v>
      </c>
      <c r="AP28" s="211">
        <f t="shared" si="19"/>
        <v>0</v>
      </c>
      <c r="AQ28" s="211">
        <f t="shared" si="19"/>
        <v>0</v>
      </c>
      <c r="AR28" s="211">
        <f t="shared" si="19"/>
        <v>0</v>
      </c>
      <c r="AS28" s="211">
        <f t="shared" si="19"/>
        <v>0</v>
      </c>
      <c r="AT28" s="211">
        <f t="shared" si="20"/>
        <v>0</v>
      </c>
      <c r="AU28" s="211">
        <f t="shared" si="20"/>
        <v>0</v>
      </c>
      <c r="AV28" s="211">
        <f t="shared" si="20"/>
        <v>0</v>
      </c>
      <c r="AW28" s="211">
        <f t="shared" si="20"/>
        <v>0</v>
      </c>
      <c r="AX28" s="211">
        <f t="shared" si="20"/>
        <v>0</v>
      </c>
      <c r="AY28" s="211">
        <f t="shared" si="20"/>
        <v>0</v>
      </c>
      <c r="AZ28" s="211">
        <f t="shared" si="20"/>
        <v>0</v>
      </c>
      <c r="BA28" s="211">
        <f t="shared" si="20"/>
        <v>0</v>
      </c>
      <c r="BB28" s="211">
        <f t="shared" si="20"/>
        <v>0</v>
      </c>
      <c r="BC28" s="211">
        <f t="shared" si="20"/>
        <v>0</v>
      </c>
      <c r="BD28" s="211">
        <f t="shared" si="21"/>
        <v>0</v>
      </c>
      <c r="BE28" s="211">
        <f t="shared" si="21"/>
        <v>0</v>
      </c>
      <c r="BF28" s="211">
        <f t="shared" si="21"/>
        <v>0</v>
      </c>
      <c r="BG28" s="211">
        <f t="shared" si="21"/>
        <v>0</v>
      </c>
      <c r="BH28" s="211">
        <f t="shared" si="21"/>
        <v>0</v>
      </c>
      <c r="BI28" s="211">
        <f t="shared" si="21"/>
        <v>0</v>
      </c>
      <c r="BJ28" s="211">
        <f t="shared" si="21"/>
        <v>0</v>
      </c>
      <c r="BK28" s="211">
        <f t="shared" si="21"/>
        <v>0</v>
      </c>
      <c r="BL28" s="211">
        <f t="shared" si="21"/>
        <v>0</v>
      </c>
      <c r="BM28" s="211">
        <f t="shared" si="21"/>
        <v>0</v>
      </c>
      <c r="BN28" s="211">
        <f t="shared" si="22"/>
        <v>0</v>
      </c>
      <c r="BO28" s="211">
        <f t="shared" si="22"/>
        <v>0</v>
      </c>
      <c r="BP28" s="211">
        <f t="shared" si="22"/>
        <v>0</v>
      </c>
      <c r="BQ28" s="211">
        <f t="shared" si="22"/>
        <v>0</v>
      </c>
      <c r="BR28" s="211">
        <f t="shared" si="22"/>
        <v>0</v>
      </c>
      <c r="BS28" s="211">
        <f t="shared" si="22"/>
        <v>0</v>
      </c>
      <c r="BT28" s="211">
        <f t="shared" si="22"/>
        <v>0</v>
      </c>
      <c r="BU28" s="211">
        <f t="shared" si="22"/>
        <v>0</v>
      </c>
      <c r="BV28" s="211">
        <f t="shared" si="22"/>
        <v>0</v>
      </c>
      <c r="BW28" s="211">
        <f t="shared" si="22"/>
        <v>0</v>
      </c>
      <c r="BX28" s="211">
        <f t="shared" si="23"/>
        <v>0</v>
      </c>
      <c r="BY28" s="211">
        <f t="shared" si="23"/>
        <v>0</v>
      </c>
      <c r="BZ28" s="211">
        <f t="shared" si="23"/>
        <v>0</v>
      </c>
      <c r="CA28" s="211">
        <f t="shared" si="23"/>
        <v>0</v>
      </c>
      <c r="CB28" s="211">
        <f t="shared" si="23"/>
        <v>0</v>
      </c>
      <c r="CC28" s="211">
        <f t="shared" si="23"/>
        <v>0</v>
      </c>
      <c r="CD28" s="211">
        <f t="shared" si="23"/>
        <v>0</v>
      </c>
      <c r="CE28" s="211">
        <f t="shared" si="23"/>
        <v>0</v>
      </c>
      <c r="CF28" s="211">
        <f t="shared" si="23"/>
        <v>0</v>
      </c>
      <c r="CG28" s="211">
        <f t="shared" si="23"/>
        <v>0</v>
      </c>
      <c r="CH28" s="211">
        <f t="shared" si="24"/>
        <v>0</v>
      </c>
      <c r="CI28" s="211">
        <f t="shared" si="24"/>
        <v>0</v>
      </c>
      <c r="CJ28" s="211">
        <f t="shared" si="24"/>
        <v>0</v>
      </c>
      <c r="CK28" s="211">
        <f t="shared" si="24"/>
        <v>0</v>
      </c>
      <c r="CL28" s="211">
        <f t="shared" si="24"/>
        <v>0</v>
      </c>
      <c r="CM28" s="211">
        <f t="shared" si="24"/>
        <v>0</v>
      </c>
      <c r="CN28" s="211">
        <f t="shared" si="24"/>
        <v>0</v>
      </c>
      <c r="CO28" s="211">
        <f t="shared" si="24"/>
        <v>0</v>
      </c>
      <c r="CP28" s="211">
        <f t="shared" si="24"/>
        <v>0</v>
      </c>
      <c r="CQ28" s="211">
        <f t="shared" si="24"/>
        <v>0</v>
      </c>
      <c r="CR28" s="211">
        <f t="shared" si="25"/>
        <v>0</v>
      </c>
      <c r="CS28" s="211">
        <f t="shared" si="25"/>
        <v>0</v>
      </c>
      <c r="CT28" s="211">
        <f t="shared" si="25"/>
        <v>0</v>
      </c>
      <c r="CU28" s="211">
        <f t="shared" si="25"/>
        <v>0</v>
      </c>
      <c r="CV28" s="211">
        <f t="shared" si="25"/>
        <v>0</v>
      </c>
      <c r="CW28" s="211">
        <f t="shared" si="25"/>
        <v>0</v>
      </c>
      <c r="CX28" s="211">
        <f t="shared" si="25"/>
        <v>0</v>
      </c>
      <c r="CY28" s="211">
        <f t="shared" si="25"/>
        <v>0</v>
      </c>
      <c r="CZ28" s="211">
        <f t="shared" si="25"/>
        <v>0</v>
      </c>
      <c r="DA28" s="211">
        <f t="shared" si="25"/>
        <v>0</v>
      </c>
    </row>
    <row r="29" spans="1:105">
      <c r="A29" s="202" t="str">
        <f>Income!A76</f>
        <v>Animals sold</v>
      </c>
      <c r="B29" s="204">
        <f>Income!B76</f>
        <v>0</v>
      </c>
      <c r="C29" s="204">
        <f>Income!C76</f>
        <v>500.00000000000006</v>
      </c>
      <c r="D29" s="204">
        <f>Income!D76</f>
        <v>3500</v>
      </c>
      <c r="E29" s="204">
        <f>Income!E76</f>
        <v>9822.2222222222226</v>
      </c>
      <c r="F29" s="211">
        <f t="shared" si="16"/>
        <v>0</v>
      </c>
      <c r="G29" s="211">
        <f t="shared" si="16"/>
        <v>0</v>
      </c>
      <c r="H29" s="211">
        <f t="shared" si="16"/>
        <v>0</v>
      </c>
      <c r="I29" s="211">
        <f t="shared" si="16"/>
        <v>0</v>
      </c>
      <c r="J29" s="211">
        <f t="shared" si="16"/>
        <v>0</v>
      </c>
      <c r="K29" s="211">
        <f t="shared" si="16"/>
        <v>0</v>
      </c>
      <c r="L29" s="211">
        <f t="shared" si="16"/>
        <v>0</v>
      </c>
      <c r="M29" s="211">
        <f t="shared" si="16"/>
        <v>0</v>
      </c>
      <c r="N29" s="211">
        <f t="shared" si="16"/>
        <v>0</v>
      </c>
      <c r="O29" s="211">
        <f t="shared" si="16"/>
        <v>0</v>
      </c>
      <c r="P29" s="211">
        <f t="shared" si="17"/>
        <v>0</v>
      </c>
      <c r="Q29" s="211">
        <f t="shared" si="17"/>
        <v>0</v>
      </c>
      <c r="R29" s="211">
        <f t="shared" si="17"/>
        <v>0</v>
      </c>
      <c r="S29" s="211">
        <f t="shared" si="17"/>
        <v>0</v>
      </c>
      <c r="T29" s="211">
        <f t="shared" si="17"/>
        <v>0</v>
      </c>
      <c r="U29" s="211">
        <f t="shared" si="17"/>
        <v>0</v>
      </c>
      <c r="V29" s="211">
        <f t="shared" si="17"/>
        <v>0</v>
      </c>
      <c r="W29" s="211">
        <f t="shared" si="17"/>
        <v>0</v>
      </c>
      <c r="X29" s="211">
        <f t="shared" si="17"/>
        <v>0</v>
      </c>
      <c r="Y29" s="211">
        <f t="shared" si="17"/>
        <v>0</v>
      </c>
      <c r="Z29" s="211">
        <f t="shared" si="18"/>
        <v>0</v>
      </c>
      <c r="AA29" s="211">
        <f t="shared" si="18"/>
        <v>0</v>
      </c>
      <c r="AB29" s="211">
        <f t="shared" si="18"/>
        <v>0</v>
      </c>
      <c r="AC29" s="211">
        <f t="shared" si="18"/>
        <v>0</v>
      </c>
      <c r="AD29" s="211">
        <f t="shared" si="18"/>
        <v>0</v>
      </c>
      <c r="AE29" s="211">
        <f t="shared" si="18"/>
        <v>0</v>
      </c>
      <c r="AF29" s="211">
        <f t="shared" si="18"/>
        <v>12.500000000000002</v>
      </c>
      <c r="AG29" s="211">
        <f t="shared" si="18"/>
        <v>25.000000000000004</v>
      </c>
      <c r="AH29" s="211">
        <f t="shared" si="18"/>
        <v>37.500000000000007</v>
      </c>
      <c r="AI29" s="211">
        <f t="shared" si="18"/>
        <v>50.000000000000007</v>
      </c>
      <c r="AJ29" s="211">
        <f t="shared" si="19"/>
        <v>62.500000000000014</v>
      </c>
      <c r="AK29" s="211">
        <f t="shared" si="19"/>
        <v>75.000000000000014</v>
      </c>
      <c r="AL29" s="211">
        <f t="shared" si="19"/>
        <v>87.500000000000014</v>
      </c>
      <c r="AM29" s="211">
        <f t="shared" si="19"/>
        <v>100.00000000000001</v>
      </c>
      <c r="AN29" s="211">
        <f t="shared" si="19"/>
        <v>112.50000000000003</v>
      </c>
      <c r="AO29" s="211">
        <f t="shared" si="19"/>
        <v>125.00000000000003</v>
      </c>
      <c r="AP29" s="211">
        <f t="shared" si="19"/>
        <v>137.50000000000003</v>
      </c>
      <c r="AQ29" s="211">
        <f t="shared" si="19"/>
        <v>150.00000000000003</v>
      </c>
      <c r="AR29" s="211">
        <f t="shared" si="19"/>
        <v>162.50000000000003</v>
      </c>
      <c r="AS29" s="211">
        <f t="shared" si="19"/>
        <v>175.00000000000003</v>
      </c>
      <c r="AT29" s="211">
        <f t="shared" si="20"/>
        <v>187.50000000000003</v>
      </c>
      <c r="AU29" s="211">
        <f t="shared" si="20"/>
        <v>200.00000000000003</v>
      </c>
      <c r="AV29" s="211">
        <f t="shared" si="20"/>
        <v>212.50000000000006</v>
      </c>
      <c r="AW29" s="211">
        <f t="shared" si="20"/>
        <v>225.00000000000006</v>
      </c>
      <c r="AX29" s="211">
        <f t="shared" si="20"/>
        <v>237.50000000000006</v>
      </c>
      <c r="AY29" s="211">
        <f t="shared" si="20"/>
        <v>250.00000000000006</v>
      </c>
      <c r="AZ29" s="211">
        <f t="shared" si="20"/>
        <v>262.50000000000006</v>
      </c>
      <c r="BA29" s="211">
        <f t="shared" si="20"/>
        <v>275.00000000000006</v>
      </c>
      <c r="BB29" s="211">
        <f t="shared" si="20"/>
        <v>287.50000000000006</v>
      </c>
      <c r="BC29" s="211">
        <f t="shared" si="20"/>
        <v>300.00000000000006</v>
      </c>
      <c r="BD29" s="211">
        <f t="shared" si="21"/>
        <v>312.50000000000006</v>
      </c>
      <c r="BE29" s="211">
        <f t="shared" si="21"/>
        <v>325.00000000000006</v>
      </c>
      <c r="BF29" s="211">
        <f t="shared" si="21"/>
        <v>337.50000000000006</v>
      </c>
      <c r="BG29" s="211">
        <f t="shared" si="21"/>
        <v>350.00000000000006</v>
      </c>
      <c r="BH29" s="211">
        <f t="shared" si="21"/>
        <v>362.50000000000006</v>
      </c>
      <c r="BI29" s="211">
        <f t="shared" si="21"/>
        <v>375.00000000000006</v>
      </c>
      <c r="BJ29" s="211">
        <f t="shared" si="21"/>
        <v>387.50000000000006</v>
      </c>
      <c r="BK29" s="211">
        <f t="shared" si="21"/>
        <v>400.00000000000006</v>
      </c>
      <c r="BL29" s="211">
        <f t="shared" si="21"/>
        <v>412.50000000000011</v>
      </c>
      <c r="BM29" s="211">
        <f t="shared" si="21"/>
        <v>425.00000000000011</v>
      </c>
      <c r="BN29" s="211">
        <f t="shared" si="22"/>
        <v>437.50000000000011</v>
      </c>
      <c r="BO29" s="211">
        <f t="shared" si="22"/>
        <v>450.00000000000011</v>
      </c>
      <c r="BP29" s="211">
        <f t="shared" si="22"/>
        <v>462.50000000000011</v>
      </c>
      <c r="BQ29" s="211">
        <f t="shared" si="22"/>
        <v>475.00000000000011</v>
      </c>
      <c r="BR29" s="211">
        <f t="shared" si="22"/>
        <v>487.50000000000011</v>
      </c>
      <c r="BS29" s="211">
        <f t="shared" si="22"/>
        <v>500.00000000000011</v>
      </c>
      <c r="BT29" s="211">
        <f t="shared" si="22"/>
        <v>633.33333333333337</v>
      </c>
      <c r="BU29" s="211">
        <f t="shared" si="22"/>
        <v>766.66666666666674</v>
      </c>
      <c r="BV29" s="211">
        <f t="shared" si="22"/>
        <v>900</v>
      </c>
      <c r="BW29" s="211">
        <f t="shared" si="22"/>
        <v>1033.3333333333335</v>
      </c>
      <c r="BX29" s="211">
        <f t="shared" si="23"/>
        <v>1166.6666666666667</v>
      </c>
      <c r="BY29" s="211">
        <f t="shared" si="23"/>
        <v>1300</v>
      </c>
      <c r="BZ29" s="211">
        <f t="shared" si="23"/>
        <v>1433.3333333333335</v>
      </c>
      <c r="CA29" s="211">
        <f t="shared" si="23"/>
        <v>1566.6666666666667</v>
      </c>
      <c r="CB29" s="211">
        <f t="shared" si="23"/>
        <v>1700</v>
      </c>
      <c r="CC29" s="211">
        <f t="shared" si="23"/>
        <v>1833.3333333333333</v>
      </c>
      <c r="CD29" s="211">
        <f t="shared" si="23"/>
        <v>1966.6666666666667</v>
      </c>
      <c r="CE29" s="211">
        <f t="shared" si="23"/>
        <v>2100</v>
      </c>
      <c r="CF29" s="211">
        <f t="shared" si="23"/>
        <v>2233.3333333333335</v>
      </c>
      <c r="CG29" s="211">
        <f t="shared" si="23"/>
        <v>2366.666666666667</v>
      </c>
      <c r="CH29" s="211">
        <f t="shared" si="24"/>
        <v>2500</v>
      </c>
      <c r="CI29" s="211">
        <f t="shared" si="24"/>
        <v>2633.3333333333335</v>
      </c>
      <c r="CJ29" s="211">
        <f t="shared" si="24"/>
        <v>2766.6666666666665</v>
      </c>
      <c r="CK29" s="211">
        <f t="shared" si="24"/>
        <v>2900</v>
      </c>
      <c r="CL29" s="211">
        <f t="shared" si="24"/>
        <v>3033.3333333333335</v>
      </c>
      <c r="CM29" s="211">
        <f t="shared" si="24"/>
        <v>3166.6666666666665</v>
      </c>
      <c r="CN29" s="211">
        <f t="shared" si="24"/>
        <v>3300</v>
      </c>
      <c r="CO29" s="211">
        <f t="shared" si="24"/>
        <v>3433.3333333333335</v>
      </c>
      <c r="CP29" s="211">
        <f t="shared" si="24"/>
        <v>3816.1111111111113</v>
      </c>
      <c r="CQ29" s="211">
        <f t="shared" si="24"/>
        <v>4448.333333333333</v>
      </c>
      <c r="CR29" s="211">
        <f t="shared" si="25"/>
        <v>5080.5555555555557</v>
      </c>
      <c r="CS29" s="211">
        <f t="shared" si="25"/>
        <v>5712.7777777777783</v>
      </c>
      <c r="CT29" s="211">
        <f t="shared" si="25"/>
        <v>6345</v>
      </c>
      <c r="CU29" s="211">
        <f t="shared" si="25"/>
        <v>6977.2222222222226</v>
      </c>
      <c r="CV29" s="211">
        <f t="shared" si="25"/>
        <v>7609.4444444444443</v>
      </c>
      <c r="CW29" s="211">
        <f t="shared" si="25"/>
        <v>8241.6666666666679</v>
      </c>
      <c r="CX29" s="211">
        <f t="shared" si="25"/>
        <v>8873.8888888888887</v>
      </c>
      <c r="CY29" s="211">
        <f t="shared" si="25"/>
        <v>9506.1111111111113</v>
      </c>
      <c r="CZ29" s="211">
        <f t="shared" si="25"/>
        <v>9822.2222222222226</v>
      </c>
      <c r="DA29" s="211">
        <f t="shared" si="25"/>
        <v>9822.2222222222226</v>
      </c>
    </row>
    <row r="30" spans="1:105">
      <c r="A30" s="202" t="str">
        <f>Income!A77</f>
        <v>Wild foods consumed and sold</v>
      </c>
      <c r="B30" s="204">
        <f>Income!B77</f>
        <v>0</v>
      </c>
      <c r="C30" s="204">
        <f>Income!C77</f>
        <v>0</v>
      </c>
      <c r="D30" s="204">
        <f>Income!D77</f>
        <v>0</v>
      </c>
      <c r="E30" s="204">
        <f>Income!E77</f>
        <v>79.386569840387608</v>
      </c>
      <c r="F30" s="211">
        <f t="shared" si="16"/>
        <v>0</v>
      </c>
      <c r="G30" s="211">
        <f t="shared" si="16"/>
        <v>0</v>
      </c>
      <c r="H30" s="211">
        <f t="shared" si="16"/>
        <v>0</v>
      </c>
      <c r="I30" s="211">
        <f t="shared" si="16"/>
        <v>0</v>
      </c>
      <c r="J30" s="211">
        <f t="shared" si="16"/>
        <v>0</v>
      </c>
      <c r="K30" s="211">
        <f t="shared" si="16"/>
        <v>0</v>
      </c>
      <c r="L30" s="211">
        <f t="shared" si="16"/>
        <v>0</v>
      </c>
      <c r="M30" s="211">
        <f t="shared" si="16"/>
        <v>0</v>
      </c>
      <c r="N30" s="211">
        <f t="shared" si="16"/>
        <v>0</v>
      </c>
      <c r="O30" s="211">
        <f t="shared" si="16"/>
        <v>0</v>
      </c>
      <c r="P30" s="211">
        <f t="shared" si="17"/>
        <v>0</v>
      </c>
      <c r="Q30" s="211">
        <f t="shared" si="17"/>
        <v>0</v>
      </c>
      <c r="R30" s="211">
        <f t="shared" si="17"/>
        <v>0</v>
      </c>
      <c r="S30" s="211">
        <f t="shared" si="17"/>
        <v>0</v>
      </c>
      <c r="T30" s="211">
        <f t="shared" si="17"/>
        <v>0</v>
      </c>
      <c r="U30" s="211">
        <f t="shared" si="17"/>
        <v>0</v>
      </c>
      <c r="V30" s="211">
        <f t="shared" si="17"/>
        <v>0</v>
      </c>
      <c r="W30" s="211">
        <f t="shared" si="17"/>
        <v>0</v>
      </c>
      <c r="X30" s="211">
        <f t="shared" si="17"/>
        <v>0</v>
      </c>
      <c r="Y30" s="211">
        <f t="shared" si="17"/>
        <v>0</v>
      </c>
      <c r="Z30" s="211">
        <f t="shared" si="18"/>
        <v>0</v>
      </c>
      <c r="AA30" s="211">
        <f t="shared" si="18"/>
        <v>0</v>
      </c>
      <c r="AB30" s="211">
        <f t="shared" si="18"/>
        <v>0</v>
      </c>
      <c r="AC30" s="211">
        <f t="shared" si="18"/>
        <v>0</v>
      </c>
      <c r="AD30" s="211">
        <f t="shared" si="18"/>
        <v>0</v>
      </c>
      <c r="AE30" s="211">
        <f t="shared" si="18"/>
        <v>0</v>
      </c>
      <c r="AF30" s="211">
        <f t="shared" si="18"/>
        <v>0</v>
      </c>
      <c r="AG30" s="211">
        <f t="shared" si="18"/>
        <v>0</v>
      </c>
      <c r="AH30" s="211">
        <f t="shared" si="18"/>
        <v>0</v>
      </c>
      <c r="AI30" s="211">
        <f t="shared" si="18"/>
        <v>0</v>
      </c>
      <c r="AJ30" s="211">
        <f t="shared" si="19"/>
        <v>0</v>
      </c>
      <c r="AK30" s="211">
        <f t="shared" si="19"/>
        <v>0</v>
      </c>
      <c r="AL30" s="211">
        <f t="shared" si="19"/>
        <v>0</v>
      </c>
      <c r="AM30" s="211">
        <f t="shared" si="19"/>
        <v>0</v>
      </c>
      <c r="AN30" s="211">
        <f t="shared" si="19"/>
        <v>0</v>
      </c>
      <c r="AO30" s="211">
        <f t="shared" si="19"/>
        <v>0</v>
      </c>
      <c r="AP30" s="211">
        <f t="shared" si="19"/>
        <v>0</v>
      </c>
      <c r="AQ30" s="211">
        <f t="shared" si="19"/>
        <v>0</v>
      </c>
      <c r="AR30" s="211">
        <f t="shared" si="19"/>
        <v>0</v>
      </c>
      <c r="AS30" s="211">
        <f t="shared" si="19"/>
        <v>0</v>
      </c>
      <c r="AT30" s="211">
        <f t="shared" si="20"/>
        <v>0</v>
      </c>
      <c r="AU30" s="211">
        <f t="shared" si="20"/>
        <v>0</v>
      </c>
      <c r="AV30" s="211">
        <f t="shared" si="20"/>
        <v>0</v>
      </c>
      <c r="AW30" s="211">
        <f t="shared" si="20"/>
        <v>0</v>
      </c>
      <c r="AX30" s="211">
        <f t="shared" si="20"/>
        <v>0</v>
      </c>
      <c r="AY30" s="211">
        <f t="shared" si="20"/>
        <v>0</v>
      </c>
      <c r="AZ30" s="211">
        <f t="shared" si="20"/>
        <v>0</v>
      </c>
      <c r="BA30" s="211">
        <f t="shared" si="20"/>
        <v>0</v>
      </c>
      <c r="BB30" s="211">
        <f t="shared" si="20"/>
        <v>0</v>
      </c>
      <c r="BC30" s="211">
        <f t="shared" si="20"/>
        <v>0</v>
      </c>
      <c r="BD30" s="211">
        <f t="shared" si="21"/>
        <v>0</v>
      </c>
      <c r="BE30" s="211">
        <f t="shared" si="21"/>
        <v>0</v>
      </c>
      <c r="BF30" s="211">
        <f t="shared" si="21"/>
        <v>0</v>
      </c>
      <c r="BG30" s="211">
        <f t="shared" si="21"/>
        <v>0</v>
      </c>
      <c r="BH30" s="211">
        <f t="shared" si="21"/>
        <v>0</v>
      </c>
      <c r="BI30" s="211">
        <f t="shared" si="21"/>
        <v>0</v>
      </c>
      <c r="BJ30" s="211">
        <f t="shared" si="21"/>
        <v>0</v>
      </c>
      <c r="BK30" s="211">
        <f t="shared" si="21"/>
        <v>0</v>
      </c>
      <c r="BL30" s="211">
        <f t="shared" si="21"/>
        <v>0</v>
      </c>
      <c r="BM30" s="211">
        <f t="shared" si="21"/>
        <v>0</v>
      </c>
      <c r="BN30" s="211">
        <f t="shared" si="22"/>
        <v>0</v>
      </c>
      <c r="BO30" s="211">
        <f t="shared" si="22"/>
        <v>0</v>
      </c>
      <c r="BP30" s="211">
        <f t="shared" si="22"/>
        <v>0</v>
      </c>
      <c r="BQ30" s="211">
        <f t="shared" si="22"/>
        <v>0</v>
      </c>
      <c r="BR30" s="211">
        <f t="shared" si="22"/>
        <v>0</v>
      </c>
      <c r="BS30" s="211">
        <f t="shared" si="22"/>
        <v>0</v>
      </c>
      <c r="BT30" s="211">
        <f t="shared" si="22"/>
        <v>0</v>
      </c>
      <c r="BU30" s="211">
        <f t="shared" si="22"/>
        <v>0</v>
      </c>
      <c r="BV30" s="211">
        <f t="shared" si="22"/>
        <v>0</v>
      </c>
      <c r="BW30" s="211">
        <f t="shared" si="22"/>
        <v>0</v>
      </c>
      <c r="BX30" s="211">
        <f t="shared" si="23"/>
        <v>0</v>
      </c>
      <c r="BY30" s="211">
        <f t="shared" si="23"/>
        <v>0</v>
      </c>
      <c r="BZ30" s="211">
        <f t="shared" si="23"/>
        <v>0</v>
      </c>
      <c r="CA30" s="211">
        <f t="shared" si="23"/>
        <v>0</v>
      </c>
      <c r="CB30" s="211">
        <f t="shared" si="23"/>
        <v>0</v>
      </c>
      <c r="CC30" s="211">
        <f t="shared" si="23"/>
        <v>0</v>
      </c>
      <c r="CD30" s="211">
        <f t="shared" si="23"/>
        <v>0</v>
      </c>
      <c r="CE30" s="211">
        <f t="shared" si="23"/>
        <v>0</v>
      </c>
      <c r="CF30" s="211">
        <f t="shared" si="23"/>
        <v>0</v>
      </c>
      <c r="CG30" s="211">
        <f t="shared" si="23"/>
        <v>0</v>
      </c>
      <c r="CH30" s="211">
        <f t="shared" si="24"/>
        <v>0</v>
      </c>
      <c r="CI30" s="211">
        <f t="shared" si="24"/>
        <v>0</v>
      </c>
      <c r="CJ30" s="211">
        <f t="shared" si="24"/>
        <v>0</v>
      </c>
      <c r="CK30" s="211">
        <f t="shared" si="24"/>
        <v>0</v>
      </c>
      <c r="CL30" s="211">
        <f t="shared" si="24"/>
        <v>0</v>
      </c>
      <c r="CM30" s="211">
        <f t="shared" si="24"/>
        <v>0</v>
      </c>
      <c r="CN30" s="211">
        <f t="shared" si="24"/>
        <v>0</v>
      </c>
      <c r="CO30" s="211">
        <f t="shared" si="24"/>
        <v>0</v>
      </c>
      <c r="CP30" s="211">
        <f t="shared" si="24"/>
        <v>3.9693284920193803</v>
      </c>
      <c r="CQ30" s="211">
        <f t="shared" si="24"/>
        <v>11.907985476058141</v>
      </c>
      <c r="CR30" s="211">
        <f t="shared" si="25"/>
        <v>19.846642460096902</v>
      </c>
      <c r="CS30" s="211">
        <f t="shared" si="25"/>
        <v>27.78529944413566</v>
      </c>
      <c r="CT30" s="211">
        <f t="shared" si="25"/>
        <v>35.723956428174425</v>
      </c>
      <c r="CU30" s="211">
        <f t="shared" si="25"/>
        <v>43.662613412213183</v>
      </c>
      <c r="CV30" s="211">
        <f t="shared" si="25"/>
        <v>51.601270396251948</v>
      </c>
      <c r="CW30" s="211">
        <f t="shared" si="25"/>
        <v>59.539927380290706</v>
      </c>
      <c r="CX30" s="211">
        <f t="shared" si="25"/>
        <v>67.478584364329464</v>
      </c>
      <c r="CY30" s="211">
        <f t="shared" si="25"/>
        <v>75.417241348368222</v>
      </c>
      <c r="CZ30" s="211">
        <f t="shared" si="25"/>
        <v>79.386569840387608</v>
      </c>
      <c r="DA30" s="211">
        <f t="shared" si="25"/>
        <v>79.386569840387608</v>
      </c>
    </row>
    <row r="31" spans="1:105">
      <c r="A31" s="202" t="str">
        <f>Income!A78</f>
        <v>Labour - casual</v>
      </c>
      <c r="B31" s="204">
        <f>Income!B78</f>
        <v>0</v>
      </c>
      <c r="C31" s="204">
        <f>Income!C78</f>
        <v>1622.4143646408841</v>
      </c>
      <c r="D31" s="204">
        <f>Income!D78</f>
        <v>752</v>
      </c>
      <c r="E31" s="204">
        <f>Income!E78</f>
        <v>0</v>
      </c>
      <c r="F31" s="211">
        <f t="shared" si="16"/>
        <v>0</v>
      </c>
      <c r="G31" s="211">
        <f t="shared" si="16"/>
        <v>0</v>
      </c>
      <c r="H31" s="211">
        <f t="shared" si="16"/>
        <v>0</v>
      </c>
      <c r="I31" s="211">
        <f t="shared" si="16"/>
        <v>0</v>
      </c>
      <c r="J31" s="211">
        <f t="shared" si="16"/>
        <v>0</v>
      </c>
      <c r="K31" s="211">
        <f t="shared" si="16"/>
        <v>0</v>
      </c>
      <c r="L31" s="211">
        <f t="shared" si="16"/>
        <v>0</v>
      </c>
      <c r="M31" s="211">
        <f t="shared" si="16"/>
        <v>0</v>
      </c>
      <c r="N31" s="211">
        <f t="shared" si="16"/>
        <v>0</v>
      </c>
      <c r="O31" s="211">
        <f t="shared" si="16"/>
        <v>0</v>
      </c>
      <c r="P31" s="211">
        <f t="shared" si="17"/>
        <v>0</v>
      </c>
      <c r="Q31" s="211">
        <f t="shared" si="17"/>
        <v>0</v>
      </c>
      <c r="R31" s="211">
        <f t="shared" si="17"/>
        <v>0</v>
      </c>
      <c r="S31" s="211">
        <f t="shared" si="17"/>
        <v>0</v>
      </c>
      <c r="T31" s="211">
        <f t="shared" si="17"/>
        <v>0</v>
      </c>
      <c r="U31" s="211">
        <f t="shared" si="17"/>
        <v>0</v>
      </c>
      <c r="V31" s="211">
        <f t="shared" si="17"/>
        <v>0</v>
      </c>
      <c r="W31" s="211">
        <f t="shared" si="17"/>
        <v>0</v>
      </c>
      <c r="X31" s="211">
        <f t="shared" si="17"/>
        <v>0</v>
      </c>
      <c r="Y31" s="211">
        <f t="shared" si="17"/>
        <v>0</v>
      </c>
      <c r="Z31" s="211">
        <f t="shared" si="18"/>
        <v>0</v>
      </c>
      <c r="AA31" s="211">
        <f t="shared" si="18"/>
        <v>0</v>
      </c>
      <c r="AB31" s="211">
        <f t="shared" si="18"/>
        <v>0</v>
      </c>
      <c r="AC31" s="211">
        <f t="shared" si="18"/>
        <v>0</v>
      </c>
      <c r="AD31" s="211">
        <f t="shared" si="18"/>
        <v>0</v>
      </c>
      <c r="AE31" s="211">
        <f t="shared" si="18"/>
        <v>0</v>
      </c>
      <c r="AF31" s="211">
        <f t="shared" si="18"/>
        <v>40.560359116022099</v>
      </c>
      <c r="AG31" s="211">
        <f t="shared" si="18"/>
        <v>81.120718232044197</v>
      </c>
      <c r="AH31" s="211">
        <f t="shared" si="18"/>
        <v>121.68107734806631</v>
      </c>
      <c r="AI31" s="211">
        <f t="shared" si="18"/>
        <v>162.24143646408839</v>
      </c>
      <c r="AJ31" s="211">
        <f t="shared" si="19"/>
        <v>202.80179558011051</v>
      </c>
      <c r="AK31" s="211">
        <f t="shared" si="19"/>
        <v>243.36215469613262</v>
      </c>
      <c r="AL31" s="211">
        <f t="shared" si="19"/>
        <v>283.9225138121547</v>
      </c>
      <c r="AM31" s="211">
        <f t="shared" si="19"/>
        <v>324.48287292817679</v>
      </c>
      <c r="AN31" s="211">
        <f t="shared" si="19"/>
        <v>365.04323204419893</v>
      </c>
      <c r="AO31" s="211">
        <f t="shared" si="19"/>
        <v>405.60359116022101</v>
      </c>
      <c r="AP31" s="211">
        <f t="shared" si="19"/>
        <v>446.1639502762431</v>
      </c>
      <c r="AQ31" s="211">
        <f t="shared" si="19"/>
        <v>486.72430939226524</v>
      </c>
      <c r="AR31" s="211">
        <f t="shared" si="19"/>
        <v>527.28466850828738</v>
      </c>
      <c r="AS31" s="211">
        <f t="shared" si="19"/>
        <v>567.84502762430941</v>
      </c>
      <c r="AT31" s="211">
        <f t="shared" si="20"/>
        <v>608.40538674033155</v>
      </c>
      <c r="AU31" s="211">
        <f t="shared" si="20"/>
        <v>648.96574585635358</v>
      </c>
      <c r="AV31" s="211">
        <f t="shared" si="20"/>
        <v>689.52610497237572</v>
      </c>
      <c r="AW31" s="211">
        <f t="shared" si="20"/>
        <v>730.08646408839786</v>
      </c>
      <c r="AX31" s="211">
        <f t="shared" si="20"/>
        <v>770.64682320441989</v>
      </c>
      <c r="AY31" s="211">
        <f t="shared" si="20"/>
        <v>811.20718232044203</v>
      </c>
      <c r="AZ31" s="211">
        <f t="shared" si="20"/>
        <v>851.76754143646417</v>
      </c>
      <c r="BA31" s="211">
        <f t="shared" si="20"/>
        <v>892.3279005524862</v>
      </c>
      <c r="BB31" s="211">
        <f t="shared" si="20"/>
        <v>932.88825966850834</v>
      </c>
      <c r="BC31" s="211">
        <f t="shared" si="20"/>
        <v>973.44861878453048</v>
      </c>
      <c r="BD31" s="211">
        <f t="shared" si="21"/>
        <v>1014.0089779005526</v>
      </c>
      <c r="BE31" s="211">
        <f t="shared" si="21"/>
        <v>1054.5693370165748</v>
      </c>
      <c r="BF31" s="211">
        <f t="shared" si="21"/>
        <v>1095.1296961325966</v>
      </c>
      <c r="BG31" s="211">
        <f t="shared" si="21"/>
        <v>1135.6900552486188</v>
      </c>
      <c r="BH31" s="211">
        <f t="shared" si="21"/>
        <v>1176.2504143646408</v>
      </c>
      <c r="BI31" s="211">
        <f t="shared" si="21"/>
        <v>1216.8107734806631</v>
      </c>
      <c r="BJ31" s="211">
        <f t="shared" si="21"/>
        <v>1257.3711325966851</v>
      </c>
      <c r="BK31" s="211">
        <f t="shared" si="21"/>
        <v>1297.9314917127072</v>
      </c>
      <c r="BL31" s="211">
        <f t="shared" si="21"/>
        <v>1338.4918508287294</v>
      </c>
      <c r="BM31" s="211">
        <f t="shared" si="21"/>
        <v>1379.0522099447514</v>
      </c>
      <c r="BN31" s="211">
        <f t="shared" si="22"/>
        <v>1419.6125690607737</v>
      </c>
      <c r="BO31" s="211">
        <f t="shared" si="22"/>
        <v>1460.1729281767957</v>
      </c>
      <c r="BP31" s="211">
        <f t="shared" si="22"/>
        <v>1500.7332872928177</v>
      </c>
      <c r="BQ31" s="211">
        <f t="shared" si="22"/>
        <v>1541.2936464088398</v>
      </c>
      <c r="BR31" s="211">
        <f t="shared" si="22"/>
        <v>1581.8540055248618</v>
      </c>
      <c r="BS31" s="211">
        <f t="shared" si="22"/>
        <v>1622.4143646408841</v>
      </c>
      <c r="BT31" s="211">
        <f t="shared" si="22"/>
        <v>1583.7292817679559</v>
      </c>
      <c r="BU31" s="211">
        <f t="shared" si="22"/>
        <v>1545.0441988950276</v>
      </c>
      <c r="BV31" s="211">
        <f t="shared" si="22"/>
        <v>1506.3591160220994</v>
      </c>
      <c r="BW31" s="211">
        <f t="shared" si="22"/>
        <v>1467.6740331491715</v>
      </c>
      <c r="BX31" s="211">
        <f t="shared" si="23"/>
        <v>1428.9889502762433</v>
      </c>
      <c r="BY31" s="211">
        <f t="shared" si="23"/>
        <v>1390.3038674033151</v>
      </c>
      <c r="BZ31" s="211">
        <f t="shared" si="23"/>
        <v>1351.6187845303868</v>
      </c>
      <c r="CA31" s="211">
        <f t="shared" si="23"/>
        <v>1312.9337016574586</v>
      </c>
      <c r="CB31" s="211">
        <f t="shared" si="23"/>
        <v>1274.2486187845304</v>
      </c>
      <c r="CC31" s="211">
        <f t="shared" si="23"/>
        <v>1235.5635359116022</v>
      </c>
      <c r="CD31" s="211">
        <f t="shared" si="23"/>
        <v>1196.878453038674</v>
      </c>
      <c r="CE31" s="211">
        <f t="shared" si="23"/>
        <v>1158.1933701657458</v>
      </c>
      <c r="CF31" s="211">
        <f t="shared" si="23"/>
        <v>1119.5082872928178</v>
      </c>
      <c r="CG31" s="211">
        <f t="shared" si="23"/>
        <v>1080.8232044198894</v>
      </c>
      <c r="CH31" s="211">
        <f t="shared" si="24"/>
        <v>1042.1381215469614</v>
      </c>
      <c r="CI31" s="211">
        <f t="shared" si="24"/>
        <v>1003.4530386740332</v>
      </c>
      <c r="CJ31" s="211">
        <f t="shared" si="24"/>
        <v>964.76795580110502</v>
      </c>
      <c r="CK31" s="211">
        <f t="shared" si="24"/>
        <v>926.08287292817681</v>
      </c>
      <c r="CL31" s="211">
        <f t="shared" si="24"/>
        <v>887.39779005524872</v>
      </c>
      <c r="CM31" s="211">
        <f t="shared" si="24"/>
        <v>848.71270718232051</v>
      </c>
      <c r="CN31" s="211">
        <f t="shared" si="24"/>
        <v>810.02762430939231</v>
      </c>
      <c r="CO31" s="211">
        <f t="shared" si="24"/>
        <v>771.3425414364641</v>
      </c>
      <c r="CP31" s="211">
        <f t="shared" si="24"/>
        <v>714.4</v>
      </c>
      <c r="CQ31" s="211">
        <f t="shared" si="24"/>
        <v>639.20000000000005</v>
      </c>
      <c r="CR31" s="211">
        <f t="shared" si="25"/>
        <v>564</v>
      </c>
      <c r="CS31" s="211">
        <f t="shared" si="25"/>
        <v>488.8</v>
      </c>
      <c r="CT31" s="211">
        <f t="shared" si="25"/>
        <v>413.6</v>
      </c>
      <c r="CU31" s="211">
        <f t="shared" si="25"/>
        <v>338.4</v>
      </c>
      <c r="CV31" s="211">
        <f t="shared" si="25"/>
        <v>263.2</v>
      </c>
      <c r="CW31" s="211">
        <f t="shared" si="25"/>
        <v>188</v>
      </c>
      <c r="CX31" s="211">
        <f t="shared" si="25"/>
        <v>112.79999999999995</v>
      </c>
      <c r="CY31" s="211">
        <f t="shared" si="25"/>
        <v>37.600000000000023</v>
      </c>
      <c r="CZ31" s="211">
        <f t="shared" si="25"/>
        <v>0</v>
      </c>
      <c r="DA31" s="211">
        <f t="shared" si="25"/>
        <v>0</v>
      </c>
    </row>
    <row r="32" spans="1:105">
      <c r="A32" s="202" t="str">
        <f>Income!A79</f>
        <v>Labour - formal emp</v>
      </c>
      <c r="B32" s="204">
        <f>Income!B79</f>
        <v>0</v>
      </c>
      <c r="C32" s="204">
        <f>Income!C79</f>
        <v>0</v>
      </c>
      <c r="D32" s="204">
        <f>Income!D79</f>
        <v>0</v>
      </c>
      <c r="E32" s="204">
        <f>Income!E79</f>
        <v>30897.777777777777</v>
      </c>
      <c r="F32" s="211">
        <f t="shared" si="16"/>
        <v>0</v>
      </c>
      <c r="G32" s="211">
        <f t="shared" si="16"/>
        <v>0</v>
      </c>
      <c r="H32" s="211">
        <f t="shared" si="16"/>
        <v>0</v>
      </c>
      <c r="I32" s="211">
        <f t="shared" si="16"/>
        <v>0</v>
      </c>
      <c r="J32" s="211">
        <f t="shared" si="16"/>
        <v>0</v>
      </c>
      <c r="K32" s="211">
        <f t="shared" si="16"/>
        <v>0</v>
      </c>
      <c r="L32" s="211">
        <f t="shared" si="16"/>
        <v>0</v>
      </c>
      <c r="M32" s="211">
        <f t="shared" si="16"/>
        <v>0</v>
      </c>
      <c r="N32" s="211">
        <f t="shared" si="16"/>
        <v>0</v>
      </c>
      <c r="O32" s="211">
        <f t="shared" si="16"/>
        <v>0</v>
      </c>
      <c r="P32" s="211">
        <f t="shared" si="17"/>
        <v>0</v>
      </c>
      <c r="Q32" s="211">
        <f t="shared" si="17"/>
        <v>0</v>
      </c>
      <c r="R32" s="211">
        <f t="shared" si="17"/>
        <v>0</v>
      </c>
      <c r="S32" s="211">
        <f t="shared" si="17"/>
        <v>0</v>
      </c>
      <c r="T32" s="211">
        <f t="shared" si="17"/>
        <v>0</v>
      </c>
      <c r="U32" s="211">
        <f t="shared" si="17"/>
        <v>0</v>
      </c>
      <c r="V32" s="211">
        <f t="shared" si="17"/>
        <v>0</v>
      </c>
      <c r="W32" s="211">
        <f t="shared" si="17"/>
        <v>0</v>
      </c>
      <c r="X32" s="211">
        <f t="shared" si="17"/>
        <v>0</v>
      </c>
      <c r="Y32" s="211">
        <f t="shared" si="17"/>
        <v>0</v>
      </c>
      <c r="Z32" s="211">
        <f t="shared" si="18"/>
        <v>0</v>
      </c>
      <c r="AA32" s="211">
        <f t="shared" si="18"/>
        <v>0</v>
      </c>
      <c r="AB32" s="211">
        <f t="shared" si="18"/>
        <v>0</v>
      </c>
      <c r="AC32" s="211">
        <f t="shared" si="18"/>
        <v>0</v>
      </c>
      <c r="AD32" s="211">
        <f t="shared" si="18"/>
        <v>0</v>
      </c>
      <c r="AE32" s="211">
        <f t="shared" si="18"/>
        <v>0</v>
      </c>
      <c r="AF32" s="211">
        <f t="shared" si="18"/>
        <v>0</v>
      </c>
      <c r="AG32" s="211">
        <f t="shared" si="18"/>
        <v>0</v>
      </c>
      <c r="AH32" s="211">
        <f t="shared" si="18"/>
        <v>0</v>
      </c>
      <c r="AI32" s="211">
        <f t="shared" si="18"/>
        <v>0</v>
      </c>
      <c r="AJ32" s="211">
        <f t="shared" si="19"/>
        <v>0</v>
      </c>
      <c r="AK32" s="211">
        <f t="shared" si="19"/>
        <v>0</v>
      </c>
      <c r="AL32" s="211">
        <f t="shared" si="19"/>
        <v>0</v>
      </c>
      <c r="AM32" s="211">
        <f t="shared" si="19"/>
        <v>0</v>
      </c>
      <c r="AN32" s="211">
        <f t="shared" si="19"/>
        <v>0</v>
      </c>
      <c r="AO32" s="211">
        <f t="shared" si="19"/>
        <v>0</v>
      </c>
      <c r="AP32" s="211">
        <f t="shared" si="19"/>
        <v>0</v>
      </c>
      <c r="AQ32" s="211">
        <f t="shared" si="19"/>
        <v>0</v>
      </c>
      <c r="AR32" s="211">
        <f t="shared" si="19"/>
        <v>0</v>
      </c>
      <c r="AS32" s="211">
        <f t="shared" si="19"/>
        <v>0</v>
      </c>
      <c r="AT32" s="211">
        <f t="shared" si="20"/>
        <v>0</v>
      </c>
      <c r="AU32" s="211">
        <f t="shared" si="20"/>
        <v>0</v>
      </c>
      <c r="AV32" s="211">
        <f t="shared" si="20"/>
        <v>0</v>
      </c>
      <c r="AW32" s="211">
        <f t="shared" si="20"/>
        <v>0</v>
      </c>
      <c r="AX32" s="211">
        <f t="shared" si="20"/>
        <v>0</v>
      </c>
      <c r="AY32" s="211">
        <f t="shared" si="20"/>
        <v>0</v>
      </c>
      <c r="AZ32" s="211">
        <f t="shared" si="20"/>
        <v>0</v>
      </c>
      <c r="BA32" s="211">
        <f t="shared" si="20"/>
        <v>0</v>
      </c>
      <c r="BB32" s="211">
        <f t="shared" si="20"/>
        <v>0</v>
      </c>
      <c r="BC32" s="211">
        <f t="shared" si="20"/>
        <v>0</v>
      </c>
      <c r="BD32" s="211">
        <f t="shared" si="21"/>
        <v>0</v>
      </c>
      <c r="BE32" s="211">
        <f t="shared" si="21"/>
        <v>0</v>
      </c>
      <c r="BF32" s="211">
        <f t="shared" si="21"/>
        <v>0</v>
      </c>
      <c r="BG32" s="211">
        <f t="shared" si="21"/>
        <v>0</v>
      </c>
      <c r="BH32" s="211">
        <f t="shared" si="21"/>
        <v>0</v>
      </c>
      <c r="BI32" s="211">
        <f t="shared" si="21"/>
        <v>0</v>
      </c>
      <c r="BJ32" s="211">
        <f t="shared" si="21"/>
        <v>0</v>
      </c>
      <c r="BK32" s="211">
        <f t="shared" si="21"/>
        <v>0</v>
      </c>
      <c r="BL32" s="211">
        <f t="shared" si="21"/>
        <v>0</v>
      </c>
      <c r="BM32" s="211">
        <f t="shared" si="21"/>
        <v>0</v>
      </c>
      <c r="BN32" s="211">
        <f t="shared" si="22"/>
        <v>0</v>
      </c>
      <c r="BO32" s="211">
        <f t="shared" si="22"/>
        <v>0</v>
      </c>
      <c r="BP32" s="211">
        <f t="shared" si="22"/>
        <v>0</v>
      </c>
      <c r="BQ32" s="211">
        <f t="shared" si="22"/>
        <v>0</v>
      </c>
      <c r="BR32" s="211">
        <f t="shared" si="22"/>
        <v>0</v>
      </c>
      <c r="BS32" s="211">
        <f t="shared" si="22"/>
        <v>0</v>
      </c>
      <c r="BT32" s="211">
        <f t="shared" si="22"/>
        <v>0</v>
      </c>
      <c r="BU32" s="211">
        <f t="shared" si="22"/>
        <v>0</v>
      </c>
      <c r="BV32" s="211">
        <f t="shared" si="22"/>
        <v>0</v>
      </c>
      <c r="BW32" s="211">
        <f t="shared" si="22"/>
        <v>0</v>
      </c>
      <c r="BX32" s="211">
        <f t="shared" si="23"/>
        <v>0</v>
      </c>
      <c r="BY32" s="211">
        <f t="shared" si="23"/>
        <v>0</v>
      </c>
      <c r="BZ32" s="211">
        <f t="shared" si="23"/>
        <v>0</v>
      </c>
      <c r="CA32" s="211">
        <f t="shared" si="23"/>
        <v>0</v>
      </c>
      <c r="CB32" s="211">
        <f t="shared" si="23"/>
        <v>0</v>
      </c>
      <c r="CC32" s="211">
        <f t="shared" si="23"/>
        <v>0</v>
      </c>
      <c r="CD32" s="211">
        <f t="shared" si="23"/>
        <v>0</v>
      </c>
      <c r="CE32" s="211">
        <f t="shared" si="23"/>
        <v>0</v>
      </c>
      <c r="CF32" s="211">
        <f t="shared" si="23"/>
        <v>0</v>
      </c>
      <c r="CG32" s="211">
        <f t="shared" si="23"/>
        <v>0</v>
      </c>
      <c r="CH32" s="211">
        <f t="shared" si="24"/>
        <v>0</v>
      </c>
      <c r="CI32" s="211">
        <f t="shared" si="24"/>
        <v>0</v>
      </c>
      <c r="CJ32" s="211">
        <f t="shared" si="24"/>
        <v>0</v>
      </c>
      <c r="CK32" s="211">
        <f t="shared" si="24"/>
        <v>0</v>
      </c>
      <c r="CL32" s="211">
        <f t="shared" si="24"/>
        <v>0</v>
      </c>
      <c r="CM32" s="211">
        <f t="shared" si="24"/>
        <v>0</v>
      </c>
      <c r="CN32" s="211">
        <f t="shared" si="24"/>
        <v>0</v>
      </c>
      <c r="CO32" s="211">
        <f t="shared" si="24"/>
        <v>0</v>
      </c>
      <c r="CP32" s="211">
        <f t="shared" si="24"/>
        <v>1544.8888888888889</v>
      </c>
      <c r="CQ32" s="211">
        <f t="shared" si="24"/>
        <v>4634.6666666666661</v>
      </c>
      <c r="CR32" s="211">
        <f t="shared" si="25"/>
        <v>7724.4444444444434</v>
      </c>
      <c r="CS32" s="211">
        <f t="shared" si="25"/>
        <v>10814.222222222223</v>
      </c>
      <c r="CT32" s="211">
        <f t="shared" si="25"/>
        <v>13904</v>
      </c>
      <c r="CU32" s="211">
        <f t="shared" si="25"/>
        <v>16993.777777777777</v>
      </c>
      <c r="CV32" s="211">
        <f t="shared" si="25"/>
        <v>20083.555555555555</v>
      </c>
      <c r="CW32" s="211">
        <f t="shared" si="25"/>
        <v>23173.333333333336</v>
      </c>
      <c r="CX32" s="211">
        <f t="shared" si="25"/>
        <v>26263.111111111113</v>
      </c>
      <c r="CY32" s="211">
        <f t="shared" si="25"/>
        <v>29352.888888888887</v>
      </c>
      <c r="CZ32" s="211">
        <f t="shared" si="25"/>
        <v>30897.777777777777</v>
      </c>
      <c r="DA32" s="211">
        <f t="shared" si="25"/>
        <v>30897.777777777777</v>
      </c>
    </row>
    <row r="33" spans="1:105">
      <c r="A33" s="202" t="str">
        <f>Income!A81</f>
        <v>Self - employment</v>
      </c>
      <c r="B33" s="204">
        <f>Income!B81</f>
        <v>0</v>
      </c>
      <c r="C33" s="204">
        <f>Income!C81</f>
        <v>0</v>
      </c>
      <c r="D33" s="204">
        <f>Income!D81</f>
        <v>429</v>
      </c>
      <c r="E33" s="204">
        <f>Income!E81</f>
        <v>0</v>
      </c>
      <c r="F33" s="211">
        <f t="shared" si="16"/>
        <v>0</v>
      </c>
      <c r="G33" s="211">
        <f t="shared" si="16"/>
        <v>0</v>
      </c>
      <c r="H33" s="211">
        <f t="shared" si="16"/>
        <v>0</v>
      </c>
      <c r="I33" s="211">
        <f t="shared" si="16"/>
        <v>0</v>
      </c>
      <c r="J33" s="211">
        <f t="shared" si="16"/>
        <v>0</v>
      </c>
      <c r="K33" s="211">
        <f t="shared" si="16"/>
        <v>0</v>
      </c>
      <c r="L33" s="211">
        <f t="shared" si="16"/>
        <v>0</v>
      </c>
      <c r="M33" s="211">
        <f t="shared" si="16"/>
        <v>0</v>
      </c>
      <c r="N33" s="211">
        <f t="shared" si="16"/>
        <v>0</v>
      </c>
      <c r="O33" s="211">
        <f t="shared" si="16"/>
        <v>0</v>
      </c>
      <c r="P33" s="211">
        <f t="shared" si="17"/>
        <v>0</v>
      </c>
      <c r="Q33" s="211">
        <f t="shared" si="17"/>
        <v>0</v>
      </c>
      <c r="R33" s="211">
        <f t="shared" si="17"/>
        <v>0</v>
      </c>
      <c r="S33" s="211">
        <f t="shared" si="17"/>
        <v>0</v>
      </c>
      <c r="T33" s="211">
        <f t="shared" si="17"/>
        <v>0</v>
      </c>
      <c r="U33" s="211">
        <f t="shared" si="17"/>
        <v>0</v>
      </c>
      <c r="V33" s="211">
        <f t="shared" si="17"/>
        <v>0</v>
      </c>
      <c r="W33" s="211">
        <f t="shared" si="17"/>
        <v>0</v>
      </c>
      <c r="X33" s="211">
        <f t="shared" si="17"/>
        <v>0</v>
      </c>
      <c r="Y33" s="211">
        <f t="shared" si="17"/>
        <v>0</v>
      </c>
      <c r="Z33" s="211">
        <f t="shared" si="18"/>
        <v>0</v>
      </c>
      <c r="AA33" s="211">
        <f t="shared" si="18"/>
        <v>0</v>
      </c>
      <c r="AB33" s="211">
        <f t="shared" si="18"/>
        <v>0</v>
      </c>
      <c r="AC33" s="211">
        <f t="shared" si="18"/>
        <v>0</v>
      </c>
      <c r="AD33" s="211">
        <f t="shared" si="18"/>
        <v>0</v>
      </c>
      <c r="AE33" s="211">
        <f t="shared" si="18"/>
        <v>0</v>
      </c>
      <c r="AF33" s="211">
        <f t="shared" si="18"/>
        <v>0</v>
      </c>
      <c r="AG33" s="211">
        <f t="shared" si="18"/>
        <v>0</v>
      </c>
      <c r="AH33" s="211">
        <f t="shared" si="18"/>
        <v>0</v>
      </c>
      <c r="AI33" s="211">
        <f t="shared" si="18"/>
        <v>0</v>
      </c>
      <c r="AJ33" s="211">
        <f t="shared" si="19"/>
        <v>0</v>
      </c>
      <c r="AK33" s="211">
        <f t="shared" si="19"/>
        <v>0</v>
      </c>
      <c r="AL33" s="211">
        <f t="shared" si="19"/>
        <v>0</v>
      </c>
      <c r="AM33" s="211">
        <f t="shared" si="19"/>
        <v>0</v>
      </c>
      <c r="AN33" s="211">
        <f t="shared" si="19"/>
        <v>0</v>
      </c>
      <c r="AO33" s="211">
        <f t="shared" si="19"/>
        <v>0</v>
      </c>
      <c r="AP33" s="211">
        <f t="shared" si="19"/>
        <v>0</v>
      </c>
      <c r="AQ33" s="211">
        <f t="shared" si="19"/>
        <v>0</v>
      </c>
      <c r="AR33" s="211">
        <f t="shared" si="19"/>
        <v>0</v>
      </c>
      <c r="AS33" s="211">
        <f t="shared" si="19"/>
        <v>0</v>
      </c>
      <c r="AT33" s="211">
        <f t="shared" si="20"/>
        <v>0</v>
      </c>
      <c r="AU33" s="211">
        <f t="shared" si="20"/>
        <v>0</v>
      </c>
      <c r="AV33" s="211">
        <f t="shared" si="20"/>
        <v>0</v>
      </c>
      <c r="AW33" s="211">
        <f t="shared" si="20"/>
        <v>0</v>
      </c>
      <c r="AX33" s="211">
        <f t="shared" si="20"/>
        <v>0</v>
      </c>
      <c r="AY33" s="211">
        <f t="shared" si="20"/>
        <v>0</v>
      </c>
      <c r="AZ33" s="211">
        <f t="shared" si="20"/>
        <v>0</v>
      </c>
      <c r="BA33" s="211">
        <f t="shared" si="20"/>
        <v>0</v>
      </c>
      <c r="BB33" s="211">
        <f t="shared" si="20"/>
        <v>0</v>
      </c>
      <c r="BC33" s="211">
        <f t="shared" si="20"/>
        <v>0</v>
      </c>
      <c r="BD33" s="211">
        <f t="shared" si="21"/>
        <v>0</v>
      </c>
      <c r="BE33" s="211">
        <f t="shared" si="21"/>
        <v>0</v>
      </c>
      <c r="BF33" s="211">
        <f t="shared" si="21"/>
        <v>0</v>
      </c>
      <c r="BG33" s="211">
        <f t="shared" si="21"/>
        <v>0</v>
      </c>
      <c r="BH33" s="211">
        <f t="shared" si="21"/>
        <v>0</v>
      </c>
      <c r="BI33" s="211">
        <f t="shared" si="21"/>
        <v>0</v>
      </c>
      <c r="BJ33" s="211">
        <f t="shared" si="21"/>
        <v>0</v>
      </c>
      <c r="BK33" s="211">
        <f t="shared" si="21"/>
        <v>0</v>
      </c>
      <c r="BL33" s="211">
        <f t="shared" si="21"/>
        <v>0</v>
      </c>
      <c r="BM33" s="211">
        <f t="shared" si="21"/>
        <v>0</v>
      </c>
      <c r="BN33" s="211">
        <f t="shared" si="22"/>
        <v>0</v>
      </c>
      <c r="BO33" s="211">
        <f t="shared" si="22"/>
        <v>0</v>
      </c>
      <c r="BP33" s="211">
        <f t="shared" si="22"/>
        <v>0</v>
      </c>
      <c r="BQ33" s="211">
        <f t="shared" si="22"/>
        <v>0</v>
      </c>
      <c r="BR33" s="211">
        <f t="shared" si="22"/>
        <v>0</v>
      </c>
      <c r="BS33" s="211">
        <f t="shared" si="22"/>
        <v>0</v>
      </c>
      <c r="BT33" s="211">
        <f t="shared" si="22"/>
        <v>19.066666666666666</v>
      </c>
      <c r="BU33" s="211">
        <f t="shared" si="22"/>
        <v>38.133333333333333</v>
      </c>
      <c r="BV33" s="211">
        <f t="shared" si="22"/>
        <v>57.2</v>
      </c>
      <c r="BW33" s="211">
        <f t="shared" si="22"/>
        <v>76.266666666666666</v>
      </c>
      <c r="BX33" s="211">
        <f t="shared" si="23"/>
        <v>95.333333333333329</v>
      </c>
      <c r="BY33" s="211">
        <f t="shared" si="23"/>
        <v>114.4</v>
      </c>
      <c r="BZ33" s="211">
        <f t="shared" si="23"/>
        <v>133.46666666666667</v>
      </c>
      <c r="CA33" s="211">
        <f t="shared" si="23"/>
        <v>152.53333333333333</v>
      </c>
      <c r="CB33" s="211">
        <f t="shared" si="23"/>
        <v>171.6</v>
      </c>
      <c r="CC33" s="211">
        <f t="shared" si="23"/>
        <v>190.66666666666666</v>
      </c>
      <c r="CD33" s="211">
        <f t="shared" si="23"/>
        <v>209.73333333333332</v>
      </c>
      <c r="CE33" s="211">
        <f t="shared" si="23"/>
        <v>228.8</v>
      </c>
      <c r="CF33" s="211">
        <f t="shared" si="23"/>
        <v>247.86666666666667</v>
      </c>
      <c r="CG33" s="211">
        <f t="shared" si="23"/>
        <v>266.93333333333334</v>
      </c>
      <c r="CH33" s="211">
        <f t="shared" si="24"/>
        <v>286</v>
      </c>
      <c r="CI33" s="211">
        <f t="shared" si="24"/>
        <v>305.06666666666666</v>
      </c>
      <c r="CJ33" s="211">
        <f t="shared" si="24"/>
        <v>324.13333333333333</v>
      </c>
      <c r="CK33" s="211">
        <f t="shared" si="24"/>
        <v>343.2</v>
      </c>
      <c r="CL33" s="211">
        <f t="shared" si="24"/>
        <v>362.26666666666665</v>
      </c>
      <c r="CM33" s="211">
        <f t="shared" si="24"/>
        <v>381.33333333333331</v>
      </c>
      <c r="CN33" s="211">
        <f t="shared" si="24"/>
        <v>400.4</v>
      </c>
      <c r="CO33" s="211">
        <f t="shared" si="24"/>
        <v>419.46666666666664</v>
      </c>
      <c r="CP33" s="211">
        <f t="shared" si="24"/>
        <v>407.55</v>
      </c>
      <c r="CQ33" s="211">
        <f t="shared" si="24"/>
        <v>364.65</v>
      </c>
      <c r="CR33" s="211">
        <f t="shared" si="25"/>
        <v>321.75</v>
      </c>
      <c r="CS33" s="211">
        <f t="shared" si="25"/>
        <v>278.85000000000002</v>
      </c>
      <c r="CT33" s="211">
        <f t="shared" si="25"/>
        <v>235.95</v>
      </c>
      <c r="CU33" s="211">
        <f t="shared" si="25"/>
        <v>193.05</v>
      </c>
      <c r="CV33" s="211">
        <f t="shared" si="25"/>
        <v>150.14999999999998</v>
      </c>
      <c r="CW33" s="211">
        <f t="shared" si="25"/>
        <v>107.25</v>
      </c>
      <c r="CX33" s="211">
        <f t="shared" si="25"/>
        <v>64.350000000000023</v>
      </c>
      <c r="CY33" s="211">
        <f t="shared" si="25"/>
        <v>21.449999999999989</v>
      </c>
      <c r="CZ33" s="211">
        <f t="shared" si="25"/>
        <v>0</v>
      </c>
      <c r="DA33" s="211">
        <f t="shared" si="25"/>
        <v>0</v>
      </c>
    </row>
    <row r="34" spans="1:105">
      <c r="A34" s="202" t="str">
        <f>Income!A82</f>
        <v>Small business/petty trading</v>
      </c>
      <c r="B34" s="204">
        <f>Income!B82</f>
        <v>0</v>
      </c>
      <c r="C34" s="204">
        <f>Income!C82</f>
        <v>0</v>
      </c>
      <c r="D34" s="204">
        <f>Income!D82</f>
        <v>2160</v>
      </c>
      <c r="E34" s="204">
        <f>Income!E82</f>
        <v>0</v>
      </c>
      <c r="F34" s="211">
        <f t="shared" si="16"/>
        <v>0</v>
      </c>
      <c r="G34" s="211">
        <f t="shared" si="16"/>
        <v>0</v>
      </c>
      <c r="H34" s="211">
        <f t="shared" si="16"/>
        <v>0</v>
      </c>
      <c r="I34" s="211">
        <f t="shared" si="16"/>
        <v>0</v>
      </c>
      <c r="J34" s="211">
        <f t="shared" si="16"/>
        <v>0</v>
      </c>
      <c r="K34" s="211">
        <f t="shared" si="16"/>
        <v>0</v>
      </c>
      <c r="L34" s="211">
        <f t="shared" si="16"/>
        <v>0</v>
      </c>
      <c r="M34" s="211">
        <f t="shared" si="16"/>
        <v>0</v>
      </c>
      <c r="N34" s="211">
        <f t="shared" si="16"/>
        <v>0</v>
      </c>
      <c r="O34" s="211">
        <f t="shared" si="16"/>
        <v>0</v>
      </c>
      <c r="P34" s="211">
        <f t="shared" si="17"/>
        <v>0</v>
      </c>
      <c r="Q34" s="211">
        <f t="shared" si="17"/>
        <v>0</v>
      </c>
      <c r="R34" s="211">
        <f t="shared" si="17"/>
        <v>0</v>
      </c>
      <c r="S34" s="211">
        <f t="shared" si="17"/>
        <v>0</v>
      </c>
      <c r="T34" s="211">
        <f t="shared" si="17"/>
        <v>0</v>
      </c>
      <c r="U34" s="211">
        <f t="shared" si="17"/>
        <v>0</v>
      </c>
      <c r="V34" s="211">
        <f t="shared" si="17"/>
        <v>0</v>
      </c>
      <c r="W34" s="211">
        <f t="shared" si="17"/>
        <v>0</v>
      </c>
      <c r="X34" s="211">
        <f t="shared" si="17"/>
        <v>0</v>
      </c>
      <c r="Y34" s="211">
        <f t="shared" si="17"/>
        <v>0</v>
      </c>
      <c r="Z34" s="211">
        <f t="shared" si="18"/>
        <v>0</v>
      </c>
      <c r="AA34" s="211">
        <f t="shared" si="18"/>
        <v>0</v>
      </c>
      <c r="AB34" s="211">
        <f t="shared" si="18"/>
        <v>0</v>
      </c>
      <c r="AC34" s="211">
        <f t="shared" si="18"/>
        <v>0</v>
      </c>
      <c r="AD34" s="211">
        <f t="shared" si="18"/>
        <v>0</v>
      </c>
      <c r="AE34" s="211">
        <f t="shared" si="18"/>
        <v>0</v>
      </c>
      <c r="AF34" s="211">
        <f t="shared" si="18"/>
        <v>0</v>
      </c>
      <c r="AG34" s="211">
        <f t="shared" si="18"/>
        <v>0</v>
      </c>
      <c r="AH34" s="211">
        <f t="shared" si="18"/>
        <v>0</v>
      </c>
      <c r="AI34" s="211">
        <f t="shared" si="18"/>
        <v>0</v>
      </c>
      <c r="AJ34" s="211">
        <f t="shared" si="19"/>
        <v>0</v>
      </c>
      <c r="AK34" s="211">
        <f t="shared" si="19"/>
        <v>0</v>
      </c>
      <c r="AL34" s="211">
        <f t="shared" si="19"/>
        <v>0</v>
      </c>
      <c r="AM34" s="211">
        <f t="shared" si="19"/>
        <v>0</v>
      </c>
      <c r="AN34" s="211">
        <f t="shared" si="19"/>
        <v>0</v>
      </c>
      <c r="AO34" s="211">
        <f t="shared" si="19"/>
        <v>0</v>
      </c>
      <c r="AP34" s="211">
        <f t="shared" si="19"/>
        <v>0</v>
      </c>
      <c r="AQ34" s="211">
        <f t="shared" si="19"/>
        <v>0</v>
      </c>
      <c r="AR34" s="211">
        <f t="shared" si="19"/>
        <v>0</v>
      </c>
      <c r="AS34" s="211">
        <f t="shared" si="19"/>
        <v>0</v>
      </c>
      <c r="AT34" s="211">
        <f t="shared" si="20"/>
        <v>0</v>
      </c>
      <c r="AU34" s="211">
        <f t="shared" si="20"/>
        <v>0</v>
      </c>
      <c r="AV34" s="211">
        <f t="shared" si="20"/>
        <v>0</v>
      </c>
      <c r="AW34" s="211">
        <f t="shared" si="20"/>
        <v>0</v>
      </c>
      <c r="AX34" s="211">
        <f t="shared" si="20"/>
        <v>0</v>
      </c>
      <c r="AY34" s="211">
        <f t="shared" si="20"/>
        <v>0</v>
      </c>
      <c r="AZ34" s="211">
        <f t="shared" si="20"/>
        <v>0</v>
      </c>
      <c r="BA34" s="211">
        <f t="shared" si="20"/>
        <v>0</v>
      </c>
      <c r="BB34" s="211">
        <f t="shared" si="20"/>
        <v>0</v>
      </c>
      <c r="BC34" s="211">
        <f t="shared" si="20"/>
        <v>0</v>
      </c>
      <c r="BD34" s="211">
        <f t="shared" si="21"/>
        <v>0</v>
      </c>
      <c r="BE34" s="211">
        <f t="shared" si="21"/>
        <v>0</v>
      </c>
      <c r="BF34" s="211">
        <f t="shared" si="21"/>
        <v>0</v>
      </c>
      <c r="BG34" s="211">
        <f t="shared" si="21"/>
        <v>0</v>
      </c>
      <c r="BH34" s="211">
        <f t="shared" si="21"/>
        <v>0</v>
      </c>
      <c r="BI34" s="211">
        <f t="shared" si="21"/>
        <v>0</v>
      </c>
      <c r="BJ34" s="211">
        <f t="shared" si="21"/>
        <v>0</v>
      </c>
      <c r="BK34" s="211">
        <f t="shared" si="21"/>
        <v>0</v>
      </c>
      <c r="BL34" s="211">
        <f t="shared" si="21"/>
        <v>0</v>
      </c>
      <c r="BM34" s="211">
        <f t="shared" si="21"/>
        <v>0</v>
      </c>
      <c r="BN34" s="211">
        <f t="shared" si="22"/>
        <v>0</v>
      </c>
      <c r="BO34" s="211">
        <f t="shared" si="22"/>
        <v>0</v>
      </c>
      <c r="BP34" s="211">
        <f t="shared" si="22"/>
        <v>0</v>
      </c>
      <c r="BQ34" s="211">
        <f t="shared" si="22"/>
        <v>0</v>
      </c>
      <c r="BR34" s="211">
        <f t="shared" si="22"/>
        <v>0</v>
      </c>
      <c r="BS34" s="211">
        <f t="shared" si="22"/>
        <v>0</v>
      </c>
      <c r="BT34" s="211">
        <f t="shared" si="22"/>
        <v>96</v>
      </c>
      <c r="BU34" s="211">
        <f t="shared" si="22"/>
        <v>192</v>
      </c>
      <c r="BV34" s="211">
        <f t="shared" si="22"/>
        <v>288</v>
      </c>
      <c r="BW34" s="211">
        <f t="shared" si="22"/>
        <v>384</v>
      </c>
      <c r="BX34" s="211">
        <f t="shared" si="23"/>
        <v>480</v>
      </c>
      <c r="BY34" s="211">
        <f t="shared" si="23"/>
        <v>576</v>
      </c>
      <c r="BZ34" s="211">
        <f t="shared" si="23"/>
        <v>672</v>
      </c>
      <c r="CA34" s="211">
        <f t="shared" si="23"/>
        <v>768</v>
      </c>
      <c r="CB34" s="211">
        <f t="shared" si="23"/>
        <v>864</v>
      </c>
      <c r="CC34" s="211">
        <f t="shared" si="23"/>
        <v>960</v>
      </c>
      <c r="CD34" s="211">
        <f t="shared" si="23"/>
        <v>1056</v>
      </c>
      <c r="CE34" s="211">
        <f t="shared" si="23"/>
        <v>1152</v>
      </c>
      <c r="CF34" s="211">
        <f t="shared" si="23"/>
        <v>1248</v>
      </c>
      <c r="CG34" s="211">
        <f t="shared" si="23"/>
        <v>1344</v>
      </c>
      <c r="CH34" s="211">
        <f t="shared" si="24"/>
        <v>1440</v>
      </c>
      <c r="CI34" s="211">
        <f t="shared" si="24"/>
        <v>1536</v>
      </c>
      <c r="CJ34" s="211">
        <f t="shared" si="24"/>
        <v>1632</v>
      </c>
      <c r="CK34" s="211">
        <f t="shared" si="24"/>
        <v>1728</v>
      </c>
      <c r="CL34" s="211">
        <f t="shared" si="24"/>
        <v>1824</v>
      </c>
      <c r="CM34" s="211">
        <f t="shared" si="24"/>
        <v>1920</v>
      </c>
      <c r="CN34" s="211">
        <f t="shared" si="24"/>
        <v>2016</v>
      </c>
      <c r="CO34" s="211">
        <f t="shared" si="24"/>
        <v>2112</v>
      </c>
      <c r="CP34" s="211">
        <f t="shared" si="24"/>
        <v>2052</v>
      </c>
      <c r="CQ34" s="211">
        <f t="shared" si="24"/>
        <v>1836</v>
      </c>
      <c r="CR34" s="211">
        <f t="shared" si="25"/>
        <v>1620</v>
      </c>
      <c r="CS34" s="211">
        <f t="shared" si="25"/>
        <v>1404</v>
      </c>
      <c r="CT34" s="211">
        <f t="shared" si="25"/>
        <v>1188</v>
      </c>
      <c r="CU34" s="211">
        <f t="shared" si="25"/>
        <v>972</v>
      </c>
      <c r="CV34" s="211">
        <f t="shared" si="25"/>
        <v>756</v>
      </c>
      <c r="CW34" s="211">
        <f t="shared" si="25"/>
        <v>540</v>
      </c>
      <c r="CX34" s="211">
        <f t="shared" si="25"/>
        <v>324</v>
      </c>
      <c r="CY34" s="211">
        <f t="shared" si="25"/>
        <v>108</v>
      </c>
      <c r="CZ34" s="211">
        <f t="shared" si="25"/>
        <v>0</v>
      </c>
      <c r="DA34" s="211">
        <f t="shared" si="25"/>
        <v>0</v>
      </c>
    </row>
    <row r="35" spans="1:105">
      <c r="A35" s="202" t="str">
        <f>Income!A83</f>
        <v>Food transfer - official</v>
      </c>
      <c r="B35" s="204">
        <f>Income!B83</f>
        <v>807.33808994213837</v>
      </c>
      <c r="C35" s="204">
        <f>Income!C83</f>
        <v>807.33808994213837</v>
      </c>
      <c r="D35" s="204">
        <f>Income!D83</f>
        <v>807.33808994213837</v>
      </c>
      <c r="E35" s="204">
        <f>Income!E83</f>
        <v>717.63385772634524</v>
      </c>
      <c r="F35" s="211">
        <f t="shared" si="16"/>
        <v>807.33808994213837</v>
      </c>
      <c r="G35" s="211">
        <f t="shared" si="16"/>
        <v>807.33808994213837</v>
      </c>
      <c r="H35" s="211">
        <f t="shared" si="16"/>
        <v>807.33808994213837</v>
      </c>
      <c r="I35" s="211">
        <f t="shared" si="16"/>
        <v>807.33808994213837</v>
      </c>
      <c r="J35" s="211">
        <f t="shared" si="16"/>
        <v>807.33808994213837</v>
      </c>
      <c r="K35" s="211">
        <f t="shared" si="16"/>
        <v>807.33808994213837</v>
      </c>
      <c r="L35" s="211">
        <f t="shared" si="16"/>
        <v>807.33808994213837</v>
      </c>
      <c r="M35" s="211">
        <f t="shared" si="16"/>
        <v>807.33808994213837</v>
      </c>
      <c r="N35" s="211">
        <f t="shared" si="16"/>
        <v>807.33808994213837</v>
      </c>
      <c r="O35" s="211">
        <f t="shared" si="16"/>
        <v>807.33808994213837</v>
      </c>
      <c r="P35" s="211">
        <f t="shared" si="17"/>
        <v>807.33808994213837</v>
      </c>
      <c r="Q35" s="211">
        <f t="shared" si="17"/>
        <v>807.33808994213837</v>
      </c>
      <c r="R35" s="211">
        <f t="shared" si="17"/>
        <v>807.33808994213837</v>
      </c>
      <c r="S35" s="211">
        <f t="shared" si="17"/>
        <v>807.33808994213837</v>
      </c>
      <c r="T35" s="211">
        <f t="shared" si="17"/>
        <v>807.33808994213837</v>
      </c>
      <c r="U35" s="211">
        <f t="shared" si="17"/>
        <v>807.33808994213837</v>
      </c>
      <c r="V35" s="211">
        <f t="shared" si="17"/>
        <v>807.33808994213837</v>
      </c>
      <c r="W35" s="211">
        <f t="shared" si="17"/>
        <v>807.33808994213837</v>
      </c>
      <c r="X35" s="211">
        <f t="shared" si="17"/>
        <v>807.33808994213837</v>
      </c>
      <c r="Y35" s="211">
        <f t="shared" si="17"/>
        <v>807.33808994213837</v>
      </c>
      <c r="Z35" s="211">
        <f t="shared" si="18"/>
        <v>807.33808994213837</v>
      </c>
      <c r="AA35" s="211">
        <f t="shared" si="18"/>
        <v>807.33808994213837</v>
      </c>
      <c r="AB35" s="211">
        <f t="shared" si="18"/>
        <v>807.33808994213837</v>
      </c>
      <c r="AC35" s="211">
        <f t="shared" si="18"/>
        <v>807.33808994213837</v>
      </c>
      <c r="AD35" s="211">
        <f t="shared" si="18"/>
        <v>807.33808994213837</v>
      </c>
      <c r="AE35" s="211">
        <f t="shared" si="18"/>
        <v>807.33808994213837</v>
      </c>
      <c r="AF35" s="211">
        <f t="shared" si="18"/>
        <v>807.33808994213837</v>
      </c>
      <c r="AG35" s="211">
        <f t="shared" si="18"/>
        <v>807.33808994213837</v>
      </c>
      <c r="AH35" s="211">
        <f t="shared" si="18"/>
        <v>807.33808994213837</v>
      </c>
      <c r="AI35" s="211">
        <f t="shared" si="18"/>
        <v>807.33808994213837</v>
      </c>
      <c r="AJ35" s="211">
        <f t="shared" si="19"/>
        <v>807.33808994213837</v>
      </c>
      <c r="AK35" s="211">
        <f t="shared" si="19"/>
        <v>807.33808994213837</v>
      </c>
      <c r="AL35" s="211">
        <f t="shared" si="19"/>
        <v>807.33808994213837</v>
      </c>
      <c r="AM35" s="211">
        <f t="shared" si="19"/>
        <v>807.33808994213837</v>
      </c>
      <c r="AN35" s="211">
        <f t="shared" si="19"/>
        <v>807.33808994213837</v>
      </c>
      <c r="AO35" s="211">
        <f t="shared" si="19"/>
        <v>807.33808994213837</v>
      </c>
      <c r="AP35" s="211">
        <f t="shared" si="19"/>
        <v>807.33808994213837</v>
      </c>
      <c r="AQ35" s="211">
        <f t="shared" si="19"/>
        <v>807.33808994213837</v>
      </c>
      <c r="AR35" s="211">
        <f t="shared" si="19"/>
        <v>807.33808994213837</v>
      </c>
      <c r="AS35" s="211">
        <f t="shared" si="19"/>
        <v>807.33808994213837</v>
      </c>
      <c r="AT35" s="211">
        <f t="shared" si="20"/>
        <v>807.33808994213837</v>
      </c>
      <c r="AU35" s="211">
        <f t="shared" si="20"/>
        <v>807.33808994213837</v>
      </c>
      <c r="AV35" s="211">
        <f t="shared" si="20"/>
        <v>807.33808994213837</v>
      </c>
      <c r="AW35" s="211">
        <f t="shared" si="20"/>
        <v>807.33808994213837</v>
      </c>
      <c r="AX35" s="211">
        <f t="shared" si="20"/>
        <v>807.33808994213837</v>
      </c>
      <c r="AY35" s="211">
        <f t="shared" si="20"/>
        <v>807.33808994213837</v>
      </c>
      <c r="AZ35" s="211">
        <f t="shared" si="20"/>
        <v>807.33808994213837</v>
      </c>
      <c r="BA35" s="211">
        <f t="shared" si="20"/>
        <v>807.33808994213837</v>
      </c>
      <c r="BB35" s="211">
        <f t="shared" si="20"/>
        <v>807.33808994213837</v>
      </c>
      <c r="BC35" s="211">
        <f t="shared" si="20"/>
        <v>807.33808994213837</v>
      </c>
      <c r="BD35" s="211">
        <f t="shared" si="21"/>
        <v>807.33808994213837</v>
      </c>
      <c r="BE35" s="211">
        <f t="shared" si="21"/>
        <v>807.33808994213837</v>
      </c>
      <c r="BF35" s="211">
        <f t="shared" si="21"/>
        <v>807.33808994213837</v>
      </c>
      <c r="BG35" s="211">
        <f t="shared" si="21"/>
        <v>807.33808994213837</v>
      </c>
      <c r="BH35" s="211">
        <f t="shared" si="21"/>
        <v>807.33808994213837</v>
      </c>
      <c r="BI35" s="211">
        <f t="shared" si="21"/>
        <v>807.33808994213837</v>
      </c>
      <c r="BJ35" s="211">
        <f t="shared" si="21"/>
        <v>807.33808994213837</v>
      </c>
      <c r="BK35" s="211">
        <f t="shared" si="21"/>
        <v>807.33808994213837</v>
      </c>
      <c r="BL35" s="211">
        <f t="shared" si="21"/>
        <v>807.33808994213837</v>
      </c>
      <c r="BM35" s="211">
        <f t="shared" si="21"/>
        <v>807.33808994213837</v>
      </c>
      <c r="BN35" s="211">
        <f t="shared" si="22"/>
        <v>807.33808994213837</v>
      </c>
      <c r="BO35" s="211">
        <f t="shared" si="22"/>
        <v>807.33808994213837</v>
      </c>
      <c r="BP35" s="211">
        <f t="shared" si="22"/>
        <v>807.33808994213837</v>
      </c>
      <c r="BQ35" s="211">
        <f t="shared" si="22"/>
        <v>807.33808994213837</v>
      </c>
      <c r="BR35" s="211">
        <f t="shared" si="22"/>
        <v>807.33808994213837</v>
      </c>
      <c r="BS35" s="211">
        <f t="shared" si="22"/>
        <v>807.33808994213837</v>
      </c>
      <c r="BT35" s="211">
        <f t="shared" si="22"/>
        <v>807.33808994213837</v>
      </c>
      <c r="BU35" s="211">
        <f t="shared" si="22"/>
        <v>807.33808994213837</v>
      </c>
      <c r="BV35" s="211">
        <f t="shared" si="22"/>
        <v>807.33808994213837</v>
      </c>
      <c r="BW35" s="211">
        <f t="shared" si="22"/>
        <v>807.33808994213837</v>
      </c>
      <c r="BX35" s="211">
        <f t="shared" si="23"/>
        <v>807.33808994213837</v>
      </c>
      <c r="BY35" s="211">
        <f t="shared" si="23"/>
        <v>807.33808994213837</v>
      </c>
      <c r="BZ35" s="211">
        <f t="shared" si="23"/>
        <v>807.33808994213837</v>
      </c>
      <c r="CA35" s="211">
        <f t="shared" si="23"/>
        <v>807.33808994213837</v>
      </c>
      <c r="CB35" s="211">
        <f t="shared" si="23"/>
        <v>807.33808994213837</v>
      </c>
      <c r="CC35" s="211">
        <f t="shared" si="23"/>
        <v>807.33808994213837</v>
      </c>
      <c r="CD35" s="211">
        <f t="shared" si="23"/>
        <v>807.33808994213837</v>
      </c>
      <c r="CE35" s="211">
        <f t="shared" si="23"/>
        <v>807.33808994213837</v>
      </c>
      <c r="CF35" s="211">
        <f t="shared" si="23"/>
        <v>807.33808994213837</v>
      </c>
      <c r="CG35" s="211">
        <f t="shared" si="23"/>
        <v>807.33808994213837</v>
      </c>
      <c r="CH35" s="211">
        <f t="shared" si="24"/>
        <v>807.33808994213837</v>
      </c>
      <c r="CI35" s="211">
        <f t="shared" si="24"/>
        <v>807.33808994213837</v>
      </c>
      <c r="CJ35" s="211">
        <f t="shared" si="24"/>
        <v>807.33808994213837</v>
      </c>
      <c r="CK35" s="211">
        <f t="shared" si="24"/>
        <v>807.33808994213837</v>
      </c>
      <c r="CL35" s="211">
        <f t="shared" si="24"/>
        <v>807.33808994213837</v>
      </c>
      <c r="CM35" s="211">
        <f t="shared" si="24"/>
        <v>807.33808994213837</v>
      </c>
      <c r="CN35" s="211">
        <f t="shared" si="24"/>
        <v>807.33808994213837</v>
      </c>
      <c r="CO35" s="211">
        <f t="shared" si="24"/>
        <v>807.33808994213837</v>
      </c>
      <c r="CP35" s="211">
        <f t="shared" si="24"/>
        <v>802.85287833134873</v>
      </c>
      <c r="CQ35" s="211">
        <f t="shared" si="24"/>
        <v>793.88245510976935</v>
      </c>
      <c r="CR35" s="211">
        <f t="shared" si="25"/>
        <v>784.91203188819009</v>
      </c>
      <c r="CS35" s="211">
        <f t="shared" si="25"/>
        <v>775.94160866661082</v>
      </c>
      <c r="CT35" s="211">
        <f t="shared" si="25"/>
        <v>766.97118544503144</v>
      </c>
      <c r="CU35" s="211">
        <f t="shared" si="25"/>
        <v>758.00076222345217</v>
      </c>
      <c r="CV35" s="211">
        <f t="shared" si="25"/>
        <v>749.03033900187279</v>
      </c>
      <c r="CW35" s="211">
        <f t="shared" si="25"/>
        <v>740.05991578029352</v>
      </c>
      <c r="CX35" s="211">
        <f t="shared" si="25"/>
        <v>731.08949255871426</v>
      </c>
      <c r="CY35" s="211">
        <f t="shared" si="25"/>
        <v>722.11906933713487</v>
      </c>
      <c r="CZ35" s="211">
        <f t="shared" si="25"/>
        <v>717.63385772634524</v>
      </c>
      <c r="DA35" s="211">
        <f t="shared" si="25"/>
        <v>717.63385772634524</v>
      </c>
    </row>
    <row r="36" spans="1:105">
      <c r="A36" s="202" t="str">
        <f>Income!A85</f>
        <v>Cash transfer - official</v>
      </c>
      <c r="B36" s="204">
        <f>Income!B85</f>
        <v>22020</v>
      </c>
      <c r="C36" s="204">
        <f>Income!C85</f>
        <v>22020</v>
      </c>
      <c r="D36" s="204">
        <f>Income!D85</f>
        <v>22020</v>
      </c>
      <c r="E36" s="204">
        <f>Income!E85</f>
        <v>5477.333333333333</v>
      </c>
      <c r="F36" s="211">
        <f t="shared" si="16"/>
        <v>22020</v>
      </c>
      <c r="G36" s="211">
        <f t="shared" si="16"/>
        <v>22020</v>
      </c>
      <c r="H36" s="211">
        <f t="shared" si="16"/>
        <v>22020</v>
      </c>
      <c r="I36" s="211">
        <f t="shared" si="16"/>
        <v>22020</v>
      </c>
      <c r="J36" s="211">
        <f t="shared" si="16"/>
        <v>22020</v>
      </c>
      <c r="K36" s="211">
        <f t="shared" si="16"/>
        <v>22020</v>
      </c>
      <c r="L36" s="211">
        <f t="shared" si="16"/>
        <v>22020</v>
      </c>
      <c r="M36" s="211">
        <f t="shared" si="16"/>
        <v>22020</v>
      </c>
      <c r="N36" s="211">
        <f t="shared" si="16"/>
        <v>22020</v>
      </c>
      <c r="O36" s="211">
        <f t="shared" si="16"/>
        <v>22020</v>
      </c>
      <c r="P36" s="211">
        <f t="shared" si="16"/>
        <v>22020</v>
      </c>
      <c r="Q36" s="211">
        <f t="shared" si="16"/>
        <v>22020</v>
      </c>
      <c r="R36" s="211">
        <f t="shared" si="16"/>
        <v>22020</v>
      </c>
      <c r="S36" s="211">
        <f t="shared" si="16"/>
        <v>22020</v>
      </c>
      <c r="T36" s="211">
        <f t="shared" si="16"/>
        <v>22020</v>
      </c>
      <c r="U36" s="211">
        <f t="shared" si="16"/>
        <v>22020</v>
      </c>
      <c r="V36" s="211">
        <f t="shared" si="17"/>
        <v>22020</v>
      </c>
      <c r="W36" s="211">
        <f t="shared" si="17"/>
        <v>22020</v>
      </c>
      <c r="X36" s="211">
        <f t="shared" si="17"/>
        <v>22020</v>
      </c>
      <c r="Y36" s="211">
        <f t="shared" si="17"/>
        <v>22020</v>
      </c>
      <c r="Z36" s="211">
        <f t="shared" si="17"/>
        <v>22020</v>
      </c>
      <c r="AA36" s="211">
        <f t="shared" si="17"/>
        <v>22020</v>
      </c>
      <c r="AB36" s="211">
        <f t="shared" si="17"/>
        <v>22020</v>
      </c>
      <c r="AC36" s="211">
        <f t="shared" si="17"/>
        <v>22020</v>
      </c>
      <c r="AD36" s="211">
        <f t="shared" si="17"/>
        <v>22020</v>
      </c>
      <c r="AE36" s="211">
        <f t="shared" si="17"/>
        <v>22020</v>
      </c>
      <c r="AF36" s="211">
        <f t="shared" si="18"/>
        <v>22020</v>
      </c>
      <c r="AG36" s="211">
        <f t="shared" si="18"/>
        <v>22020</v>
      </c>
      <c r="AH36" s="211">
        <f t="shared" si="18"/>
        <v>22020</v>
      </c>
      <c r="AI36" s="211">
        <f t="shared" si="18"/>
        <v>22020</v>
      </c>
      <c r="AJ36" s="211">
        <f t="shared" si="18"/>
        <v>22020</v>
      </c>
      <c r="AK36" s="211">
        <f t="shared" si="18"/>
        <v>22020</v>
      </c>
      <c r="AL36" s="211">
        <f t="shared" si="18"/>
        <v>22020</v>
      </c>
      <c r="AM36" s="211">
        <f t="shared" si="18"/>
        <v>22020</v>
      </c>
      <c r="AN36" s="211">
        <f t="shared" si="18"/>
        <v>22020</v>
      </c>
      <c r="AO36" s="211">
        <f t="shared" si="18"/>
        <v>22020</v>
      </c>
      <c r="AP36" s="211">
        <f t="shared" si="19"/>
        <v>22020</v>
      </c>
      <c r="AQ36" s="211">
        <f t="shared" si="19"/>
        <v>22020</v>
      </c>
      <c r="AR36" s="211">
        <f t="shared" si="19"/>
        <v>22020</v>
      </c>
      <c r="AS36" s="211">
        <f t="shared" si="19"/>
        <v>22020</v>
      </c>
      <c r="AT36" s="211">
        <f t="shared" si="19"/>
        <v>22020</v>
      </c>
      <c r="AU36" s="211">
        <f t="shared" si="19"/>
        <v>22020</v>
      </c>
      <c r="AV36" s="211">
        <f t="shared" si="19"/>
        <v>22020</v>
      </c>
      <c r="AW36" s="211">
        <f t="shared" si="19"/>
        <v>22020</v>
      </c>
      <c r="AX36" s="211">
        <f t="shared" si="19"/>
        <v>22020</v>
      </c>
      <c r="AY36" s="211">
        <f t="shared" si="19"/>
        <v>22020</v>
      </c>
      <c r="AZ36" s="211">
        <f t="shared" si="20"/>
        <v>22020</v>
      </c>
      <c r="BA36" s="211">
        <f t="shared" si="20"/>
        <v>22020</v>
      </c>
      <c r="BB36" s="211">
        <f t="shared" si="20"/>
        <v>22020</v>
      </c>
      <c r="BC36" s="211">
        <f t="shared" si="20"/>
        <v>22020</v>
      </c>
      <c r="BD36" s="211">
        <f t="shared" si="20"/>
        <v>22020</v>
      </c>
      <c r="BE36" s="211">
        <f t="shared" si="20"/>
        <v>22020</v>
      </c>
      <c r="BF36" s="211">
        <f t="shared" si="20"/>
        <v>22020</v>
      </c>
      <c r="BG36" s="211">
        <f t="shared" si="20"/>
        <v>22020</v>
      </c>
      <c r="BH36" s="211">
        <f t="shared" si="20"/>
        <v>22020</v>
      </c>
      <c r="BI36" s="211">
        <f t="shared" si="20"/>
        <v>22020</v>
      </c>
      <c r="BJ36" s="211">
        <f t="shared" si="21"/>
        <v>22020</v>
      </c>
      <c r="BK36" s="211">
        <f t="shared" si="21"/>
        <v>22020</v>
      </c>
      <c r="BL36" s="211">
        <f t="shared" si="21"/>
        <v>22020</v>
      </c>
      <c r="BM36" s="211">
        <f t="shared" si="21"/>
        <v>22020</v>
      </c>
      <c r="BN36" s="211">
        <f t="shared" si="21"/>
        <v>22020</v>
      </c>
      <c r="BO36" s="211">
        <f t="shared" si="21"/>
        <v>22020</v>
      </c>
      <c r="BP36" s="211">
        <f t="shared" si="21"/>
        <v>22020</v>
      </c>
      <c r="BQ36" s="211">
        <f t="shared" si="21"/>
        <v>22020</v>
      </c>
      <c r="BR36" s="211">
        <f t="shared" si="21"/>
        <v>22020</v>
      </c>
      <c r="BS36" s="211">
        <f t="shared" si="21"/>
        <v>22020</v>
      </c>
      <c r="BT36" s="211">
        <f t="shared" si="22"/>
        <v>22020</v>
      </c>
      <c r="BU36" s="211">
        <f t="shared" si="22"/>
        <v>22020</v>
      </c>
      <c r="BV36" s="211">
        <f t="shared" si="22"/>
        <v>22020</v>
      </c>
      <c r="BW36" s="211">
        <f t="shared" si="22"/>
        <v>22020</v>
      </c>
      <c r="BX36" s="211">
        <f t="shared" si="22"/>
        <v>22020</v>
      </c>
      <c r="BY36" s="211">
        <f t="shared" si="22"/>
        <v>22020</v>
      </c>
      <c r="BZ36" s="211">
        <f t="shared" si="22"/>
        <v>22020</v>
      </c>
      <c r="CA36" s="211">
        <f t="shared" si="22"/>
        <v>22020</v>
      </c>
      <c r="CB36" s="211">
        <f t="shared" si="22"/>
        <v>22020</v>
      </c>
      <c r="CC36" s="211">
        <f t="shared" si="22"/>
        <v>22020</v>
      </c>
      <c r="CD36" s="211">
        <f t="shared" si="23"/>
        <v>22020</v>
      </c>
      <c r="CE36" s="211">
        <f t="shared" si="23"/>
        <v>22020</v>
      </c>
      <c r="CF36" s="211">
        <f t="shared" si="23"/>
        <v>22020</v>
      </c>
      <c r="CG36" s="211">
        <f t="shared" si="23"/>
        <v>22020</v>
      </c>
      <c r="CH36" s="211">
        <f t="shared" si="23"/>
        <v>22020</v>
      </c>
      <c r="CI36" s="211">
        <f t="shared" si="23"/>
        <v>22020</v>
      </c>
      <c r="CJ36" s="211">
        <f t="shared" si="23"/>
        <v>22020</v>
      </c>
      <c r="CK36" s="211">
        <f t="shared" si="23"/>
        <v>22020</v>
      </c>
      <c r="CL36" s="211">
        <f t="shared" si="23"/>
        <v>22020</v>
      </c>
      <c r="CM36" s="211">
        <f t="shared" si="23"/>
        <v>22020</v>
      </c>
      <c r="CN36" s="211">
        <f t="shared" si="24"/>
        <v>22020</v>
      </c>
      <c r="CO36" s="211">
        <f t="shared" si="24"/>
        <v>22020</v>
      </c>
      <c r="CP36" s="211">
        <f t="shared" si="24"/>
        <v>21192.866666666665</v>
      </c>
      <c r="CQ36" s="211">
        <f t="shared" si="24"/>
        <v>19538.599999999999</v>
      </c>
      <c r="CR36" s="211">
        <f t="shared" si="24"/>
        <v>17884.333333333332</v>
      </c>
      <c r="CS36" s="211">
        <f t="shared" si="24"/>
        <v>16230.066666666666</v>
      </c>
      <c r="CT36" s="211">
        <f t="shared" si="24"/>
        <v>14575.8</v>
      </c>
      <c r="CU36" s="211">
        <f t="shared" si="24"/>
        <v>12921.533333333333</v>
      </c>
      <c r="CV36" s="211">
        <f t="shared" si="24"/>
        <v>11267.266666666666</v>
      </c>
      <c r="CW36" s="211">
        <f t="shared" si="24"/>
        <v>9612.9999999999982</v>
      </c>
      <c r="CX36" s="211">
        <f t="shared" si="25"/>
        <v>7958.7333333333318</v>
      </c>
      <c r="CY36" s="211">
        <f t="shared" si="25"/>
        <v>6304.4666666666653</v>
      </c>
      <c r="CZ36" s="211">
        <f t="shared" si="25"/>
        <v>5477.333333333333</v>
      </c>
      <c r="DA36" s="211">
        <f t="shared" si="25"/>
        <v>5477.333333333333</v>
      </c>
    </row>
    <row r="37" spans="1:105">
      <c r="A37" s="202" t="str">
        <f>Income!A86</f>
        <v>Cash transfer - gifts</v>
      </c>
      <c r="B37" s="204">
        <f>Income!B86</f>
        <v>0</v>
      </c>
      <c r="C37" s="204">
        <f>Income!C86</f>
        <v>0</v>
      </c>
      <c r="D37" s="204">
        <f>Income!D86</f>
        <v>0</v>
      </c>
      <c r="E37" s="204">
        <f>Income!E86</f>
        <v>0</v>
      </c>
      <c r="F37" s="211">
        <f t="shared" si="16"/>
        <v>0</v>
      </c>
      <c r="G37" s="211">
        <f t="shared" si="16"/>
        <v>0</v>
      </c>
      <c r="H37" s="211">
        <f t="shared" si="16"/>
        <v>0</v>
      </c>
      <c r="I37" s="211">
        <f t="shared" si="16"/>
        <v>0</v>
      </c>
      <c r="J37" s="211">
        <f t="shared" si="16"/>
        <v>0</v>
      </c>
      <c r="K37" s="211">
        <f t="shared" si="16"/>
        <v>0</v>
      </c>
      <c r="L37" s="211">
        <f t="shared" si="16"/>
        <v>0</v>
      </c>
      <c r="M37" s="211">
        <f t="shared" si="16"/>
        <v>0</v>
      </c>
      <c r="N37" s="211">
        <f t="shared" si="16"/>
        <v>0</v>
      </c>
      <c r="O37" s="211">
        <f t="shared" si="16"/>
        <v>0</v>
      </c>
      <c r="P37" s="211">
        <f t="shared" si="17"/>
        <v>0</v>
      </c>
      <c r="Q37" s="211">
        <f t="shared" si="17"/>
        <v>0</v>
      </c>
      <c r="R37" s="211">
        <f t="shared" si="17"/>
        <v>0</v>
      </c>
      <c r="S37" s="211">
        <f t="shared" si="17"/>
        <v>0</v>
      </c>
      <c r="T37" s="211">
        <f t="shared" si="17"/>
        <v>0</v>
      </c>
      <c r="U37" s="211">
        <f t="shared" si="17"/>
        <v>0</v>
      </c>
      <c r="V37" s="211">
        <f t="shared" si="17"/>
        <v>0</v>
      </c>
      <c r="W37" s="211">
        <f t="shared" si="17"/>
        <v>0</v>
      </c>
      <c r="X37" s="211">
        <f t="shared" si="17"/>
        <v>0</v>
      </c>
      <c r="Y37" s="211">
        <f t="shared" si="17"/>
        <v>0</v>
      </c>
      <c r="Z37" s="211">
        <f t="shared" si="18"/>
        <v>0</v>
      </c>
      <c r="AA37" s="211">
        <f t="shared" si="18"/>
        <v>0</v>
      </c>
      <c r="AB37" s="211">
        <f t="shared" si="18"/>
        <v>0</v>
      </c>
      <c r="AC37" s="211">
        <f t="shared" si="18"/>
        <v>0</v>
      </c>
      <c r="AD37" s="211">
        <f t="shared" si="18"/>
        <v>0</v>
      </c>
      <c r="AE37" s="211">
        <f t="shared" si="18"/>
        <v>0</v>
      </c>
      <c r="AF37" s="211">
        <f t="shared" si="18"/>
        <v>0</v>
      </c>
      <c r="AG37" s="211">
        <f t="shared" si="18"/>
        <v>0</v>
      </c>
      <c r="AH37" s="211">
        <f t="shared" si="18"/>
        <v>0</v>
      </c>
      <c r="AI37" s="211">
        <f t="shared" si="18"/>
        <v>0</v>
      </c>
      <c r="AJ37" s="211">
        <f t="shared" si="19"/>
        <v>0</v>
      </c>
      <c r="AK37" s="211">
        <f t="shared" si="19"/>
        <v>0</v>
      </c>
      <c r="AL37" s="211">
        <f t="shared" si="19"/>
        <v>0</v>
      </c>
      <c r="AM37" s="211">
        <f t="shared" si="19"/>
        <v>0</v>
      </c>
      <c r="AN37" s="211">
        <f t="shared" si="19"/>
        <v>0</v>
      </c>
      <c r="AO37" s="211">
        <f t="shared" si="19"/>
        <v>0</v>
      </c>
      <c r="AP37" s="211">
        <f t="shared" si="19"/>
        <v>0</v>
      </c>
      <c r="AQ37" s="211">
        <f t="shared" si="19"/>
        <v>0</v>
      </c>
      <c r="AR37" s="211">
        <f t="shared" si="19"/>
        <v>0</v>
      </c>
      <c r="AS37" s="211">
        <f t="shared" si="19"/>
        <v>0</v>
      </c>
      <c r="AT37" s="211">
        <f t="shared" si="20"/>
        <v>0</v>
      </c>
      <c r="AU37" s="211">
        <f t="shared" si="20"/>
        <v>0</v>
      </c>
      <c r="AV37" s="211">
        <f t="shared" si="20"/>
        <v>0</v>
      </c>
      <c r="AW37" s="211">
        <f t="shared" si="20"/>
        <v>0</v>
      </c>
      <c r="AX37" s="211">
        <f t="shared" si="20"/>
        <v>0</v>
      </c>
      <c r="AY37" s="211">
        <f t="shared" si="20"/>
        <v>0</v>
      </c>
      <c r="AZ37" s="211">
        <f t="shared" si="20"/>
        <v>0</v>
      </c>
      <c r="BA37" s="211">
        <f t="shared" si="20"/>
        <v>0</v>
      </c>
      <c r="BB37" s="211">
        <f t="shared" si="20"/>
        <v>0</v>
      </c>
      <c r="BC37" s="211">
        <f t="shared" si="20"/>
        <v>0</v>
      </c>
      <c r="BD37" s="211">
        <f t="shared" si="21"/>
        <v>0</v>
      </c>
      <c r="BE37" s="211">
        <f t="shared" si="21"/>
        <v>0</v>
      </c>
      <c r="BF37" s="211">
        <f t="shared" si="21"/>
        <v>0</v>
      </c>
      <c r="BG37" s="211">
        <f t="shared" si="21"/>
        <v>0</v>
      </c>
      <c r="BH37" s="211">
        <f t="shared" si="21"/>
        <v>0</v>
      </c>
      <c r="BI37" s="211">
        <f t="shared" si="21"/>
        <v>0</v>
      </c>
      <c r="BJ37" s="211">
        <f t="shared" si="21"/>
        <v>0</v>
      </c>
      <c r="BK37" s="211">
        <f t="shared" si="21"/>
        <v>0</v>
      </c>
      <c r="BL37" s="211">
        <f t="shared" si="21"/>
        <v>0</v>
      </c>
      <c r="BM37" s="211">
        <f t="shared" si="21"/>
        <v>0</v>
      </c>
      <c r="BN37" s="211">
        <f t="shared" si="22"/>
        <v>0</v>
      </c>
      <c r="BO37" s="211">
        <f t="shared" si="22"/>
        <v>0</v>
      </c>
      <c r="BP37" s="211">
        <f t="shared" si="22"/>
        <v>0</v>
      </c>
      <c r="BQ37" s="211">
        <f t="shared" si="22"/>
        <v>0</v>
      </c>
      <c r="BR37" s="211">
        <f t="shared" si="22"/>
        <v>0</v>
      </c>
      <c r="BS37" s="211">
        <f t="shared" si="22"/>
        <v>0</v>
      </c>
      <c r="BT37" s="211">
        <f t="shared" si="22"/>
        <v>0</v>
      </c>
      <c r="BU37" s="211">
        <f t="shared" si="22"/>
        <v>0</v>
      </c>
      <c r="BV37" s="211">
        <f t="shared" si="22"/>
        <v>0</v>
      </c>
      <c r="BW37" s="211">
        <f t="shared" si="22"/>
        <v>0</v>
      </c>
      <c r="BX37" s="211">
        <f t="shared" si="23"/>
        <v>0</v>
      </c>
      <c r="BY37" s="211">
        <f t="shared" si="23"/>
        <v>0</v>
      </c>
      <c r="BZ37" s="211">
        <f t="shared" si="23"/>
        <v>0</v>
      </c>
      <c r="CA37" s="211">
        <f t="shared" si="23"/>
        <v>0</v>
      </c>
      <c r="CB37" s="211">
        <f t="shared" si="23"/>
        <v>0</v>
      </c>
      <c r="CC37" s="211">
        <f t="shared" si="23"/>
        <v>0</v>
      </c>
      <c r="CD37" s="211">
        <f t="shared" si="23"/>
        <v>0</v>
      </c>
      <c r="CE37" s="211">
        <f t="shared" si="23"/>
        <v>0</v>
      </c>
      <c r="CF37" s="211">
        <f t="shared" si="23"/>
        <v>0</v>
      </c>
      <c r="CG37" s="211">
        <f t="shared" si="23"/>
        <v>0</v>
      </c>
      <c r="CH37" s="211">
        <f t="shared" si="24"/>
        <v>0</v>
      </c>
      <c r="CI37" s="211">
        <f t="shared" si="24"/>
        <v>0</v>
      </c>
      <c r="CJ37" s="211">
        <f t="shared" si="24"/>
        <v>0</v>
      </c>
      <c r="CK37" s="211">
        <f t="shared" si="24"/>
        <v>0</v>
      </c>
      <c r="CL37" s="211">
        <f t="shared" si="24"/>
        <v>0</v>
      </c>
      <c r="CM37" s="211">
        <f t="shared" si="24"/>
        <v>0</v>
      </c>
      <c r="CN37" s="211">
        <f t="shared" si="24"/>
        <v>0</v>
      </c>
      <c r="CO37" s="211">
        <f t="shared" si="24"/>
        <v>0</v>
      </c>
      <c r="CP37" s="211">
        <f t="shared" si="24"/>
        <v>0</v>
      </c>
      <c r="CQ37" s="211">
        <f t="shared" si="24"/>
        <v>0</v>
      </c>
      <c r="CR37" s="211">
        <f t="shared" si="25"/>
        <v>0</v>
      </c>
      <c r="CS37" s="211">
        <f t="shared" si="25"/>
        <v>0</v>
      </c>
      <c r="CT37" s="211">
        <f t="shared" si="25"/>
        <v>0</v>
      </c>
      <c r="CU37" s="211">
        <f t="shared" si="25"/>
        <v>0</v>
      </c>
      <c r="CV37" s="211">
        <f t="shared" si="25"/>
        <v>0</v>
      </c>
      <c r="CW37" s="211">
        <f t="shared" si="25"/>
        <v>0</v>
      </c>
      <c r="CX37" s="211">
        <f t="shared" si="25"/>
        <v>0</v>
      </c>
      <c r="CY37" s="211">
        <f t="shared" si="25"/>
        <v>0</v>
      </c>
      <c r="CZ37" s="211">
        <f t="shared" si="25"/>
        <v>0</v>
      </c>
      <c r="DA37" s="211">
        <f t="shared" si="25"/>
        <v>0</v>
      </c>
    </row>
    <row r="38" spans="1:105">
      <c r="A38" s="202" t="str">
        <f>Income!A88</f>
        <v>TOTAL</v>
      </c>
      <c r="B38" s="204">
        <f>Income!B88</f>
        <v>25120.269275404262</v>
      </c>
      <c r="C38" s="204">
        <f>Income!C88</f>
        <v>28391.218255281561</v>
      </c>
      <c r="D38" s="204">
        <f>Income!D88</f>
        <v>39240.654168836765</v>
      </c>
      <c r="E38" s="204">
        <f>Income!E88</f>
        <v>57051.684200048665</v>
      </c>
      <c r="F38" s="205">
        <f t="shared" ref="F38:AK38" si="26">SUM(F25:F37)</f>
        <v>25120.269275404262</v>
      </c>
      <c r="G38" s="205">
        <f t="shared" si="26"/>
        <v>25120.269275404262</v>
      </c>
      <c r="H38" s="205">
        <f t="shared" si="26"/>
        <v>25120.269275404262</v>
      </c>
      <c r="I38" s="205">
        <f t="shared" si="26"/>
        <v>25120.269275404262</v>
      </c>
      <c r="J38" s="205">
        <f t="shared" si="26"/>
        <v>25120.269275404262</v>
      </c>
      <c r="K38" s="205">
        <f t="shared" si="26"/>
        <v>25120.269275404262</v>
      </c>
      <c r="L38" s="205">
        <f t="shared" si="26"/>
        <v>25120.269275404262</v>
      </c>
      <c r="M38" s="205">
        <f t="shared" si="26"/>
        <v>25120.269275404262</v>
      </c>
      <c r="N38" s="205">
        <f t="shared" si="26"/>
        <v>25120.269275404262</v>
      </c>
      <c r="O38" s="205">
        <f t="shared" si="26"/>
        <v>25120.269275404262</v>
      </c>
      <c r="P38" s="205">
        <f t="shared" si="26"/>
        <v>25120.269275404262</v>
      </c>
      <c r="Q38" s="205">
        <f t="shared" si="26"/>
        <v>25120.269275404262</v>
      </c>
      <c r="R38" s="205">
        <f t="shared" si="26"/>
        <v>25120.269275404262</v>
      </c>
      <c r="S38" s="205">
        <f t="shared" si="26"/>
        <v>25120.269275404262</v>
      </c>
      <c r="T38" s="205">
        <f t="shared" si="26"/>
        <v>25120.269275404262</v>
      </c>
      <c r="U38" s="205">
        <f t="shared" si="26"/>
        <v>25120.269275404262</v>
      </c>
      <c r="V38" s="205">
        <f t="shared" si="26"/>
        <v>25120.269275404262</v>
      </c>
      <c r="W38" s="205">
        <f t="shared" si="26"/>
        <v>25120.269275404262</v>
      </c>
      <c r="X38" s="205">
        <f t="shared" si="26"/>
        <v>25120.269275404262</v>
      </c>
      <c r="Y38" s="205">
        <f t="shared" si="26"/>
        <v>25120.269275404262</v>
      </c>
      <c r="Z38" s="205">
        <f t="shared" si="26"/>
        <v>25120.269275404262</v>
      </c>
      <c r="AA38" s="205">
        <f t="shared" si="26"/>
        <v>25120.269275404262</v>
      </c>
      <c r="AB38" s="205">
        <f t="shared" si="26"/>
        <v>25120.269275404262</v>
      </c>
      <c r="AC38" s="205">
        <f t="shared" si="26"/>
        <v>25120.269275404262</v>
      </c>
      <c r="AD38" s="205">
        <f t="shared" si="26"/>
        <v>25120.269275404262</v>
      </c>
      <c r="AE38" s="205">
        <f t="shared" si="26"/>
        <v>25120.269275404262</v>
      </c>
      <c r="AF38" s="205">
        <f t="shared" si="26"/>
        <v>25202.042999901194</v>
      </c>
      <c r="AG38" s="205">
        <f t="shared" si="26"/>
        <v>25283.816724398126</v>
      </c>
      <c r="AH38" s="205">
        <f t="shared" si="26"/>
        <v>25365.590448895058</v>
      </c>
      <c r="AI38" s="205">
        <f t="shared" si="26"/>
        <v>25447.364173391994</v>
      </c>
      <c r="AJ38" s="205">
        <f t="shared" si="26"/>
        <v>25529.137897888926</v>
      </c>
      <c r="AK38" s="205">
        <f t="shared" si="26"/>
        <v>25610.911622385858</v>
      </c>
      <c r="AL38" s="205">
        <f t="shared" ref="AL38:BQ38" si="27">SUM(AL25:AL37)</f>
        <v>25692.68534688279</v>
      </c>
      <c r="AM38" s="205">
        <f t="shared" si="27"/>
        <v>25774.459071379722</v>
      </c>
      <c r="AN38" s="205">
        <f t="shared" si="27"/>
        <v>25856.232795876655</v>
      </c>
      <c r="AO38" s="205">
        <f t="shared" si="27"/>
        <v>25938.006520373587</v>
      </c>
      <c r="AP38" s="205">
        <f t="shared" si="27"/>
        <v>26019.780244870519</v>
      </c>
      <c r="AQ38" s="205">
        <f t="shared" si="27"/>
        <v>26101.553969367451</v>
      </c>
      <c r="AR38" s="205">
        <f t="shared" si="27"/>
        <v>26183.327693864383</v>
      </c>
      <c r="AS38" s="205">
        <f t="shared" si="27"/>
        <v>26265.101418361315</v>
      </c>
      <c r="AT38" s="205">
        <f t="shared" si="27"/>
        <v>26346.875142858247</v>
      </c>
      <c r="AU38" s="205">
        <f t="shared" si="27"/>
        <v>26428.648867355179</v>
      </c>
      <c r="AV38" s="205">
        <f t="shared" si="27"/>
        <v>26510.422591852115</v>
      </c>
      <c r="AW38" s="205">
        <f t="shared" si="27"/>
        <v>26592.196316349047</v>
      </c>
      <c r="AX38" s="205">
        <f t="shared" si="27"/>
        <v>26673.970040845979</v>
      </c>
      <c r="AY38" s="205">
        <f t="shared" si="27"/>
        <v>26755.743765342912</v>
      </c>
      <c r="AZ38" s="205">
        <f t="shared" si="27"/>
        <v>26837.517489839844</v>
      </c>
      <c r="BA38" s="205">
        <f t="shared" si="27"/>
        <v>26919.291214336776</v>
      </c>
      <c r="BB38" s="205">
        <f t="shared" si="27"/>
        <v>27001.064938833708</v>
      </c>
      <c r="BC38" s="205">
        <f t="shared" si="27"/>
        <v>27082.83866333064</v>
      </c>
      <c r="BD38" s="205">
        <f t="shared" si="27"/>
        <v>27164.612387827576</v>
      </c>
      <c r="BE38" s="205">
        <f t="shared" si="27"/>
        <v>27246.386112324508</v>
      </c>
      <c r="BF38" s="205">
        <f t="shared" si="27"/>
        <v>27328.15983682144</v>
      </c>
      <c r="BG38" s="205">
        <f t="shared" si="27"/>
        <v>27409.933561318372</v>
      </c>
      <c r="BH38" s="205">
        <f t="shared" si="27"/>
        <v>27491.707285815304</v>
      </c>
      <c r="BI38" s="205">
        <f t="shared" si="27"/>
        <v>27573.481010312236</v>
      </c>
      <c r="BJ38" s="205">
        <f t="shared" si="27"/>
        <v>27655.254734809168</v>
      </c>
      <c r="BK38" s="205">
        <f t="shared" si="27"/>
        <v>27737.028459306101</v>
      </c>
      <c r="BL38" s="205">
        <f t="shared" si="27"/>
        <v>27818.802183803033</v>
      </c>
      <c r="BM38" s="205">
        <f t="shared" si="27"/>
        <v>27900.575908299965</v>
      </c>
      <c r="BN38" s="205">
        <f t="shared" si="27"/>
        <v>27982.349632796901</v>
      </c>
      <c r="BO38" s="205">
        <f t="shared" si="27"/>
        <v>28064.123357293833</v>
      </c>
      <c r="BP38" s="205">
        <f t="shared" si="27"/>
        <v>28145.897081790765</v>
      </c>
      <c r="BQ38" s="205">
        <f t="shared" si="27"/>
        <v>28227.670806287697</v>
      </c>
      <c r="BR38" s="205">
        <f t="shared" ref="BR38:CW38" si="28">SUM(BR25:BR37)</f>
        <v>28309.444530784629</v>
      </c>
      <c r="BS38" s="205">
        <f t="shared" si="28"/>
        <v>28391.218255281561</v>
      </c>
      <c r="BT38" s="205">
        <f t="shared" si="28"/>
        <v>28773.528710984283</v>
      </c>
      <c r="BU38" s="205">
        <f t="shared" si="28"/>
        <v>29155.839166687005</v>
      </c>
      <c r="BV38" s="205">
        <f t="shared" si="28"/>
        <v>29538.149622389727</v>
      </c>
      <c r="BW38" s="205">
        <f t="shared" si="28"/>
        <v>29920.460078092448</v>
      </c>
      <c r="BX38" s="205">
        <f t="shared" si="28"/>
        <v>30302.77053379517</v>
      </c>
      <c r="BY38" s="205">
        <f t="shared" si="28"/>
        <v>30685.080989497896</v>
      </c>
      <c r="BZ38" s="205">
        <f t="shared" si="28"/>
        <v>31067.391445200617</v>
      </c>
      <c r="CA38" s="205">
        <f t="shared" si="28"/>
        <v>31449.701900903339</v>
      </c>
      <c r="CB38" s="205">
        <f t="shared" si="28"/>
        <v>31832.012356606061</v>
      </c>
      <c r="CC38" s="205">
        <f t="shared" si="28"/>
        <v>32214.322812308783</v>
      </c>
      <c r="CD38" s="205">
        <f t="shared" si="28"/>
        <v>32596.633268011508</v>
      </c>
      <c r="CE38" s="205">
        <f t="shared" si="28"/>
        <v>32978.943723714227</v>
      </c>
      <c r="CF38" s="205">
        <f t="shared" si="28"/>
        <v>33361.254179416952</v>
      </c>
      <c r="CG38" s="205">
        <f t="shared" si="28"/>
        <v>33743.56463511967</v>
      </c>
      <c r="CH38" s="205">
        <f t="shared" si="28"/>
        <v>34125.875090822396</v>
      </c>
      <c r="CI38" s="205">
        <f t="shared" si="28"/>
        <v>34508.185546525114</v>
      </c>
      <c r="CJ38" s="205">
        <f t="shared" si="28"/>
        <v>34890.496002227839</v>
      </c>
      <c r="CK38" s="205">
        <f t="shared" si="28"/>
        <v>35272.806457930565</v>
      </c>
      <c r="CL38" s="205">
        <f t="shared" si="28"/>
        <v>35655.116913633283</v>
      </c>
      <c r="CM38" s="205">
        <f t="shared" si="28"/>
        <v>36037.427369336001</v>
      </c>
      <c r="CN38" s="205">
        <f t="shared" si="28"/>
        <v>36419.737825038726</v>
      </c>
      <c r="CO38" s="205">
        <f t="shared" si="28"/>
        <v>36802.048280741452</v>
      </c>
      <c r="CP38" s="205">
        <f t="shared" si="28"/>
        <v>37969.302506485386</v>
      </c>
      <c r="CQ38" s="205">
        <f t="shared" si="28"/>
        <v>39921.50050227053</v>
      </c>
      <c r="CR38" s="205">
        <f t="shared" si="28"/>
        <v>41873.698498055674</v>
      </c>
      <c r="CS38" s="205">
        <f t="shared" si="28"/>
        <v>43825.896493840817</v>
      </c>
      <c r="CT38" s="205">
        <f t="shared" si="28"/>
        <v>45778.094489625975</v>
      </c>
      <c r="CU38" s="205">
        <f t="shared" si="28"/>
        <v>47730.292485411119</v>
      </c>
      <c r="CV38" s="205">
        <f t="shared" si="28"/>
        <v>49682.490481196262</v>
      </c>
      <c r="CW38" s="205">
        <f t="shared" si="28"/>
        <v>51634.688476981413</v>
      </c>
      <c r="CX38" s="205">
        <f>SUM(CX25:CX37)</f>
        <v>53586.886472766557</v>
      </c>
      <c r="CY38" s="205">
        <f>SUM(CY25:CY37)</f>
        <v>55539.084468551693</v>
      </c>
      <c r="CZ38" s="205">
        <f>SUM(CZ25:CZ37)</f>
        <v>56515.183466444272</v>
      </c>
      <c r="DA38" s="205">
        <f>SUM(DA25:DA37)</f>
        <v>56515.183466444272</v>
      </c>
    </row>
    <row r="39" spans="1:105">
      <c r="A39" s="202" t="str">
        <f>Income!A89</f>
        <v>Food Poverty line</v>
      </c>
      <c r="B39" s="204">
        <f>Income!B89</f>
        <v>17059.8252222761</v>
      </c>
      <c r="C39" s="204">
        <f>Income!C89</f>
        <v>17059.8252222761</v>
      </c>
      <c r="D39" s="204">
        <f>Income!D89</f>
        <v>17059.8252222761</v>
      </c>
      <c r="E39" s="204">
        <f>Income!E89</f>
        <v>17059.825222276104</v>
      </c>
      <c r="F39" s="205">
        <f t="shared" ref="F39:U39" si="29">IF(F$2&lt;=($B$2+$C$2+$D$2),IF(F$2&lt;=($B$2+$C$2),IF(F$2&lt;=$B$2,$B39,$C39),$D39),$E39)</f>
        <v>17059.8252222761</v>
      </c>
      <c r="G39" s="205">
        <f t="shared" si="29"/>
        <v>17059.8252222761</v>
      </c>
      <c r="H39" s="205">
        <f t="shared" si="29"/>
        <v>17059.8252222761</v>
      </c>
      <c r="I39" s="205">
        <f t="shared" si="29"/>
        <v>17059.8252222761</v>
      </c>
      <c r="J39" s="205">
        <f t="shared" si="29"/>
        <v>17059.8252222761</v>
      </c>
      <c r="K39" s="205">
        <f t="shared" si="29"/>
        <v>17059.8252222761</v>
      </c>
      <c r="L39" s="205">
        <f t="shared" si="29"/>
        <v>17059.8252222761</v>
      </c>
      <c r="M39" s="205">
        <f t="shared" si="29"/>
        <v>17059.8252222761</v>
      </c>
      <c r="N39" s="205">
        <f t="shared" si="29"/>
        <v>17059.8252222761</v>
      </c>
      <c r="O39" s="205">
        <f t="shared" si="29"/>
        <v>17059.8252222761</v>
      </c>
      <c r="P39" s="205">
        <f t="shared" si="29"/>
        <v>17059.8252222761</v>
      </c>
      <c r="Q39" s="205">
        <f t="shared" si="29"/>
        <v>17059.8252222761</v>
      </c>
      <c r="R39" s="205">
        <f t="shared" si="29"/>
        <v>17059.8252222761</v>
      </c>
      <c r="S39" s="205">
        <f t="shared" si="29"/>
        <v>17059.8252222761</v>
      </c>
      <c r="T39" s="205">
        <f t="shared" si="29"/>
        <v>17059.8252222761</v>
      </c>
      <c r="U39" s="205">
        <f t="shared" si="29"/>
        <v>17059.8252222761</v>
      </c>
      <c r="V39" s="205">
        <f t="shared" ref="V39:AK40" si="30">IF(V$2&lt;=($B$2+$C$2+$D$2),IF(V$2&lt;=($B$2+$C$2),IF(V$2&lt;=$B$2,$B39,$C39),$D39),$E39)</f>
        <v>17059.8252222761</v>
      </c>
      <c r="W39" s="205">
        <f t="shared" si="30"/>
        <v>17059.8252222761</v>
      </c>
      <c r="X39" s="205">
        <f t="shared" si="30"/>
        <v>17059.8252222761</v>
      </c>
      <c r="Y39" s="205">
        <f t="shared" si="30"/>
        <v>17059.8252222761</v>
      </c>
      <c r="Z39" s="205">
        <f t="shared" si="30"/>
        <v>17059.8252222761</v>
      </c>
      <c r="AA39" s="205">
        <f t="shared" si="30"/>
        <v>17059.8252222761</v>
      </c>
      <c r="AB39" s="205">
        <f t="shared" si="30"/>
        <v>17059.8252222761</v>
      </c>
      <c r="AC39" s="205">
        <f t="shared" si="30"/>
        <v>17059.8252222761</v>
      </c>
      <c r="AD39" s="205">
        <f t="shared" si="30"/>
        <v>17059.8252222761</v>
      </c>
      <c r="AE39" s="205">
        <f t="shared" si="30"/>
        <v>17059.8252222761</v>
      </c>
      <c r="AF39" s="205">
        <f t="shared" si="30"/>
        <v>17059.8252222761</v>
      </c>
      <c r="AG39" s="205">
        <f t="shared" si="30"/>
        <v>17059.8252222761</v>
      </c>
      <c r="AH39" s="205">
        <f t="shared" si="30"/>
        <v>17059.8252222761</v>
      </c>
      <c r="AI39" s="205">
        <f t="shared" si="30"/>
        <v>17059.8252222761</v>
      </c>
      <c r="AJ39" s="205">
        <f t="shared" si="30"/>
        <v>17059.8252222761</v>
      </c>
      <c r="AK39" s="205">
        <f t="shared" si="30"/>
        <v>17059.8252222761</v>
      </c>
      <c r="AL39" s="205">
        <f t="shared" ref="AL39:BA40" si="31">IF(AL$2&lt;=($B$2+$C$2+$D$2),IF(AL$2&lt;=($B$2+$C$2),IF(AL$2&lt;=$B$2,$B39,$C39),$D39),$E39)</f>
        <v>17059.8252222761</v>
      </c>
      <c r="AM39" s="205">
        <f t="shared" si="31"/>
        <v>17059.8252222761</v>
      </c>
      <c r="AN39" s="205">
        <f t="shared" si="31"/>
        <v>17059.8252222761</v>
      </c>
      <c r="AO39" s="205">
        <f t="shared" si="31"/>
        <v>17059.8252222761</v>
      </c>
      <c r="AP39" s="205">
        <f t="shared" si="31"/>
        <v>17059.8252222761</v>
      </c>
      <c r="AQ39" s="205">
        <f t="shared" si="31"/>
        <v>17059.8252222761</v>
      </c>
      <c r="AR39" s="205">
        <f t="shared" si="31"/>
        <v>17059.8252222761</v>
      </c>
      <c r="AS39" s="205">
        <f t="shared" si="31"/>
        <v>17059.8252222761</v>
      </c>
      <c r="AT39" s="205">
        <f t="shared" si="31"/>
        <v>17059.8252222761</v>
      </c>
      <c r="AU39" s="205">
        <f t="shared" si="31"/>
        <v>17059.8252222761</v>
      </c>
      <c r="AV39" s="205">
        <f t="shared" si="31"/>
        <v>17059.8252222761</v>
      </c>
      <c r="AW39" s="205">
        <f t="shared" si="31"/>
        <v>17059.8252222761</v>
      </c>
      <c r="AX39" s="205">
        <f t="shared" si="31"/>
        <v>17059.8252222761</v>
      </c>
      <c r="AY39" s="205">
        <f t="shared" si="31"/>
        <v>17059.8252222761</v>
      </c>
      <c r="AZ39" s="205">
        <f t="shared" si="31"/>
        <v>17059.8252222761</v>
      </c>
      <c r="BA39" s="205">
        <f t="shared" si="31"/>
        <v>17059.8252222761</v>
      </c>
      <c r="BB39" s="205">
        <f t="shared" ref="BB39:CD40" si="32">IF(BB$2&lt;=($B$2+$C$2+$D$2),IF(BB$2&lt;=($B$2+$C$2),IF(BB$2&lt;=$B$2,$B39,$C39),$D39),$E39)</f>
        <v>17059.8252222761</v>
      </c>
      <c r="BC39" s="205">
        <f t="shared" si="32"/>
        <v>17059.8252222761</v>
      </c>
      <c r="BD39" s="205">
        <f t="shared" si="32"/>
        <v>17059.8252222761</v>
      </c>
      <c r="BE39" s="205">
        <f t="shared" si="32"/>
        <v>17059.8252222761</v>
      </c>
      <c r="BF39" s="205">
        <f t="shared" si="32"/>
        <v>17059.8252222761</v>
      </c>
      <c r="BG39" s="205">
        <f t="shared" si="32"/>
        <v>17059.8252222761</v>
      </c>
      <c r="BH39" s="205">
        <f t="shared" si="32"/>
        <v>17059.8252222761</v>
      </c>
      <c r="BI39" s="205">
        <f t="shared" si="32"/>
        <v>17059.8252222761</v>
      </c>
      <c r="BJ39" s="205">
        <f t="shared" si="32"/>
        <v>17059.8252222761</v>
      </c>
      <c r="BK39" s="205">
        <f t="shared" si="32"/>
        <v>17059.8252222761</v>
      </c>
      <c r="BL39" s="205">
        <f t="shared" si="32"/>
        <v>17059.8252222761</v>
      </c>
      <c r="BM39" s="205">
        <f t="shared" si="32"/>
        <v>17059.8252222761</v>
      </c>
      <c r="BN39" s="205">
        <f t="shared" si="32"/>
        <v>17059.8252222761</v>
      </c>
      <c r="BO39" s="205">
        <f t="shared" si="32"/>
        <v>17059.8252222761</v>
      </c>
      <c r="BP39" s="205">
        <f t="shared" si="32"/>
        <v>17059.8252222761</v>
      </c>
      <c r="BQ39" s="205">
        <f t="shared" si="32"/>
        <v>17059.8252222761</v>
      </c>
      <c r="BR39" s="205">
        <f t="shared" si="32"/>
        <v>17059.8252222761</v>
      </c>
      <c r="BS39" s="205">
        <f t="shared" si="32"/>
        <v>17059.8252222761</v>
      </c>
      <c r="BT39" s="205">
        <f t="shared" si="32"/>
        <v>17059.8252222761</v>
      </c>
      <c r="BU39" s="205">
        <f t="shared" si="32"/>
        <v>17059.8252222761</v>
      </c>
      <c r="BV39" s="205">
        <f t="shared" si="32"/>
        <v>17059.8252222761</v>
      </c>
      <c r="BW39" s="205">
        <f t="shared" si="32"/>
        <v>17059.8252222761</v>
      </c>
      <c r="BX39" s="205">
        <f t="shared" si="32"/>
        <v>17059.8252222761</v>
      </c>
      <c r="BY39" s="205">
        <f t="shared" si="32"/>
        <v>17059.8252222761</v>
      </c>
      <c r="BZ39" s="205">
        <f t="shared" si="32"/>
        <v>17059.8252222761</v>
      </c>
      <c r="CA39" s="205">
        <f t="shared" si="32"/>
        <v>17059.8252222761</v>
      </c>
      <c r="CB39" s="205">
        <f t="shared" si="32"/>
        <v>17059.8252222761</v>
      </c>
      <c r="CC39" s="205">
        <f t="shared" si="32"/>
        <v>17059.8252222761</v>
      </c>
      <c r="CD39" s="205">
        <f t="shared" si="32"/>
        <v>17059.8252222761</v>
      </c>
      <c r="CE39" s="205">
        <f t="shared" ref="CE39:CR40" si="33">IF(CE$2&lt;=($B$2+$C$2+$D$2),IF(CE$2&lt;=($B$2+$C$2),IF(CE$2&lt;=$B$2,$B39,$C39),$D39),$E39)</f>
        <v>17059.8252222761</v>
      </c>
      <c r="CF39" s="205">
        <f t="shared" si="33"/>
        <v>17059.8252222761</v>
      </c>
      <c r="CG39" s="205">
        <f t="shared" si="33"/>
        <v>17059.8252222761</v>
      </c>
      <c r="CH39" s="205">
        <f t="shared" si="33"/>
        <v>17059.8252222761</v>
      </c>
      <c r="CI39" s="205">
        <f t="shared" si="33"/>
        <v>17059.8252222761</v>
      </c>
      <c r="CJ39" s="205">
        <f t="shared" si="33"/>
        <v>17059.8252222761</v>
      </c>
      <c r="CK39" s="205">
        <f t="shared" si="33"/>
        <v>17059.8252222761</v>
      </c>
      <c r="CL39" s="205">
        <f t="shared" si="33"/>
        <v>17059.8252222761</v>
      </c>
      <c r="CM39" s="205">
        <f t="shared" si="33"/>
        <v>17059.8252222761</v>
      </c>
      <c r="CN39" s="205">
        <f t="shared" si="33"/>
        <v>17059.8252222761</v>
      </c>
      <c r="CO39" s="205">
        <f t="shared" si="33"/>
        <v>17059.8252222761</v>
      </c>
      <c r="CP39" s="205">
        <f t="shared" si="33"/>
        <v>17059.8252222761</v>
      </c>
      <c r="CQ39" s="205">
        <f t="shared" si="33"/>
        <v>17059.8252222761</v>
      </c>
      <c r="CR39" s="205">
        <f t="shared" si="33"/>
        <v>17059.8252222761</v>
      </c>
      <c r="CS39" s="205">
        <f t="shared" ref="CS39:DA40" si="34">IF(CS$2&lt;=($B$2+$C$2+$D$2),IF(CS$2&lt;=($B$2+$C$2),IF(CS$2&lt;=$B$2,$B39,$C39),$D39),$E39)</f>
        <v>17059.8252222761</v>
      </c>
      <c r="CT39" s="205">
        <f t="shared" si="34"/>
        <v>17059.8252222761</v>
      </c>
      <c r="CU39" s="205">
        <f t="shared" si="34"/>
        <v>17059.8252222761</v>
      </c>
      <c r="CV39" s="205">
        <f t="shared" si="34"/>
        <v>17059.8252222761</v>
      </c>
      <c r="CW39" s="205">
        <f t="shared" si="34"/>
        <v>17059.825222276104</v>
      </c>
      <c r="CX39" s="205">
        <f t="shared" si="34"/>
        <v>17059.825222276104</v>
      </c>
      <c r="CY39" s="205">
        <f t="shared" si="34"/>
        <v>17059.825222276104</v>
      </c>
      <c r="CZ39" s="205">
        <f t="shared" si="34"/>
        <v>17059.825222276104</v>
      </c>
      <c r="DA39" s="205">
        <f t="shared" si="34"/>
        <v>17059.825222276104</v>
      </c>
    </row>
    <row r="40" spans="1:105">
      <c r="A40" s="202" t="str">
        <f>Income!A90</f>
        <v>Lower Bound Poverty line</v>
      </c>
      <c r="B40" s="204">
        <f>Income!B90</f>
        <v>31038.491888942768</v>
      </c>
      <c r="C40" s="204">
        <f>Income!C90</f>
        <v>31038.491888942768</v>
      </c>
      <c r="D40" s="204">
        <f>Income!D90</f>
        <v>31038.491888942768</v>
      </c>
      <c r="E40" s="204">
        <f>Income!E90</f>
        <v>31038.491888942764</v>
      </c>
      <c r="F40" s="205">
        <f t="shared" ref="F40:U40" si="35">IF(F$2&lt;=($B$2+$C$2+$D$2),IF(F$2&lt;=($B$2+$C$2),IF(F$2&lt;=$B$2,$B40,$C40),$D40),$E40)</f>
        <v>31038.491888942768</v>
      </c>
      <c r="G40" s="205">
        <f t="shared" si="35"/>
        <v>31038.491888942768</v>
      </c>
      <c r="H40" s="205">
        <f t="shared" si="35"/>
        <v>31038.491888942768</v>
      </c>
      <c r="I40" s="205">
        <f t="shared" si="35"/>
        <v>31038.491888942768</v>
      </c>
      <c r="J40" s="205">
        <f t="shared" si="35"/>
        <v>31038.491888942768</v>
      </c>
      <c r="K40" s="205">
        <f t="shared" si="35"/>
        <v>31038.491888942768</v>
      </c>
      <c r="L40" s="205">
        <f t="shared" si="35"/>
        <v>31038.491888942768</v>
      </c>
      <c r="M40" s="205">
        <f t="shared" si="35"/>
        <v>31038.491888942768</v>
      </c>
      <c r="N40" s="205">
        <f t="shared" si="35"/>
        <v>31038.491888942768</v>
      </c>
      <c r="O40" s="205">
        <f t="shared" si="35"/>
        <v>31038.491888942768</v>
      </c>
      <c r="P40" s="205">
        <f t="shared" si="35"/>
        <v>31038.491888942768</v>
      </c>
      <c r="Q40" s="205">
        <f t="shared" si="35"/>
        <v>31038.491888942768</v>
      </c>
      <c r="R40" s="205">
        <f t="shared" si="35"/>
        <v>31038.491888942768</v>
      </c>
      <c r="S40" s="205">
        <f t="shared" si="35"/>
        <v>31038.491888942768</v>
      </c>
      <c r="T40" s="205">
        <f t="shared" si="35"/>
        <v>31038.491888942768</v>
      </c>
      <c r="U40" s="205">
        <f t="shared" si="35"/>
        <v>31038.491888942768</v>
      </c>
      <c r="V40" s="205">
        <f t="shared" si="30"/>
        <v>31038.491888942768</v>
      </c>
      <c r="W40" s="205">
        <f t="shared" si="30"/>
        <v>31038.491888942768</v>
      </c>
      <c r="X40" s="205">
        <f t="shared" si="30"/>
        <v>31038.491888942768</v>
      </c>
      <c r="Y40" s="205">
        <f t="shared" si="30"/>
        <v>31038.491888942768</v>
      </c>
      <c r="Z40" s="205">
        <f t="shared" si="30"/>
        <v>31038.491888942768</v>
      </c>
      <c r="AA40" s="205">
        <f t="shared" si="30"/>
        <v>31038.491888942768</v>
      </c>
      <c r="AB40" s="205">
        <f t="shared" si="30"/>
        <v>31038.491888942768</v>
      </c>
      <c r="AC40" s="205">
        <f t="shared" si="30"/>
        <v>31038.491888942768</v>
      </c>
      <c r="AD40" s="205">
        <f t="shared" si="30"/>
        <v>31038.491888942768</v>
      </c>
      <c r="AE40" s="205">
        <f t="shared" si="30"/>
        <v>31038.491888942768</v>
      </c>
      <c r="AF40" s="205">
        <f t="shared" si="30"/>
        <v>31038.491888942768</v>
      </c>
      <c r="AG40" s="205">
        <f t="shared" si="30"/>
        <v>31038.491888942768</v>
      </c>
      <c r="AH40" s="205">
        <f t="shared" si="30"/>
        <v>31038.491888942768</v>
      </c>
      <c r="AI40" s="205">
        <f t="shared" si="30"/>
        <v>31038.491888942768</v>
      </c>
      <c r="AJ40" s="205">
        <f t="shared" si="30"/>
        <v>31038.491888942768</v>
      </c>
      <c r="AK40" s="205">
        <f t="shared" si="30"/>
        <v>31038.491888942768</v>
      </c>
      <c r="AL40" s="205">
        <f t="shared" si="31"/>
        <v>31038.491888942768</v>
      </c>
      <c r="AM40" s="205">
        <f t="shared" si="31"/>
        <v>31038.491888942768</v>
      </c>
      <c r="AN40" s="205">
        <f t="shared" si="31"/>
        <v>31038.491888942768</v>
      </c>
      <c r="AO40" s="205">
        <f t="shared" si="31"/>
        <v>31038.491888942768</v>
      </c>
      <c r="AP40" s="205">
        <f t="shared" si="31"/>
        <v>31038.491888942768</v>
      </c>
      <c r="AQ40" s="205">
        <f t="shared" si="31"/>
        <v>31038.491888942768</v>
      </c>
      <c r="AR40" s="205">
        <f t="shared" si="31"/>
        <v>31038.491888942768</v>
      </c>
      <c r="AS40" s="205">
        <f t="shared" si="31"/>
        <v>31038.491888942768</v>
      </c>
      <c r="AT40" s="205">
        <f t="shared" si="31"/>
        <v>31038.491888942768</v>
      </c>
      <c r="AU40" s="205">
        <f t="shared" si="31"/>
        <v>31038.491888942768</v>
      </c>
      <c r="AV40" s="205">
        <f t="shared" si="31"/>
        <v>31038.491888942768</v>
      </c>
      <c r="AW40" s="205">
        <f t="shared" si="31"/>
        <v>31038.491888942768</v>
      </c>
      <c r="AX40" s="205">
        <f t="shared" si="31"/>
        <v>31038.491888942768</v>
      </c>
      <c r="AY40" s="205">
        <f t="shared" si="31"/>
        <v>31038.491888942768</v>
      </c>
      <c r="AZ40" s="205">
        <f t="shared" si="31"/>
        <v>31038.491888942768</v>
      </c>
      <c r="BA40" s="205">
        <f t="shared" si="31"/>
        <v>31038.491888942768</v>
      </c>
      <c r="BB40" s="205">
        <f t="shared" si="32"/>
        <v>31038.491888942768</v>
      </c>
      <c r="BC40" s="205">
        <f t="shared" si="32"/>
        <v>31038.491888942768</v>
      </c>
      <c r="BD40" s="205">
        <f t="shared" si="32"/>
        <v>31038.491888942768</v>
      </c>
      <c r="BE40" s="205">
        <f t="shared" si="32"/>
        <v>31038.491888942768</v>
      </c>
      <c r="BF40" s="205">
        <f t="shared" si="32"/>
        <v>31038.491888942768</v>
      </c>
      <c r="BG40" s="205">
        <f t="shared" si="32"/>
        <v>31038.491888942768</v>
      </c>
      <c r="BH40" s="205">
        <f t="shared" si="32"/>
        <v>31038.491888942768</v>
      </c>
      <c r="BI40" s="205">
        <f t="shared" si="32"/>
        <v>31038.491888942768</v>
      </c>
      <c r="BJ40" s="205">
        <f t="shared" si="32"/>
        <v>31038.491888942768</v>
      </c>
      <c r="BK40" s="205">
        <f t="shared" si="32"/>
        <v>31038.491888942768</v>
      </c>
      <c r="BL40" s="205">
        <f t="shared" si="32"/>
        <v>31038.491888942768</v>
      </c>
      <c r="BM40" s="205">
        <f t="shared" si="32"/>
        <v>31038.491888942768</v>
      </c>
      <c r="BN40" s="205">
        <f t="shared" si="32"/>
        <v>31038.491888942768</v>
      </c>
      <c r="BO40" s="205">
        <f t="shared" si="32"/>
        <v>31038.491888942768</v>
      </c>
      <c r="BP40" s="205">
        <f t="shared" si="32"/>
        <v>31038.491888942768</v>
      </c>
      <c r="BQ40" s="205">
        <f t="shared" si="32"/>
        <v>31038.491888942768</v>
      </c>
      <c r="BR40" s="205">
        <f t="shared" si="32"/>
        <v>31038.491888942768</v>
      </c>
      <c r="BS40" s="205">
        <f t="shared" si="32"/>
        <v>31038.491888942768</v>
      </c>
      <c r="BT40" s="205">
        <f t="shared" si="32"/>
        <v>31038.491888942768</v>
      </c>
      <c r="BU40" s="205">
        <f t="shared" si="32"/>
        <v>31038.491888942768</v>
      </c>
      <c r="BV40" s="205">
        <f t="shared" si="32"/>
        <v>31038.491888942768</v>
      </c>
      <c r="BW40" s="205">
        <f t="shared" si="32"/>
        <v>31038.491888942768</v>
      </c>
      <c r="BX40" s="205">
        <f t="shared" si="32"/>
        <v>31038.491888942768</v>
      </c>
      <c r="BY40" s="205">
        <f t="shared" si="32"/>
        <v>31038.491888942768</v>
      </c>
      <c r="BZ40" s="205">
        <f t="shared" si="32"/>
        <v>31038.491888942768</v>
      </c>
      <c r="CA40" s="205">
        <f t="shared" si="32"/>
        <v>31038.491888942768</v>
      </c>
      <c r="CB40" s="205">
        <f t="shared" si="32"/>
        <v>31038.491888942768</v>
      </c>
      <c r="CC40" s="205">
        <f t="shared" si="32"/>
        <v>31038.491888942768</v>
      </c>
      <c r="CD40" s="205">
        <f t="shared" si="32"/>
        <v>31038.491888942768</v>
      </c>
      <c r="CE40" s="205">
        <f t="shared" si="33"/>
        <v>31038.491888942768</v>
      </c>
      <c r="CF40" s="205">
        <f t="shared" si="33"/>
        <v>31038.491888942768</v>
      </c>
      <c r="CG40" s="205">
        <f t="shared" si="33"/>
        <v>31038.491888942768</v>
      </c>
      <c r="CH40" s="205">
        <f t="shared" si="33"/>
        <v>31038.491888942768</v>
      </c>
      <c r="CI40" s="205">
        <f t="shared" si="33"/>
        <v>31038.491888942768</v>
      </c>
      <c r="CJ40" s="205">
        <f t="shared" si="33"/>
        <v>31038.491888942768</v>
      </c>
      <c r="CK40" s="205">
        <f t="shared" si="33"/>
        <v>31038.491888942768</v>
      </c>
      <c r="CL40" s="205">
        <f t="shared" si="33"/>
        <v>31038.491888942768</v>
      </c>
      <c r="CM40" s="205">
        <f t="shared" si="33"/>
        <v>31038.491888942768</v>
      </c>
      <c r="CN40" s="205">
        <f t="shared" si="33"/>
        <v>31038.491888942768</v>
      </c>
      <c r="CO40" s="205">
        <f t="shared" si="33"/>
        <v>31038.491888942768</v>
      </c>
      <c r="CP40" s="205">
        <f t="shared" si="33"/>
        <v>31038.491888942768</v>
      </c>
      <c r="CQ40" s="205">
        <f t="shared" si="33"/>
        <v>31038.491888942768</v>
      </c>
      <c r="CR40" s="205">
        <f t="shared" si="33"/>
        <v>31038.491888942768</v>
      </c>
      <c r="CS40" s="205">
        <f t="shared" si="34"/>
        <v>31038.491888942768</v>
      </c>
      <c r="CT40" s="205">
        <f t="shared" si="34"/>
        <v>31038.491888942768</v>
      </c>
      <c r="CU40" s="205">
        <f t="shared" si="34"/>
        <v>31038.491888942768</v>
      </c>
      <c r="CV40" s="205">
        <f t="shared" si="34"/>
        <v>31038.491888942768</v>
      </c>
      <c r="CW40" s="205">
        <f t="shared" si="34"/>
        <v>31038.491888942764</v>
      </c>
      <c r="CX40" s="205">
        <f t="shared" si="34"/>
        <v>31038.491888942764</v>
      </c>
      <c r="CY40" s="205">
        <f t="shared" si="34"/>
        <v>31038.491888942764</v>
      </c>
      <c r="CZ40" s="205">
        <f t="shared" si="34"/>
        <v>31038.491888942764</v>
      </c>
      <c r="DA40" s="205">
        <f t="shared" si="34"/>
        <v>31038.491888942764</v>
      </c>
    </row>
    <row r="42" spans="1:105">
      <c r="A42" s="202" t="str">
        <f>Income!A72</f>
        <v>Own crops Consumed</v>
      </c>
      <c r="F42" s="211">
        <f t="shared" ref="F42:AK42" si="36">IF(F$22&lt;=$E$24,IF(F$22&lt;=$D$24,IF(F$22&lt;=$C$24,IF(F$22&lt;=$B$24,$B108,($C25-$B25)/($C$24-$B$24)),($D25-$C25)/($D$24-$C$24)),($E25-$D25)/($E$24-$D$24)),$F108)</f>
        <v>0</v>
      </c>
      <c r="G42" s="211">
        <f t="shared" si="36"/>
        <v>0</v>
      </c>
      <c r="H42" s="211">
        <f t="shared" si="36"/>
        <v>0</v>
      </c>
      <c r="I42" s="211">
        <f t="shared" si="36"/>
        <v>0</v>
      </c>
      <c r="J42" s="211">
        <f t="shared" si="36"/>
        <v>0</v>
      </c>
      <c r="K42" s="211">
        <f t="shared" si="36"/>
        <v>0</v>
      </c>
      <c r="L42" s="211">
        <f t="shared" si="36"/>
        <v>0</v>
      </c>
      <c r="M42" s="211">
        <f t="shared" si="36"/>
        <v>0</v>
      </c>
      <c r="N42" s="211">
        <f t="shared" si="36"/>
        <v>0</v>
      </c>
      <c r="O42" s="211">
        <f t="shared" si="36"/>
        <v>0</v>
      </c>
      <c r="P42" s="211">
        <f t="shared" si="36"/>
        <v>0</v>
      </c>
      <c r="Q42" s="211">
        <f t="shared" si="36"/>
        <v>0</v>
      </c>
      <c r="R42" s="211">
        <f t="shared" si="36"/>
        <v>0</v>
      </c>
      <c r="S42" s="211">
        <f t="shared" si="36"/>
        <v>0</v>
      </c>
      <c r="T42" s="211">
        <f t="shared" si="36"/>
        <v>0</v>
      </c>
      <c r="U42" s="211">
        <f t="shared" si="36"/>
        <v>0</v>
      </c>
      <c r="V42" s="211">
        <f t="shared" si="36"/>
        <v>0</v>
      </c>
      <c r="W42" s="211">
        <f t="shared" si="36"/>
        <v>0</v>
      </c>
      <c r="X42" s="211">
        <f t="shared" si="36"/>
        <v>0</v>
      </c>
      <c r="Y42" s="211">
        <f t="shared" si="36"/>
        <v>0</v>
      </c>
      <c r="Z42" s="211">
        <f t="shared" si="36"/>
        <v>0</v>
      </c>
      <c r="AA42" s="211">
        <f t="shared" si="36"/>
        <v>0</v>
      </c>
      <c r="AB42" s="211">
        <f t="shared" si="36"/>
        <v>0</v>
      </c>
      <c r="AC42" s="211">
        <f t="shared" si="36"/>
        <v>0</v>
      </c>
      <c r="AD42" s="211">
        <f t="shared" si="36"/>
        <v>0</v>
      </c>
      <c r="AE42" s="211">
        <f t="shared" si="36"/>
        <v>0</v>
      </c>
      <c r="AF42" s="211">
        <f t="shared" si="36"/>
        <v>5.7479867270300247</v>
      </c>
      <c r="AG42" s="211">
        <f t="shared" si="36"/>
        <v>5.7479867270300247</v>
      </c>
      <c r="AH42" s="211">
        <f t="shared" si="36"/>
        <v>5.7479867270300247</v>
      </c>
      <c r="AI42" s="211">
        <f t="shared" si="36"/>
        <v>5.7479867270300247</v>
      </c>
      <c r="AJ42" s="211">
        <f t="shared" si="36"/>
        <v>5.7479867270300247</v>
      </c>
      <c r="AK42" s="211">
        <f t="shared" si="36"/>
        <v>5.7479867270300247</v>
      </c>
      <c r="AL42" s="211">
        <f t="shared" ref="AL42:BQ42" si="37">IF(AL$22&lt;=$E$24,IF(AL$22&lt;=$D$24,IF(AL$22&lt;=$C$24,IF(AL$22&lt;=$B$24,$B108,($C25-$B25)/($C$24-$B$24)),($D25-$C25)/($D$24-$C$24)),($E25-$D25)/($E$24-$D$24)),$F108)</f>
        <v>5.7479867270300247</v>
      </c>
      <c r="AM42" s="211">
        <f t="shared" si="37"/>
        <v>5.7479867270300247</v>
      </c>
      <c r="AN42" s="211">
        <f t="shared" si="37"/>
        <v>5.7479867270300247</v>
      </c>
      <c r="AO42" s="211">
        <f t="shared" si="37"/>
        <v>5.7479867270300247</v>
      </c>
      <c r="AP42" s="211">
        <f t="shared" si="37"/>
        <v>5.7479867270300247</v>
      </c>
      <c r="AQ42" s="211">
        <f t="shared" si="37"/>
        <v>5.7479867270300247</v>
      </c>
      <c r="AR42" s="211">
        <f t="shared" si="37"/>
        <v>5.7479867270300247</v>
      </c>
      <c r="AS42" s="211">
        <f t="shared" si="37"/>
        <v>5.7479867270300247</v>
      </c>
      <c r="AT42" s="211">
        <f t="shared" si="37"/>
        <v>5.7479867270300247</v>
      </c>
      <c r="AU42" s="211">
        <f t="shared" si="37"/>
        <v>5.7479867270300247</v>
      </c>
      <c r="AV42" s="211">
        <f t="shared" si="37"/>
        <v>5.7479867270300247</v>
      </c>
      <c r="AW42" s="211">
        <f t="shared" si="37"/>
        <v>5.7479867270300247</v>
      </c>
      <c r="AX42" s="211">
        <f t="shared" si="37"/>
        <v>5.7479867270300247</v>
      </c>
      <c r="AY42" s="211">
        <f t="shared" si="37"/>
        <v>5.7479867270300247</v>
      </c>
      <c r="AZ42" s="211">
        <f t="shared" si="37"/>
        <v>5.7479867270300247</v>
      </c>
      <c r="BA42" s="211">
        <f t="shared" si="37"/>
        <v>5.7479867270300247</v>
      </c>
      <c r="BB42" s="211">
        <f t="shared" si="37"/>
        <v>5.7479867270300247</v>
      </c>
      <c r="BC42" s="211">
        <f t="shared" si="37"/>
        <v>5.7479867270300247</v>
      </c>
      <c r="BD42" s="211">
        <f t="shared" si="37"/>
        <v>5.7479867270300247</v>
      </c>
      <c r="BE42" s="211">
        <f t="shared" si="37"/>
        <v>5.7479867270300247</v>
      </c>
      <c r="BF42" s="211">
        <f t="shared" si="37"/>
        <v>5.7479867270300247</v>
      </c>
      <c r="BG42" s="211">
        <f t="shared" si="37"/>
        <v>5.7479867270300247</v>
      </c>
      <c r="BH42" s="211">
        <f t="shared" si="37"/>
        <v>5.7479867270300247</v>
      </c>
      <c r="BI42" s="211">
        <f t="shared" si="37"/>
        <v>5.7479867270300247</v>
      </c>
      <c r="BJ42" s="211">
        <f t="shared" si="37"/>
        <v>5.7479867270300247</v>
      </c>
      <c r="BK42" s="211">
        <f t="shared" si="37"/>
        <v>5.7479867270300247</v>
      </c>
      <c r="BL42" s="211">
        <f t="shared" si="37"/>
        <v>5.7479867270300247</v>
      </c>
      <c r="BM42" s="211">
        <f t="shared" si="37"/>
        <v>5.7479867270300247</v>
      </c>
      <c r="BN42" s="211">
        <f t="shared" si="37"/>
        <v>5.7479867270300247</v>
      </c>
      <c r="BO42" s="211">
        <f t="shared" si="37"/>
        <v>5.7479867270300247</v>
      </c>
      <c r="BP42" s="211">
        <f t="shared" si="37"/>
        <v>5.7479867270300247</v>
      </c>
      <c r="BQ42" s="211">
        <f t="shared" si="37"/>
        <v>5.7479867270300247</v>
      </c>
      <c r="BR42" s="211">
        <f t="shared" ref="BR42:DA42" si="38">IF(BR$22&lt;=$E$24,IF(BR$22&lt;=$D$24,IF(BR$22&lt;=$C$24,IF(BR$22&lt;=$B$24,$B108,($C25-$B25)/($C$24-$B$24)),($D25-$C25)/($D$24-$C$24)),($E25-$D25)/($E$24-$D$24)),$F108)</f>
        <v>5.7479867270300247</v>
      </c>
      <c r="BS42" s="211">
        <f t="shared" si="38"/>
        <v>5.7479867270300247</v>
      </c>
      <c r="BT42" s="211">
        <f t="shared" si="38"/>
        <v>41.295117942954171</v>
      </c>
      <c r="BU42" s="211">
        <f t="shared" si="38"/>
        <v>41.295117942954171</v>
      </c>
      <c r="BV42" s="211">
        <f t="shared" si="38"/>
        <v>41.295117942954171</v>
      </c>
      <c r="BW42" s="211">
        <f t="shared" si="38"/>
        <v>41.295117942954171</v>
      </c>
      <c r="BX42" s="211">
        <f t="shared" si="38"/>
        <v>41.295117942954171</v>
      </c>
      <c r="BY42" s="211">
        <f t="shared" si="38"/>
        <v>41.295117942954171</v>
      </c>
      <c r="BZ42" s="211">
        <f t="shared" si="38"/>
        <v>41.295117942954171</v>
      </c>
      <c r="CA42" s="211">
        <f t="shared" si="38"/>
        <v>41.295117942954171</v>
      </c>
      <c r="CB42" s="211">
        <f t="shared" si="38"/>
        <v>41.295117942954171</v>
      </c>
      <c r="CC42" s="211">
        <f t="shared" si="38"/>
        <v>41.295117942954171</v>
      </c>
      <c r="CD42" s="211">
        <f t="shared" si="38"/>
        <v>41.295117942954171</v>
      </c>
      <c r="CE42" s="211">
        <f t="shared" si="38"/>
        <v>41.295117942954171</v>
      </c>
      <c r="CF42" s="211">
        <f t="shared" si="38"/>
        <v>41.295117942954171</v>
      </c>
      <c r="CG42" s="211">
        <f t="shared" si="38"/>
        <v>41.295117942954171</v>
      </c>
      <c r="CH42" s="211">
        <f t="shared" si="38"/>
        <v>41.295117942954171</v>
      </c>
      <c r="CI42" s="211">
        <f t="shared" si="38"/>
        <v>41.295117942954171</v>
      </c>
      <c r="CJ42" s="211">
        <f t="shared" si="38"/>
        <v>41.295117942954171</v>
      </c>
      <c r="CK42" s="211">
        <f t="shared" si="38"/>
        <v>41.295117942954171</v>
      </c>
      <c r="CL42" s="211">
        <f t="shared" si="38"/>
        <v>41.295117942954171</v>
      </c>
      <c r="CM42" s="211">
        <f t="shared" si="38"/>
        <v>41.295117942954171</v>
      </c>
      <c r="CN42" s="211">
        <f t="shared" si="38"/>
        <v>41.295117942954171</v>
      </c>
      <c r="CO42" s="211">
        <f t="shared" si="38"/>
        <v>41.295117942954171</v>
      </c>
      <c r="CP42" s="211">
        <f t="shared" si="38"/>
        <v>3.7336432318520565</v>
      </c>
      <c r="CQ42" s="211">
        <f t="shared" si="38"/>
        <v>3.7336432318520565</v>
      </c>
      <c r="CR42" s="211">
        <f t="shared" si="38"/>
        <v>3.7336432318520565</v>
      </c>
      <c r="CS42" s="211">
        <f t="shared" si="38"/>
        <v>3.7336432318520565</v>
      </c>
      <c r="CT42" s="211">
        <f t="shared" si="38"/>
        <v>3.7336432318520565</v>
      </c>
      <c r="CU42" s="211">
        <f t="shared" si="38"/>
        <v>3.7336432318520565</v>
      </c>
      <c r="CV42" s="211">
        <f t="shared" si="38"/>
        <v>3.7336432318520565</v>
      </c>
      <c r="CW42" s="211">
        <f t="shared" si="38"/>
        <v>3.7336432318520565</v>
      </c>
      <c r="CX42" s="211">
        <f t="shared" si="38"/>
        <v>3.7336432318520565</v>
      </c>
      <c r="CY42" s="211">
        <f t="shared" si="38"/>
        <v>3.7336432318520565</v>
      </c>
      <c r="CZ42" s="211">
        <f t="shared" si="38"/>
        <v>106.36000000000007</v>
      </c>
      <c r="DA42" s="211">
        <f t="shared" si="38"/>
        <v>106.36000000000007</v>
      </c>
    </row>
    <row r="43" spans="1:105">
      <c r="A43" s="202" t="str">
        <f>Income!A73</f>
        <v>Own crops sold</v>
      </c>
      <c r="F43" s="211">
        <f t="shared" ref="F43:AK43" si="39">IF(F$22&lt;=$E$24,IF(F$22&lt;=$D$24,IF(F$22&lt;=$C$24,IF(F$22&lt;=$B$24,$B109,($C26-$B26)/($C$24-$B$24)),($D26-$C26)/($D$24-$C$24)),($E26-$D26)/($E$24-$D$24)),$F109)</f>
        <v>340.26</v>
      </c>
      <c r="G43" s="211">
        <f t="shared" si="39"/>
        <v>340.26</v>
      </c>
      <c r="H43" s="211">
        <f t="shared" si="39"/>
        <v>340.26</v>
      </c>
      <c r="I43" s="211">
        <f t="shared" si="39"/>
        <v>340.26</v>
      </c>
      <c r="J43" s="211">
        <f t="shared" si="39"/>
        <v>340.26</v>
      </c>
      <c r="K43" s="211">
        <f t="shared" si="39"/>
        <v>340.26</v>
      </c>
      <c r="L43" s="211">
        <f>IF(L$22&lt;=$E$24,IF(L$22&lt;=$D$24,IF(L$22&lt;=$C$24,IF(L$22&lt;=$B$24,$B109,($C26-$B26)/($C$24-$B$24)),($D26-$C26)/($D$24-$C$24)),($E26-$D26)/($E$24-$D$24)),$F109)</f>
        <v>340.26</v>
      </c>
      <c r="M43" s="211">
        <f t="shared" si="39"/>
        <v>340.26</v>
      </c>
      <c r="N43" s="211">
        <f t="shared" si="39"/>
        <v>340.26</v>
      </c>
      <c r="O43" s="211">
        <f t="shared" si="39"/>
        <v>340.26</v>
      </c>
      <c r="P43" s="211">
        <f t="shared" si="39"/>
        <v>340.26</v>
      </c>
      <c r="Q43" s="211">
        <f t="shared" si="39"/>
        <v>340.26</v>
      </c>
      <c r="R43" s="211">
        <f t="shared" si="39"/>
        <v>340.26</v>
      </c>
      <c r="S43" s="211">
        <f t="shared" si="39"/>
        <v>340.26</v>
      </c>
      <c r="T43" s="211">
        <f t="shared" si="39"/>
        <v>340.26</v>
      </c>
      <c r="U43" s="211">
        <f t="shared" si="39"/>
        <v>340.26</v>
      </c>
      <c r="V43" s="211">
        <f t="shared" si="39"/>
        <v>340.26</v>
      </c>
      <c r="W43" s="211">
        <f t="shared" si="39"/>
        <v>340.26</v>
      </c>
      <c r="X43" s="211">
        <f t="shared" si="39"/>
        <v>340.26</v>
      </c>
      <c r="Y43" s="211">
        <f t="shared" si="39"/>
        <v>340.26</v>
      </c>
      <c r="Z43" s="211">
        <f t="shared" si="39"/>
        <v>340.26</v>
      </c>
      <c r="AA43" s="211">
        <f t="shared" si="39"/>
        <v>340.26</v>
      </c>
      <c r="AB43" s="211">
        <f t="shared" si="39"/>
        <v>340.26</v>
      </c>
      <c r="AC43" s="211">
        <f t="shared" si="39"/>
        <v>340.26</v>
      </c>
      <c r="AD43" s="211">
        <f t="shared" si="39"/>
        <v>340.26</v>
      </c>
      <c r="AE43" s="211">
        <f t="shared" si="39"/>
        <v>340.26</v>
      </c>
      <c r="AF43" s="211">
        <f t="shared" si="39"/>
        <v>20.9</v>
      </c>
      <c r="AG43" s="211">
        <f t="shared" si="39"/>
        <v>20.9</v>
      </c>
      <c r="AH43" s="211">
        <f t="shared" si="39"/>
        <v>20.9</v>
      </c>
      <c r="AI43" s="211">
        <f t="shared" si="39"/>
        <v>20.9</v>
      </c>
      <c r="AJ43" s="211">
        <f t="shared" si="39"/>
        <v>20.9</v>
      </c>
      <c r="AK43" s="211">
        <f t="shared" si="39"/>
        <v>20.9</v>
      </c>
      <c r="AL43" s="211">
        <f t="shared" ref="AL43:BQ43" si="40">IF(AL$22&lt;=$E$24,IF(AL$22&lt;=$D$24,IF(AL$22&lt;=$C$24,IF(AL$22&lt;=$B$24,$B109,($C26-$B26)/($C$24-$B$24)),($D26-$C26)/($D$24-$C$24)),($E26-$D26)/($E$24-$D$24)),$F109)</f>
        <v>20.9</v>
      </c>
      <c r="AM43" s="211">
        <f t="shared" si="40"/>
        <v>20.9</v>
      </c>
      <c r="AN43" s="211">
        <f t="shared" si="40"/>
        <v>20.9</v>
      </c>
      <c r="AO43" s="211">
        <f t="shared" si="40"/>
        <v>20.9</v>
      </c>
      <c r="AP43" s="211">
        <f t="shared" si="40"/>
        <v>20.9</v>
      </c>
      <c r="AQ43" s="211">
        <f t="shared" si="40"/>
        <v>20.9</v>
      </c>
      <c r="AR43" s="211">
        <f t="shared" si="40"/>
        <v>20.9</v>
      </c>
      <c r="AS43" s="211">
        <f t="shared" si="40"/>
        <v>20.9</v>
      </c>
      <c r="AT43" s="211">
        <f t="shared" si="40"/>
        <v>20.9</v>
      </c>
      <c r="AU43" s="211">
        <f t="shared" si="40"/>
        <v>20.9</v>
      </c>
      <c r="AV43" s="211">
        <f t="shared" si="40"/>
        <v>20.9</v>
      </c>
      <c r="AW43" s="211">
        <f t="shared" si="40"/>
        <v>20.9</v>
      </c>
      <c r="AX43" s="211">
        <f t="shared" si="40"/>
        <v>20.9</v>
      </c>
      <c r="AY43" s="211">
        <f t="shared" si="40"/>
        <v>20.9</v>
      </c>
      <c r="AZ43" s="211">
        <f t="shared" si="40"/>
        <v>20.9</v>
      </c>
      <c r="BA43" s="211">
        <f t="shared" si="40"/>
        <v>20.9</v>
      </c>
      <c r="BB43" s="211">
        <f t="shared" si="40"/>
        <v>20.9</v>
      </c>
      <c r="BC43" s="211">
        <f t="shared" si="40"/>
        <v>20.9</v>
      </c>
      <c r="BD43" s="211">
        <f t="shared" si="40"/>
        <v>20.9</v>
      </c>
      <c r="BE43" s="211">
        <f t="shared" si="40"/>
        <v>20.9</v>
      </c>
      <c r="BF43" s="211">
        <f t="shared" si="40"/>
        <v>20.9</v>
      </c>
      <c r="BG43" s="211">
        <f t="shared" si="40"/>
        <v>20.9</v>
      </c>
      <c r="BH43" s="211">
        <f t="shared" si="40"/>
        <v>20.9</v>
      </c>
      <c r="BI43" s="211">
        <f t="shared" si="40"/>
        <v>20.9</v>
      </c>
      <c r="BJ43" s="211">
        <f t="shared" si="40"/>
        <v>20.9</v>
      </c>
      <c r="BK43" s="211">
        <f t="shared" si="40"/>
        <v>20.9</v>
      </c>
      <c r="BL43" s="211">
        <f t="shared" si="40"/>
        <v>20.9</v>
      </c>
      <c r="BM43" s="211">
        <f t="shared" si="40"/>
        <v>20.9</v>
      </c>
      <c r="BN43" s="211">
        <f t="shared" si="40"/>
        <v>20.9</v>
      </c>
      <c r="BO43" s="211">
        <f t="shared" si="40"/>
        <v>20.9</v>
      </c>
      <c r="BP43" s="211">
        <f t="shared" si="40"/>
        <v>20.9</v>
      </c>
      <c r="BQ43" s="211">
        <f t="shared" si="40"/>
        <v>20.9</v>
      </c>
      <c r="BR43" s="211">
        <f t="shared" ref="BR43:DA43" si="41">IF(BR$22&lt;=$E$24,IF(BR$22&lt;=$D$24,IF(BR$22&lt;=$C$24,IF(BR$22&lt;=$B$24,$B109,($C26-$B26)/($C$24-$B$24)),($D26-$C26)/($D$24-$C$24)),($E26-$D26)/($E$24-$D$24)),$F109)</f>
        <v>20.9</v>
      </c>
      <c r="BS43" s="211">
        <f t="shared" si="41"/>
        <v>20.9</v>
      </c>
      <c r="BT43" s="211">
        <f t="shared" si="41"/>
        <v>123.77777777777777</v>
      </c>
      <c r="BU43" s="211">
        <f t="shared" si="41"/>
        <v>123.77777777777777</v>
      </c>
      <c r="BV43" s="211">
        <f t="shared" si="41"/>
        <v>123.77777777777777</v>
      </c>
      <c r="BW43" s="211">
        <f t="shared" si="41"/>
        <v>123.77777777777777</v>
      </c>
      <c r="BX43" s="211">
        <f t="shared" si="41"/>
        <v>123.77777777777777</v>
      </c>
      <c r="BY43" s="211">
        <f t="shared" si="41"/>
        <v>123.77777777777777</v>
      </c>
      <c r="BZ43" s="211">
        <f t="shared" si="41"/>
        <v>123.77777777777777</v>
      </c>
      <c r="CA43" s="211">
        <f t="shared" si="41"/>
        <v>123.77777777777777</v>
      </c>
      <c r="CB43" s="211">
        <f t="shared" si="41"/>
        <v>123.77777777777777</v>
      </c>
      <c r="CC43" s="211">
        <f t="shared" si="41"/>
        <v>123.77777777777777</v>
      </c>
      <c r="CD43" s="211">
        <f t="shared" si="41"/>
        <v>123.77777777777777</v>
      </c>
      <c r="CE43" s="211">
        <f t="shared" si="41"/>
        <v>123.77777777777777</v>
      </c>
      <c r="CF43" s="211">
        <f t="shared" si="41"/>
        <v>123.77777777777777</v>
      </c>
      <c r="CG43" s="211">
        <f t="shared" si="41"/>
        <v>123.77777777777777</v>
      </c>
      <c r="CH43" s="211">
        <f t="shared" si="41"/>
        <v>123.77777777777777</v>
      </c>
      <c r="CI43" s="211">
        <f t="shared" si="41"/>
        <v>123.77777777777777</v>
      </c>
      <c r="CJ43" s="211">
        <f t="shared" si="41"/>
        <v>123.77777777777777</v>
      </c>
      <c r="CK43" s="211">
        <f t="shared" si="41"/>
        <v>123.77777777777777</v>
      </c>
      <c r="CL43" s="211">
        <f t="shared" si="41"/>
        <v>123.77777777777777</v>
      </c>
      <c r="CM43" s="211">
        <f t="shared" si="41"/>
        <v>123.77777777777777</v>
      </c>
      <c r="CN43" s="211">
        <f t="shared" si="41"/>
        <v>123.77777777777777</v>
      </c>
      <c r="CO43" s="211">
        <f t="shared" si="41"/>
        <v>123.77777777777777</v>
      </c>
      <c r="CP43" s="211">
        <f t="shared" si="41"/>
        <v>151.14444444444445</v>
      </c>
      <c r="CQ43" s="211">
        <f t="shared" si="41"/>
        <v>151.14444444444445</v>
      </c>
      <c r="CR43" s="211">
        <f t="shared" si="41"/>
        <v>151.14444444444445</v>
      </c>
      <c r="CS43" s="211">
        <f t="shared" si="41"/>
        <v>151.14444444444445</v>
      </c>
      <c r="CT43" s="211">
        <f t="shared" si="41"/>
        <v>151.14444444444445</v>
      </c>
      <c r="CU43" s="211">
        <f t="shared" si="41"/>
        <v>151.14444444444445</v>
      </c>
      <c r="CV43" s="211">
        <f t="shared" si="41"/>
        <v>151.14444444444445</v>
      </c>
      <c r="CW43" s="211">
        <f t="shared" si="41"/>
        <v>151.14444444444445</v>
      </c>
      <c r="CX43" s="211">
        <f t="shared" si="41"/>
        <v>151.14444444444445</v>
      </c>
      <c r="CY43" s="211">
        <f t="shared" si="41"/>
        <v>151.14444444444445</v>
      </c>
      <c r="CZ43" s="211">
        <f t="shared" si="41"/>
        <v>724.86000000000013</v>
      </c>
      <c r="DA43" s="211">
        <f t="shared" si="41"/>
        <v>724.86000000000013</v>
      </c>
    </row>
    <row r="44" spans="1:105">
      <c r="A44" s="202" t="str">
        <f>Income!A74</f>
        <v>Animal products consumed</v>
      </c>
      <c r="F44" s="211">
        <f t="shared" ref="F44:AK44" si="42">IF(F$22&lt;=$E$24,IF(F$22&lt;=$D$24,IF(F$22&lt;=$C$24,IF(F$22&lt;=$B$24,$B110,($C27-$B27)/($C$24-$B$24)),($D27-$C27)/($D$24-$C$24)),($E27-$D27)/($E$24-$D$24)),$F110)</f>
        <v>0</v>
      </c>
      <c r="G44" s="211">
        <f t="shared" si="42"/>
        <v>0</v>
      </c>
      <c r="H44" s="211">
        <f t="shared" si="42"/>
        <v>0</v>
      </c>
      <c r="I44" s="211">
        <f t="shared" si="42"/>
        <v>0</v>
      </c>
      <c r="J44" s="211">
        <f t="shared" si="42"/>
        <v>0</v>
      </c>
      <c r="K44" s="211">
        <f t="shared" si="42"/>
        <v>0</v>
      </c>
      <c r="L44" s="211">
        <f t="shared" si="42"/>
        <v>0</v>
      </c>
      <c r="M44" s="211">
        <f t="shared" si="42"/>
        <v>0</v>
      </c>
      <c r="N44" s="211">
        <f t="shared" si="42"/>
        <v>0</v>
      </c>
      <c r="O44" s="211">
        <f t="shared" si="42"/>
        <v>0</v>
      </c>
      <c r="P44" s="211">
        <f t="shared" si="42"/>
        <v>0</v>
      </c>
      <c r="Q44" s="211">
        <f t="shared" si="42"/>
        <v>0</v>
      </c>
      <c r="R44" s="211">
        <f t="shared" si="42"/>
        <v>0</v>
      </c>
      <c r="S44" s="211">
        <f t="shared" si="42"/>
        <v>0</v>
      </c>
      <c r="T44" s="211">
        <f t="shared" si="42"/>
        <v>0</v>
      </c>
      <c r="U44" s="211">
        <f t="shared" si="42"/>
        <v>0</v>
      </c>
      <c r="V44" s="211">
        <f t="shared" si="42"/>
        <v>0</v>
      </c>
      <c r="W44" s="211">
        <f t="shared" si="42"/>
        <v>0</v>
      </c>
      <c r="X44" s="211">
        <f t="shared" si="42"/>
        <v>0</v>
      </c>
      <c r="Y44" s="211">
        <f t="shared" si="42"/>
        <v>0</v>
      </c>
      <c r="Z44" s="211">
        <f t="shared" si="42"/>
        <v>0</v>
      </c>
      <c r="AA44" s="211">
        <f t="shared" si="42"/>
        <v>0</v>
      </c>
      <c r="AB44" s="211">
        <f t="shared" si="42"/>
        <v>0</v>
      </c>
      <c r="AC44" s="211">
        <f t="shared" si="42"/>
        <v>0</v>
      </c>
      <c r="AD44" s="211">
        <f t="shared" si="42"/>
        <v>0</v>
      </c>
      <c r="AE44" s="211">
        <f t="shared" si="42"/>
        <v>0</v>
      </c>
      <c r="AF44" s="211">
        <f t="shared" si="42"/>
        <v>2.0653786538803613</v>
      </c>
      <c r="AG44" s="211">
        <f t="shared" si="42"/>
        <v>2.0653786538803613</v>
      </c>
      <c r="AH44" s="211">
        <f t="shared" si="42"/>
        <v>2.0653786538803613</v>
      </c>
      <c r="AI44" s="211">
        <f t="shared" si="42"/>
        <v>2.0653786538803613</v>
      </c>
      <c r="AJ44" s="211">
        <f t="shared" si="42"/>
        <v>2.0653786538803613</v>
      </c>
      <c r="AK44" s="211">
        <f t="shared" si="42"/>
        <v>2.0653786538803613</v>
      </c>
      <c r="AL44" s="211">
        <f t="shared" ref="AL44:BQ44" si="43">IF(AL$22&lt;=$E$24,IF(AL$22&lt;=$D$24,IF(AL$22&lt;=$C$24,IF(AL$22&lt;=$B$24,$B110,($C27-$B27)/($C$24-$B$24)),($D27-$C27)/($D$24-$C$24)),($E27-$D27)/($E$24-$D$24)),$F110)</f>
        <v>2.0653786538803613</v>
      </c>
      <c r="AM44" s="211">
        <f t="shared" si="43"/>
        <v>2.0653786538803613</v>
      </c>
      <c r="AN44" s="211">
        <f t="shared" si="43"/>
        <v>2.0653786538803613</v>
      </c>
      <c r="AO44" s="211">
        <f t="shared" si="43"/>
        <v>2.0653786538803613</v>
      </c>
      <c r="AP44" s="211">
        <f t="shared" si="43"/>
        <v>2.0653786538803613</v>
      </c>
      <c r="AQ44" s="211">
        <f t="shared" si="43"/>
        <v>2.0653786538803613</v>
      </c>
      <c r="AR44" s="211">
        <f t="shared" si="43"/>
        <v>2.0653786538803613</v>
      </c>
      <c r="AS44" s="211">
        <f t="shared" si="43"/>
        <v>2.0653786538803613</v>
      </c>
      <c r="AT44" s="211">
        <f t="shared" si="43"/>
        <v>2.0653786538803613</v>
      </c>
      <c r="AU44" s="211">
        <f t="shared" si="43"/>
        <v>2.0653786538803613</v>
      </c>
      <c r="AV44" s="211">
        <f t="shared" si="43"/>
        <v>2.0653786538803613</v>
      </c>
      <c r="AW44" s="211">
        <f t="shared" si="43"/>
        <v>2.0653786538803613</v>
      </c>
      <c r="AX44" s="211">
        <f t="shared" si="43"/>
        <v>2.0653786538803613</v>
      </c>
      <c r="AY44" s="211">
        <f t="shared" si="43"/>
        <v>2.0653786538803613</v>
      </c>
      <c r="AZ44" s="211">
        <f t="shared" si="43"/>
        <v>2.0653786538803613</v>
      </c>
      <c r="BA44" s="211">
        <f t="shared" si="43"/>
        <v>2.0653786538803613</v>
      </c>
      <c r="BB44" s="211">
        <f t="shared" si="43"/>
        <v>2.0653786538803613</v>
      </c>
      <c r="BC44" s="211">
        <f t="shared" si="43"/>
        <v>2.0653786538803613</v>
      </c>
      <c r="BD44" s="211">
        <f t="shared" si="43"/>
        <v>2.0653786538803613</v>
      </c>
      <c r="BE44" s="211">
        <f t="shared" si="43"/>
        <v>2.0653786538803613</v>
      </c>
      <c r="BF44" s="211">
        <f t="shared" si="43"/>
        <v>2.0653786538803613</v>
      </c>
      <c r="BG44" s="211">
        <f t="shared" si="43"/>
        <v>2.0653786538803613</v>
      </c>
      <c r="BH44" s="211">
        <f t="shared" si="43"/>
        <v>2.0653786538803613</v>
      </c>
      <c r="BI44" s="211">
        <f t="shared" si="43"/>
        <v>2.0653786538803613</v>
      </c>
      <c r="BJ44" s="211">
        <f t="shared" si="43"/>
        <v>2.0653786538803613</v>
      </c>
      <c r="BK44" s="211">
        <f t="shared" si="43"/>
        <v>2.0653786538803613</v>
      </c>
      <c r="BL44" s="211">
        <f t="shared" si="43"/>
        <v>2.0653786538803613</v>
      </c>
      <c r="BM44" s="211">
        <f t="shared" si="43"/>
        <v>2.0653786538803613</v>
      </c>
      <c r="BN44" s="211">
        <f t="shared" si="43"/>
        <v>2.0653786538803613</v>
      </c>
      <c r="BO44" s="211">
        <f t="shared" si="43"/>
        <v>2.0653786538803613</v>
      </c>
      <c r="BP44" s="211">
        <f t="shared" si="43"/>
        <v>2.0653786538803613</v>
      </c>
      <c r="BQ44" s="211">
        <f t="shared" si="43"/>
        <v>2.0653786538803613</v>
      </c>
      <c r="BR44" s="211">
        <f t="shared" ref="BR44:DA44" si="44">IF(BR$22&lt;=$E$24,IF(BR$22&lt;=$D$24,IF(BR$22&lt;=$C$24,IF(BR$22&lt;=$B$24,$B110,($C27-$B27)/($C$24-$B$24)),($D27-$C27)/($D$24-$C$24)),($E27-$D27)/($E$24-$D$24)),$F110)</f>
        <v>2.0653786538803613</v>
      </c>
      <c r="BS44" s="211">
        <f t="shared" si="44"/>
        <v>2.0653786538803613</v>
      </c>
      <c r="BT44" s="211">
        <f t="shared" si="44"/>
        <v>7.5226428549184057</v>
      </c>
      <c r="BU44" s="211">
        <f t="shared" si="44"/>
        <v>7.5226428549184057</v>
      </c>
      <c r="BV44" s="211">
        <f t="shared" si="44"/>
        <v>7.5226428549184057</v>
      </c>
      <c r="BW44" s="211">
        <f t="shared" si="44"/>
        <v>7.5226428549184057</v>
      </c>
      <c r="BX44" s="211">
        <f t="shared" si="44"/>
        <v>7.5226428549184057</v>
      </c>
      <c r="BY44" s="211">
        <f t="shared" si="44"/>
        <v>7.5226428549184057</v>
      </c>
      <c r="BZ44" s="211">
        <f t="shared" si="44"/>
        <v>7.5226428549184057</v>
      </c>
      <c r="CA44" s="211">
        <f t="shared" si="44"/>
        <v>7.5226428549184057</v>
      </c>
      <c r="CB44" s="211">
        <f t="shared" si="44"/>
        <v>7.5226428549184057</v>
      </c>
      <c r="CC44" s="211">
        <f t="shared" si="44"/>
        <v>7.5226428549184057</v>
      </c>
      <c r="CD44" s="211">
        <f t="shared" si="44"/>
        <v>7.5226428549184057</v>
      </c>
      <c r="CE44" s="211">
        <f t="shared" si="44"/>
        <v>7.5226428549184057</v>
      </c>
      <c r="CF44" s="211">
        <f t="shared" si="44"/>
        <v>7.5226428549184057</v>
      </c>
      <c r="CG44" s="211">
        <f t="shared" si="44"/>
        <v>7.5226428549184057</v>
      </c>
      <c r="CH44" s="211">
        <f t="shared" si="44"/>
        <v>7.5226428549184057</v>
      </c>
      <c r="CI44" s="211">
        <f t="shared" si="44"/>
        <v>7.5226428549184057</v>
      </c>
      <c r="CJ44" s="211">
        <f t="shared" si="44"/>
        <v>7.5226428549184057</v>
      </c>
      <c r="CK44" s="211">
        <f t="shared" si="44"/>
        <v>7.5226428549184057</v>
      </c>
      <c r="CL44" s="211">
        <f t="shared" si="44"/>
        <v>7.5226428549184057</v>
      </c>
      <c r="CM44" s="211">
        <f t="shared" si="44"/>
        <v>7.5226428549184057</v>
      </c>
      <c r="CN44" s="211">
        <f t="shared" si="44"/>
        <v>7.5226428549184057</v>
      </c>
      <c r="CO44" s="211">
        <f t="shared" si="44"/>
        <v>7.5226428549184057</v>
      </c>
      <c r="CP44" s="211">
        <f t="shared" si="44"/>
        <v>64.718341013057355</v>
      </c>
      <c r="CQ44" s="211">
        <f t="shared" si="44"/>
        <v>64.718341013057355</v>
      </c>
      <c r="CR44" s="211">
        <f t="shared" si="44"/>
        <v>64.718341013057355</v>
      </c>
      <c r="CS44" s="211">
        <f t="shared" si="44"/>
        <v>64.718341013057355</v>
      </c>
      <c r="CT44" s="211">
        <f t="shared" si="44"/>
        <v>64.718341013057355</v>
      </c>
      <c r="CU44" s="211">
        <f t="shared" si="44"/>
        <v>64.718341013057355</v>
      </c>
      <c r="CV44" s="211">
        <f t="shared" si="44"/>
        <v>64.718341013057355</v>
      </c>
      <c r="CW44" s="211">
        <f t="shared" si="44"/>
        <v>64.718341013057355</v>
      </c>
      <c r="CX44" s="211">
        <f t="shared" si="44"/>
        <v>64.718341013057355</v>
      </c>
      <c r="CY44" s="211">
        <f t="shared" si="44"/>
        <v>64.718341013057355</v>
      </c>
      <c r="CZ44" s="211">
        <f t="shared" si="44"/>
        <v>8.4310000000000009</v>
      </c>
      <c r="DA44" s="211">
        <f t="shared" si="44"/>
        <v>8.4310000000000009</v>
      </c>
    </row>
    <row r="45" spans="1:105">
      <c r="A45" s="202" t="str">
        <f>Income!A75</f>
        <v>Animal products sold</v>
      </c>
      <c r="F45" s="211">
        <f t="shared" ref="F45:AK45" si="45">IF(F$22&lt;=$E$24,IF(F$22&lt;=$D$24,IF(F$22&lt;=$C$24,IF(F$22&lt;=$B$24,$B111,($C28-$B28)/($C$24-$B$24)),($D28-$C28)/($D$24-$C$24)),($E28-$D28)/($E$24-$D$24)),$F111)</f>
        <v>0</v>
      </c>
      <c r="G45" s="211">
        <f t="shared" si="45"/>
        <v>0</v>
      </c>
      <c r="H45" s="211">
        <f t="shared" si="45"/>
        <v>0</v>
      </c>
      <c r="I45" s="211">
        <f t="shared" si="45"/>
        <v>0</v>
      </c>
      <c r="J45" s="211">
        <f t="shared" si="45"/>
        <v>0</v>
      </c>
      <c r="K45" s="211">
        <f t="shared" si="45"/>
        <v>0</v>
      </c>
      <c r="L45" s="211">
        <f t="shared" si="45"/>
        <v>0</v>
      </c>
      <c r="M45" s="211">
        <f t="shared" si="45"/>
        <v>0</v>
      </c>
      <c r="N45" s="211">
        <f t="shared" si="45"/>
        <v>0</v>
      </c>
      <c r="O45" s="211">
        <f t="shared" si="45"/>
        <v>0</v>
      </c>
      <c r="P45" s="211">
        <f t="shared" si="45"/>
        <v>0</v>
      </c>
      <c r="Q45" s="211">
        <f t="shared" si="45"/>
        <v>0</v>
      </c>
      <c r="R45" s="211">
        <f t="shared" si="45"/>
        <v>0</v>
      </c>
      <c r="S45" s="211">
        <f t="shared" si="45"/>
        <v>0</v>
      </c>
      <c r="T45" s="211">
        <f t="shared" si="45"/>
        <v>0</v>
      </c>
      <c r="U45" s="211">
        <f t="shared" si="45"/>
        <v>0</v>
      </c>
      <c r="V45" s="211">
        <f t="shared" si="45"/>
        <v>0</v>
      </c>
      <c r="W45" s="211">
        <f t="shared" si="45"/>
        <v>0</v>
      </c>
      <c r="X45" s="211">
        <f t="shared" si="45"/>
        <v>0</v>
      </c>
      <c r="Y45" s="211">
        <f t="shared" si="45"/>
        <v>0</v>
      </c>
      <c r="Z45" s="211">
        <f t="shared" si="45"/>
        <v>0</v>
      </c>
      <c r="AA45" s="211">
        <f t="shared" si="45"/>
        <v>0</v>
      </c>
      <c r="AB45" s="211">
        <f t="shared" si="45"/>
        <v>0</v>
      </c>
      <c r="AC45" s="211">
        <f t="shared" si="45"/>
        <v>0</v>
      </c>
      <c r="AD45" s="211">
        <f t="shared" si="45"/>
        <v>0</v>
      </c>
      <c r="AE45" s="211">
        <f t="shared" si="45"/>
        <v>0</v>
      </c>
      <c r="AF45" s="211">
        <f t="shared" si="45"/>
        <v>0</v>
      </c>
      <c r="AG45" s="211">
        <f t="shared" si="45"/>
        <v>0</v>
      </c>
      <c r="AH45" s="211">
        <f t="shared" si="45"/>
        <v>0</v>
      </c>
      <c r="AI45" s="211">
        <f t="shared" si="45"/>
        <v>0</v>
      </c>
      <c r="AJ45" s="211">
        <f t="shared" si="45"/>
        <v>0</v>
      </c>
      <c r="AK45" s="211">
        <f t="shared" si="45"/>
        <v>0</v>
      </c>
      <c r="AL45" s="211">
        <f t="shared" ref="AL45:BQ45" si="46">IF(AL$22&lt;=$E$24,IF(AL$22&lt;=$D$24,IF(AL$22&lt;=$C$24,IF(AL$22&lt;=$B$24,$B111,($C28-$B28)/($C$24-$B$24)),($D28-$C28)/($D$24-$C$24)),($E28-$D28)/($E$24-$D$24)),$F111)</f>
        <v>0</v>
      </c>
      <c r="AM45" s="211">
        <f t="shared" si="46"/>
        <v>0</v>
      </c>
      <c r="AN45" s="211">
        <f t="shared" si="46"/>
        <v>0</v>
      </c>
      <c r="AO45" s="211">
        <f t="shared" si="46"/>
        <v>0</v>
      </c>
      <c r="AP45" s="211">
        <f t="shared" si="46"/>
        <v>0</v>
      </c>
      <c r="AQ45" s="211">
        <f t="shared" si="46"/>
        <v>0</v>
      </c>
      <c r="AR45" s="211">
        <f t="shared" si="46"/>
        <v>0</v>
      </c>
      <c r="AS45" s="211">
        <f t="shared" si="46"/>
        <v>0</v>
      </c>
      <c r="AT45" s="211">
        <f t="shared" si="46"/>
        <v>0</v>
      </c>
      <c r="AU45" s="211">
        <f t="shared" si="46"/>
        <v>0</v>
      </c>
      <c r="AV45" s="211">
        <f t="shared" si="46"/>
        <v>0</v>
      </c>
      <c r="AW45" s="211">
        <f t="shared" si="46"/>
        <v>0</v>
      </c>
      <c r="AX45" s="211">
        <f t="shared" si="46"/>
        <v>0</v>
      </c>
      <c r="AY45" s="211">
        <f t="shared" si="46"/>
        <v>0</v>
      </c>
      <c r="AZ45" s="211">
        <f t="shared" si="46"/>
        <v>0</v>
      </c>
      <c r="BA45" s="211">
        <f t="shared" si="46"/>
        <v>0</v>
      </c>
      <c r="BB45" s="211">
        <f t="shared" si="46"/>
        <v>0</v>
      </c>
      <c r="BC45" s="211">
        <f t="shared" si="46"/>
        <v>0</v>
      </c>
      <c r="BD45" s="211">
        <f t="shared" si="46"/>
        <v>0</v>
      </c>
      <c r="BE45" s="211">
        <f t="shared" si="46"/>
        <v>0</v>
      </c>
      <c r="BF45" s="211">
        <f t="shared" si="46"/>
        <v>0</v>
      </c>
      <c r="BG45" s="211">
        <f t="shared" si="46"/>
        <v>0</v>
      </c>
      <c r="BH45" s="211">
        <f t="shared" si="46"/>
        <v>0</v>
      </c>
      <c r="BI45" s="211">
        <f t="shared" si="46"/>
        <v>0</v>
      </c>
      <c r="BJ45" s="211">
        <f t="shared" si="46"/>
        <v>0</v>
      </c>
      <c r="BK45" s="211">
        <f t="shared" si="46"/>
        <v>0</v>
      </c>
      <c r="BL45" s="211">
        <f t="shared" si="46"/>
        <v>0</v>
      </c>
      <c r="BM45" s="211">
        <f t="shared" si="46"/>
        <v>0</v>
      </c>
      <c r="BN45" s="211">
        <f t="shared" si="46"/>
        <v>0</v>
      </c>
      <c r="BO45" s="211">
        <f t="shared" si="46"/>
        <v>0</v>
      </c>
      <c r="BP45" s="211">
        <f t="shared" si="46"/>
        <v>0</v>
      </c>
      <c r="BQ45" s="211">
        <f t="shared" si="46"/>
        <v>0</v>
      </c>
      <c r="BR45" s="211">
        <f t="shared" ref="BR45:DA45" si="47">IF(BR$22&lt;=$E$24,IF(BR$22&lt;=$D$24,IF(BR$22&lt;=$C$24,IF(BR$22&lt;=$B$24,$B111,($C28-$B28)/($C$24-$B$24)),($D28-$C28)/($D$24-$C$24)),($E28-$D28)/($E$24-$D$24)),$F111)</f>
        <v>0</v>
      </c>
      <c r="BS45" s="211">
        <f t="shared" si="47"/>
        <v>0</v>
      </c>
      <c r="BT45" s="211">
        <f t="shared" si="47"/>
        <v>0</v>
      </c>
      <c r="BU45" s="211">
        <f t="shared" si="47"/>
        <v>0</v>
      </c>
      <c r="BV45" s="211">
        <f t="shared" si="47"/>
        <v>0</v>
      </c>
      <c r="BW45" s="211">
        <f t="shared" si="47"/>
        <v>0</v>
      </c>
      <c r="BX45" s="211">
        <f t="shared" si="47"/>
        <v>0</v>
      </c>
      <c r="BY45" s="211">
        <f t="shared" si="47"/>
        <v>0</v>
      </c>
      <c r="BZ45" s="211">
        <f t="shared" si="47"/>
        <v>0</v>
      </c>
      <c r="CA45" s="211">
        <f t="shared" si="47"/>
        <v>0</v>
      </c>
      <c r="CB45" s="211">
        <f t="shared" si="47"/>
        <v>0</v>
      </c>
      <c r="CC45" s="211">
        <f t="shared" si="47"/>
        <v>0</v>
      </c>
      <c r="CD45" s="211">
        <f t="shared" si="47"/>
        <v>0</v>
      </c>
      <c r="CE45" s="211">
        <f t="shared" si="47"/>
        <v>0</v>
      </c>
      <c r="CF45" s="211">
        <f t="shared" si="47"/>
        <v>0</v>
      </c>
      <c r="CG45" s="211">
        <f t="shared" si="47"/>
        <v>0</v>
      </c>
      <c r="CH45" s="211">
        <f t="shared" si="47"/>
        <v>0</v>
      </c>
      <c r="CI45" s="211">
        <f t="shared" si="47"/>
        <v>0</v>
      </c>
      <c r="CJ45" s="211">
        <f t="shared" si="47"/>
        <v>0</v>
      </c>
      <c r="CK45" s="211">
        <f t="shared" si="47"/>
        <v>0</v>
      </c>
      <c r="CL45" s="211">
        <f t="shared" si="47"/>
        <v>0</v>
      </c>
      <c r="CM45" s="211">
        <f t="shared" si="47"/>
        <v>0</v>
      </c>
      <c r="CN45" s="211">
        <f t="shared" si="47"/>
        <v>0</v>
      </c>
      <c r="CO45" s="211">
        <f t="shared" si="47"/>
        <v>0</v>
      </c>
      <c r="CP45" s="211">
        <f t="shared" si="47"/>
        <v>0</v>
      </c>
      <c r="CQ45" s="211">
        <f t="shared" si="47"/>
        <v>0</v>
      </c>
      <c r="CR45" s="211">
        <f t="shared" si="47"/>
        <v>0</v>
      </c>
      <c r="CS45" s="211">
        <f t="shared" si="47"/>
        <v>0</v>
      </c>
      <c r="CT45" s="211">
        <f t="shared" si="47"/>
        <v>0</v>
      </c>
      <c r="CU45" s="211">
        <f t="shared" si="47"/>
        <v>0</v>
      </c>
      <c r="CV45" s="211">
        <f t="shared" si="47"/>
        <v>0</v>
      </c>
      <c r="CW45" s="211">
        <f t="shared" si="47"/>
        <v>0</v>
      </c>
      <c r="CX45" s="211">
        <f t="shared" si="47"/>
        <v>0</v>
      </c>
      <c r="CY45" s="211">
        <f t="shared" si="47"/>
        <v>0</v>
      </c>
      <c r="CZ45" s="211">
        <f t="shared" si="47"/>
        <v>0</v>
      </c>
      <c r="DA45" s="211">
        <f t="shared" si="47"/>
        <v>0</v>
      </c>
    </row>
    <row r="46" spans="1:105">
      <c r="A46" s="202" t="str">
        <f>Income!A76</f>
        <v>Animals sold</v>
      </c>
      <c r="F46" s="211">
        <f t="shared" ref="F46:AK46" si="48">IF(F$22&lt;=$E$24,IF(F$22&lt;=$D$24,IF(F$22&lt;=$C$24,IF(F$22&lt;=$B$24,$B112,($C29-$B29)/($C$24-$B$24)),($D29-$C29)/($D$24-$C$24)),($E29-$D29)/($E$24-$D$24)),$F112)</f>
        <v>0</v>
      </c>
      <c r="G46" s="211">
        <f t="shared" si="48"/>
        <v>0</v>
      </c>
      <c r="H46" s="211">
        <f t="shared" si="48"/>
        <v>0</v>
      </c>
      <c r="I46" s="211">
        <f t="shared" si="48"/>
        <v>0</v>
      </c>
      <c r="J46" s="211">
        <f t="shared" si="48"/>
        <v>0</v>
      </c>
      <c r="K46" s="211">
        <f t="shared" si="48"/>
        <v>0</v>
      </c>
      <c r="L46" s="211">
        <f t="shared" si="48"/>
        <v>0</v>
      </c>
      <c r="M46" s="211">
        <f t="shared" si="48"/>
        <v>0</v>
      </c>
      <c r="N46" s="211">
        <f t="shared" si="48"/>
        <v>0</v>
      </c>
      <c r="O46" s="211">
        <f t="shared" si="48"/>
        <v>0</v>
      </c>
      <c r="P46" s="211">
        <f t="shared" si="48"/>
        <v>0</v>
      </c>
      <c r="Q46" s="211">
        <f t="shared" si="48"/>
        <v>0</v>
      </c>
      <c r="R46" s="211">
        <f t="shared" si="48"/>
        <v>0</v>
      </c>
      <c r="S46" s="211">
        <f t="shared" si="48"/>
        <v>0</v>
      </c>
      <c r="T46" s="211">
        <f t="shared" si="48"/>
        <v>0</v>
      </c>
      <c r="U46" s="211">
        <f t="shared" si="48"/>
        <v>0</v>
      </c>
      <c r="V46" s="211">
        <f t="shared" si="48"/>
        <v>0</v>
      </c>
      <c r="W46" s="211">
        <f t="shared" si="48"/>
        <v>0</v>
      </c>
      <c r="X46" s="211">
        <f t="shared" si="48"/>
        <v>0</v>
      </c>
      <c r="Y46" s="211">
        <f t="shared" si="48"/>
        <v>0</v>
      </c>
      <c r="Z46" s="211">
        <f t="shared" si="48"/>
        <v>0</v>
      </c>
      <c r="AA46" s="211">
        <f t="shared" si="48"/>
        <v>0</v>
      </c>
      <c r="AB46" s="211">
        <f t="shared" si="48"/>
        <v>0</v>
      </c>
      <c r="AC46" s="211">
        <f t="shared" si="48"/>
        <v>0</v>
      </c>
      <c r="AD46" s="211">
        <f t="shared" si="48"/>
        <v>0</v>
      </c>
      <c r="AE46" s="211">
        <f t="shared" si="48"/>
        <v>0</v>
      </c>
      <c r="AF46" s="211">
        <f t="shared" si="48"/>
        <v>12.500000000000002</v>
      </c>
      <c r="AG46" s="211">
        <f t="shared" si="48"/>
        <v>12.500000000000002</v>
      </c>
      <c r="AH46" s="211">
        <f t="shared" si="48"/>
        <v>12.500000000000002</v>
      </c>
      <c r="AI46" s="211">
        <f t="shared" si="48"/>
        <v>12.500000000000002</v>
      </c>
      <c r="AJ46" s="211">
        <f t="shared" si="48"/>
        <v>12.500000000000002</v>
      </c>
      <c r="AK46" s="211">
        <f t="shared" si="48"/>
        <v>12.500000000000002</v>
      </c>
      <c r="AL46" s="211">
        <f t="shared" ref="AL46:BQ46" si="49">IF(AL$22&lt;=$E$24,IF(AL$22&lt;=$D$24,IF(AL$22&lt;=$C$24,IF(AL$22&lt;=$B$24,$B112,($C29-$B29)/($C$24-$B$24)),($D29-$C29)/($D$24-$C$24)),($E29-$D29)/($E$24-$D$24)),$F112)</f>
        <v>12.500000000000002</v>
      </c>
      <c r="AM46" s="211">
        <f t="shared" si="49"/>
        <v>12.500000000000002</v>
      </c>
      <c r="AN46" s="211">
        <f t="shared" si="49"/>
        <v>12.500000000000002</v>
      </c>
      <c r="AO46" s="211">
        <f t="shared" si="49"/>
        <v>12.500000000000002</v>
      </c>
      <c r="AP46" s="211">
        <f t="shared" si="49"/>
        <v>12.500000000000002</v>
      </c>
      <c r="AQ46" s="211">
        <f t="shared" si="49"/>
        <v>12.500000000000002</v>
      </c>
      <c r="AR46" s="211">
        <f t="shared" si="49"/>
        <v>12.500000000000002</v>
      </c>
      <c r="AS46" s="211">
        <f t="shared" si="49"/>
        <v>12.500000000000002</v>
      </c>
      <c r="AT46" s="211">
        <f t="shared" si="49"/>
        <v>12.500000000000002</v>
      </c>
      <c r="AU46" s="211">
        <f t="shared" si="49"/>
        <v>12.500000000000002</v>
      </c>
      <c r="AV46" s="211">
        <f t="shared" si="49"/>
        <v>12.500000000000002</v>
      </c>
      <c r="AW46" s="211">
        <f t="shared" si="49"/>
        <v>12.500000000000002</v>
      </c>
      <c r="AX46" s="211">
        <f t="shared" si="49"/>
        <v>12.500000000000002</v>
      </c>
      <c r="AY46" s="211">
        <f t="shared" si="49"/>
        <v>12.500000000000002</v>
      </c>
      <c r="AZ46" s="211">
        <f t="shared" si="49"/>
        <v>12.500000000000002</v>
      </c>
      <c r="BA46" s="211">
        <f t="shared" si="49"/>
        <v>12.500000000000002</v>
      </c>
      <c r="BB46" s="211">
        <f t="shared" si="49"/>
        <v>12.500000000000002</v>
      </c>
      <c r="BC46" s="211">
        <f t="shared" si="49"/>
        <v>12.500000000000002</v>
      </c>
      <c r="BD46" s="211">
        <f t="shared" si="49"/>
        <v>12.500000000000002</v>
      </c>
      <c r="BE46" s="211">
        <f t="shared" si="49"/>
        <v>12.500000000000002</v>
      </c>
      <c r="BF46" s="211">
        <f t="shared" si="49"/>
        <v>12.500000000000002</v>
      </c>
      <c r="BG46" s="211">
        <f t="shared" si="49"/>
        <v>12.500000000000002</v>
      </c>
      <c r="BH46" s="211">
        <f t="shared" si="49"/>
        <v>12.500000000000002</v>
      </c>
      <c r="BI46" s="211">
        <f t="shared" si="49"/>
        <v>12.500000000000002</v>
      </c>
      <c r="BJ46" s="211">
        <f t="shared" si="49"/>
        <v>12.500000000000002</v>
      </c>
      <c r="BK46" s="211">
        <f t="shared" si="49"/>
        <v>12.500000000000002</v>
      </c>
      <c r="BL46" s="211">
        <f t="shared" si="49"/>
        <v>12.500000000000002</v>
      </c>
      <c r="BM46" s="211">
        <f t="shared" si="49"/>
        <v>12.500000000000002</v>
      </c>
      <c r="BN46" s="211">
        <f t="shared" si="49"/>
        <v>12.500000000000002</v>
      </c>
      <c r="BO46" s="211">
        <f t="shared" si="49"/>
        <v>12.500000000000002</v>
      </c>
      <c r="BP46" s="211">
        <f t="shared" si="49"/>
        <v>12.500000000000002</v>
      </c>
      <c r="BQ46" s="211">
        <f t="shared" si="49"/>
        <v>12.500000000000002</v>
      </c>
      <c r="BR46" s="211">
        <f t="shared" ref="BR46:DA46" si="50">IF(BR$22&lt;=$E$24,IF(BR$22&lt;=$D$24,IF(BR$22&lt;=$C$24,IF(BR$22&lt;=$B$24,$B112,($C29-$B29)/($C$24-$B$24)),($D29-$C29)/($D$24-$C$24)),($E29-$D29)/($E$24-$D$24)),$F112)</f>
        <v>12.500000000000002</v>
      </c>
      <c r="BS46" s="211">
        <f t="shared" si="50"/>
        <v>12.500000000000002</v>
      </c>
      <c r="BT46" s="211">
        <f t="shared" si="50"/>
        <v>133.33333333333334</v>
      </c>
      <c r="BU46" s="211">
        <f t="shared" si="50"/>
        <v>133.33333333333334</v>
      </c>
      <c r="BV46" s="211">
        <f t="shared" si="50"/>
        <v>133.33333333333334</v>
      </c>
      <c r="BW46" s="211">
        <f t="shared" si="50"/>
        <v>133.33333333333334</v>
      </c>
      <c r="BX46" s="211">
        <f t="shared" si="50"/>
        <v>133.33333333333334</v>
      </c>
      <c r="BY46" s="211">
        <f t="shared" si="50"/>
        <v>133.33333333333334</v>
      </c>
      <c r="BZ46" s="211">
        <f t="shared" si="50"/>
        <v>133.33333333333334</v>
      </c>
      <c r="CA46" s="211">
        <f t="shared" si="50"/>
        <v>133.33333333333334</v>
      </c>
      <c r="CB46" s="211">
        <f t="shared" si="50"/>
        <v>133.33333333333334</v>
      </c>
      <c r="CC46" s="211">
        <f t="shared" si="50"/>
        <v>133.33333333333334</v>
      </c>
      <c r="CD46" s="211">
        <f t="shared" si="50"/>
        <v>133.33333333333334</v>
      </c>
      <c r="CE46" s="211">
        <f t="shared" si="50"/>
        <v>133.33333333333334</v>
      </c>
      <c r="CF46" s="211">
        <f t="shared" si="50"/>
        <v>133.33333333333334</v>
      </c>
      <c r="CG46" s="211">
        <f t="shared" si="50"/>
        <v>133.33333333333334</v>
      </c>
      <c r="CH46" s="211">
        <f t="shared" si="50"/>
        <v>133.33333333333334</v>
      </c>
      <c r="CI46" s="211">
        <f t="shared" si="50"/>
        <v>133.33333333333334</v>
      </c>
      <c r="CJ46" s="211">
        <f t="shared" si="50"/>
        <v>133.33333333333334</v>
      </c>
      <c r="CK46" s="211">
        <f t="shared" si="50"/>
        <v>133.33333333333334</v>
      </c>
      <c r="CL46" s="211">
        <f t="shared" si="50"/>
        <v>133.33333333333334</v>
      </c>
      <c r="CM46" s="211">
        <f t="shared" si="50"/>
        <v>133.33333333333334</v>
      </c>
      <c r="CN46" s="211">
        <f t="shared" si="50"/>
        <v>133.33333333333334</v>
      </c>
      <c r="CO46" s="211">
        <f t="shared" si="50"/>
        <v>133.33333333333334</v>
      </c>
      <c r="CP46" s="211">
        <f t="shared" si="50"/>
        <v>632.22222222222229</v>
      </c>
      <c r="CQ46" s="211">
        <f t="shared" si="50"/>
        <v>632.22222222222229</v>
      </c>
      <c r="CR46" s="211">
        <f t="shared" si="50"/>
        <v>632.22222222222229</v>
      </c>
      <c r="CS46" s="211">
        <f t="shared" si="50"/>
        <v>632.22222222222229</v>
      </c>
      <c r="CT46" s="211">
        <f t="shared" si="50"/>
        <v>632.22222222222229</v>
      </c>
      <c r="CU46" s="211">
        <f t="shared" si="50"/>
        <v>632.22222222222229</v>
      </c>
      <c r="CV46" s="211">
        <f t="shared" si="50"/>
        <v>632.22222222222229</v>
      </c>
      <c r="CW46" s="211">
        <f t="shared" si="50"/>
        <v>632.22222222222229</v>
      </c>
      <c r="CX46" s="211">
        <f t="shared" si="50"/>
        <v>632.22222222222229</v>
      </c>
      <c r="CY46" s="211">
        <f t="shared" si="50"/>
        <v>632.22222222222229</v>
      </c>
      <c r="CZ46" s="211">
        <f t="shared" si="50"/>
        <v>0</v>
      </c>
      <c r="DA46" s="211">
        <f t="shared" si="50"/>
        <v>0</v>
      </c>
    </row>
    <row r="47" spans="1:105">
      <c r="A47" s="202" t="str">
        <f>Income!A77</f>
        <v>Wild foods consumed and sold</v>
      </c>
      <c r="F47" s="211">
        <f t="shared" ref="F47:AK47" si="51">IF(F$22&lt;=$E$24,IF(F$22&lt;=$D$24,IF(F$22&lt;=$C$24,IF(F$22&lt;=$B$24,$B113,($C30-$B30)/($C$24-$B$24)),($D30-$C30)/($D$24-$C$24)),($E30-$D30)/($E$24-$D$24)),$F113)</f>
        <v>0</v>
      </c>
      <c r="G47" s="211">
        <f t="shared" si="51"/>
        <v>0</v>
      </c>
      <c r="H47" s="211">
        <f t="shared" si="51"/>
        <v>0</v>
      </c>
      <c r="I47" s="211">
        <f t="shared" si="51"/>
        <v>0</v>
      </c>
      <c r="J47" s="211">
        <f t="shared" si="51"/>
        <v>0</v>
      </c>
      <c r="K47" s="211">
        <f t="shared" si="51"/>
        <v>0</v>
      </c>
      <c r="L47" s="211">
        <f t="shared" si="51"/>
        <v>0</v>
      </c>
      <c r="M47" s="211">
        <f t="shared" si="51"/>
        <v>0</v>
      </c>
      <c r="N47" s="211">
        <f t="shared" si="51"/>
        <v>0</v>
      </c>
      <c r="O47" s="211">
        <f t="shared" si="51"/>
        <v>0</v>
      </c>
      <c r="P47" s="211">
        <f t="shared" si="51"/>
        <v>0</v>
      </c>
      <c r="Q47" s="211">
        <f t="shared" si="51"/>
        <v>0</v>
      </c>
      <c r="R47" s="211">
        <f t="shared" si="51"/>
        <v>0</v>
      </c>
      <c r="S47" s="211">
        <f t="shared" si="51"/>
        <v>0</v>
      </c>
      <c r="T47" s="211">
        <f t="shared" si="51"/>
        <v>0</v>
      </c>
      <c r="U47" s="211">
        <f t="shared" si="51"/>
        <v>0</v>
      </c>
      <c r="V47" s="211">
        <f t="shared" si="51"/>
        <v>0</v>
      </c>
      <c r="W47" s="211">
        <f t="shared" si="51"/>
        <v>0</v>
      </c>
      <c r="X47" s="211">
        <f t="shared" si="51"/>
        <v>0</v>
      </c>
      <c r="Y47" s="211">
        <f t="shared" si="51"/>
        <v>0</v>
      </c>
      <c r="Z47" s="211">
        <f t="shared" si="51"/>
        <v>0</v>
      </c>
      <c r="AA47" s="211">
        <f t="shared" si="51"/>
        <v>0</v>
      </c>
      <c r="AB47" s="211">
        <f t="shared" si="51"/>
        <v>0</v>
      </c>
      <c r="AC47" s="211">
        <f t="shared" si="51"/>
        <v>0</v>
      </c>
      <c r="AD47" s="211">
        <f t="shared" si="51"/>
        <v>0</v>
      </c>
      <c r="AE47" s="211">
        <f t="shared" si="51"/>
        <v>0</v>
      </c>
      <c r="AF47" s="211">
        <f t="shared" si="51"/>
        <v>0</v>
      </c>
      <c r="AG47" s="211">
        <f t="shared" si="51"/>
        <v>0</v>
      </c>
      <c r="AH47" s="211">
        <f t="shared" si="51"/>
        <v>0</v>
      </c>
      <c r="AI47" s="211">
        <f t="shared" si="51"/>
        <v>0</v>
      </c>
      <c r="AJ47" s="211">
        <f t="shared" si="51"/>
        <v>0</v>
      </c>
      <c r="AK47" s="211">
        <f t="shared" si="51"/>
        <v>0</v>
      </c>
      <c r="AL47" s="211">
        <f t="shared" ref="AL47:BQ47" si="52">IF(AL$22&lt;=$E$24,IF(AL$22&lt;=$D$24,IF(AL$22&lt;=$C$24,IF(AL$22&lt;=$B$24,$B113,($C30-$B30)/($C$24-$B$24)),($D30-$C30)/($D$24-$C$24)),($E30-$D30)/($E$24-$D$24)),$F113)</f>
        <v>0</v>
      </c>
      <c r="AM47" s="211">
        <f t="shared" si="52"/>
        <v>0</v>
      </c>
      <c r="AN47" s="211">
        <f t="shared" si="52"/>
        <v>0</v>
      </c>
      <c r="AO47" s="211">
        <f t="shared" si="52"/>
        <v>0</v>
      </c>
      <c r="AP47" s="211">
        <f t="shared" si="52"/>
        <v>0</v>
      </c>
      <c r="AQ47" s="211">
        <f t="shared" si="52"/>
        <v>0</v>
      </c>
      <c r="AR47" s="211">
        <f t="shared" si="52"/>
        <v>0</v>
      </c>
      <c r="AS47" s="211">
        <f t="shared" si="52"/>
        <v>0</v>
      </c>
      <c r="AT47" s="211">
        <f t="shared" si="52"/>
        <v>0</v>
      </c>
      <c r="AU47" s="211">
        <f t="shared" si="52"/>
        <v>0</v>
      </c>
      <c r="AV47" s="211">
        <f t="shared" si="52"/>
        <v>0</v>
      </c>
      <c r="AW47" s="211">
        <f t="shared" si="52"/>
        <v>0</v>
      </c>
      <c r="AX47" s="211">
        <f t="shared" si="52"/>
        <v>0</v>
      </c>
      <c r="AY47" s="211">
        <f t="shared" si="52"/>
        <v>0</v>
      </c>
      <c r="AZ47" s="211">
        <f t="shared" si="52"/>
        <v>0</v>
      </c>
      <c r="BA47" s="211">
        <f t="shared" si="52"/>
        <v>0</v>
      </c>
      <c r="BB47" s="211">
        <f t="shared" si="52"/>
        <v>0</v>
      </c>
      <c r="BC47" s="211">
        <f t="shared" si="52"/>
        <v>0</v>
      </c>
      <c r="BD47" s="211">
        <f t="shared" si="52"/>
        <v>0</v>
      </c>
      <c r="BE47" s="211">
        <f t="shared" si="52"/>
        <v>0</v>
      </c>
      <c r="BF47" s="211">
        <f t="shared" si="52"/>
        <v>0</v>
      </c>
      <c r="BG47" s="211">
        <f t="shared" si="52"/>
        <v>0</v>
      </c>
      <c r="BH47" s="211">
        <f t="shared" si="52"/>
        <v>0</v>
      </c>
      <c r="BI47" s="211">
        <f t="shared" si="52"/>
        <v>0</v>
      </c>
      <c r="BJ47" s="211">
        <f t="shared" si="52"/>
        <v>0</v>
      </c>
      <c r="BK47" s="211">
        <f t="shared" si="52"/>
        <v>0</v>
      </c>
      <c r="BL47" s="211">
        <f t="shared" si="52"/>
        <v>0</v>
      </c>
      <c r="BM47" s="211">
        <f t="shared" si="52"/>
        <v>0</v>
      </c>
      <c r="BN47" s="211">
        <f t="shared" si="52"/>
        <v>0</v>
      </c>
      <c r="BO47" s="211">
        <f t="shared" si="52"/>
        <v>0</v>
      </c>
      <c r="BP47" s="211">
        <f t="shared" si="52"/>
        <v>0</v>
      </c>
      <c r="BQ47" s="211">
        <f t="shared" si="52"/>
        <v>0</v>
      </c>
      <c r="BR47" s="211">
        <f t="shared" ref="BR47:DA47" si="53">IF(BR$22&lt;=$E$24,IF(BR$22&lt;=$D$24,IF(BR$22&lt;=$C$24,IF(BR$22&lt;=$B$24,$B113,($C30-$B30)/($C$24-$B$24)),($D30-$C30)/($D$24-$C$24)),($E30-$D30)/($E$24-$D$24)),$F113)</f>
        <v>0</v>
      </c>
      <c r="BS47" s="211">
        <f t="shared" si="53"/>
        <v>0</v>
      </c>
      <c r="BT47" s="211">
        <f t="shared" si="53"/>
        <v>0</v>
      </c>
      <c r="BU47" s="211">
        <f t="shared" si="53"/>
        <v>0</v>
      </c>
      <c r="BV47" s="211">
        <f t="shared" si="53"/>
        <v>0</v>
      </c>
      <c r="BW47" s="211">
        <f t="shared" si="53"/>
        <v>0</v>
      </c>
      <c r="BX47" s="211">
        <f t="shared" si="53"/>
        <v>0</v>
      </c>
      <c r="BY47" s="211">
        <f t="shared" si="53"/>
        <v>0</v>
      </c>
      <c r="BZ47" s="211">
        <f t="shared" si="53"/>
        <v>0</v>
      </c>
      <c r="CA47" s="211">
        <f t="shared" si="53"/>
        <v>0</v>
      </c>
      <c r="CB47" s="211">
        <f t="shared" si="53"/>
        <v>0</v>
      </c>
      <c r="CC47" s="211">
        <f t="shared" si="53"/>
        <v>0</v>
      </c>
      <c r="CD47" s="211">
        <f t="shared" si="53"/>
        <v>0</v>
      </c>
      <c r="CE47" s="211">
        <f t="shared" si="53"/>
        <v>0</v>
      </c>
      <c r="CF47" s="211">
        <f t="shared" si="53"/>
        <v>0</v>
      </c>
      <c r="CG47" s="211">
        <f t="shared" si="53"/>
        <v>0</v>
      </c>
      <c r="CH47" s="211">
        <f t="shared" si="53"/>
        <v>0</v>
      </c>
      <c r="CI47" s="211">
        <f t="shared" si="53"/>
        <v>0</v>
      </c>
      <c r="CJ47" s="211">
        <f t="shared" si="53"/>
        <v>0</v>
      </c>
      <c r="CK47" s="211">
        <f t="shared" si="53"/>
        <v>0</v>
      </c>
      <c r="CL47" s="211">
        <f t="shared" si="53"/>
        <v>0</v>
      </c>
      <c r="CM47" s="211">
        <f t="shared" si="53"/>
        <v>0</v>
      </c>
      <c r="CN47" s="211">
        <f t="shared" si="53"/>
        <v>0</v>
      </c>
      <c r="CO47" s="211">
        <f t="shared" si="53"/>
        <v>0</v>
      </c>
      <c r="CP47" s="211">
        <f t="shared" si="53"/>
        <v>7.9386569840387606</v>
      </c>
      <c r="CQ47" s="211">
        <f t="shared" si="53"/>
        <v>7.9386569840387606</v>
      </c>
      <c r="CR47" s="211">
        <f t="shared" si="53"/>
        <v>7.9386569840387606</v>
      </c>
      <c r="CS47" s="211">
        <f t="shared" si="53"/>
        <v>7.9386569840387606</v>
      </c>
      <c r="CT47" s="211">
        <f t="shared" si="53"/>
        <v>7.9386569840387606</v>
      </c>
      <c r="CU47" s="211">
        <f t="shared" si="53"/>
        <v>7.9386569840387606</v>
      </c>
      <c r="CV47" s="211">
        <f t="shared" si="53"/>
        <v>7.9386569840387606</v>
      </c>
      <c r="CW47" s="211">
        <f t="shared" si="53"/>
        <v>7.9386569840387606</v>
      </c>
      <c r="CX47" s="211">
        <f t="shared" si="53"/>
        <v>7.9386569840387606</v>
      </c>
      <c r="CY47" s="211">
        <f t="shared" si="53"/>
        <v>7.9386569840387606</v>
      </c>
      <c r="CZ47" s="211">
        <f t="shared" si="53"/>
        <v>52.189999999999884</v>
      </c>
      <c r="DA47" s="211">
        <f t="shared" si="53"/>
        <v>52.189999999999884</v>
      </c>
    </row>
    <row r="48" spans="1:105">
      <c r="A48" s="202" t="str">
        <f>Income!A78</f>
        <v>Labour - casual</v>
      </c>
      <c r="F48" s="211">
        <f t="shared" ref="F48:AK48" si="54">IF(F$22&lt;=$E$24,IF(F$22&lt;=$D$24,IF(F$22&lt;=$C$24,IF(F$22&lt;=$B$24,$B114,($C31-$B31)/($C$24-$B$24)),($D31-$C31)/($D$24-$C$24)),($E31-$D31)/($E$24-$D$24)),$F114)</f>
        <v>0</v>
      </c>
      <c r="G48" s="211">
        <f t="shared" si="54"/>
        <v>0</v>
      </c>
      <c r="H48" s="211">
        <f t="shared" si="54"/>
        <v>0</v>
      </c>
      <c r="I48" s="211">
        <f t="shared" si="54"/>
        <v>0</v>
      </c>
      <c r="J48" s="211">
        <f t="shared" si="54"/>
        <v>0</v>
      </c>
      <c r="K48" s="211">
        <f t="shared" si="54"/>
        <v>0</v>
      </c>
      <c r="L48" s="211">
        <f t="shared" si="54"/>
        <v>0</v>
      </c>
      <c r="M48" s="211">
        <f t="shared" si="54"/>
        <v>0</v>
      </c>
      <c r="N48" s="211">
        <f t="shared" si="54"/>
        <v>0</v>
      </c>
      <c r="O48" s="211">
        <f t="shared" si="54"/>
        <v>0</v>
      </c>
      <c r="P48" s="211">
        <f t="shared" si="54"/>
        <v>0</v>
      </c>
      <c r="Q48" s="211">
        <f t="shared" si="54"/>
        <v>0</v>
      </c>
      <c r="R48" s="211">
        <f t="shared" si="54"/>
        <v>0</v>
      </c>
      <c r="S48" s="211">
        <f t="shared" si="54"/>
        <v>0</v>
      </c>
      <c r="T48" s="211">
        <f t="shared" si="54"/>
        <v>0</v>
      </c>
      <c r="U48" s="211">
        <f t="shared" si="54"/>
        <v>0</v>
      </c>
      <c r="V48" s="211">
        <f t="shared" si="54"/>
        <v>0</v>
      </c>
      <c r="W48" s="211">
        <f t="shared" si="54"/>
        <v>0</v>
      </c>
      <c r="X48" s="211">
        <f t="shared" si="54"/>
        <v>0</v>
      </c>
      <c r="Y48" s="211">
        <f t="shared" si="54"/>
        <v>0</v>
      </c>
      <c r="Z48" s="211">
        <f t="shared" si="54"/>
        <v>0</v>
      </c>
      <c r="AA48" s="211">
        <f t="shared" si="54"/>
        <v>0</v>
      </c>
      <c r="AB48" s="211">
        <f t="shared" si="54"/>
        <v>0</v>
      </c>
      <c r="AC48" s="211">
        <f t="shared" si="54"/>
        <v>0</v>
      </c>
      <c r="AD48" s="211">
        <f t="shared" si="54"/>
        <v>0</v>
      </c>
      <c r="AE48" s="211">
        <f t="shared" si="54"/>
        <v>0</v>
      </c>
      <c r="AF48" s="211">
        <f t="shared" si="54"/>
        <v>40.560359116022099</v>
      </c>
      <c r="AG48" s="211">
        <f t="shared" si="54"/>
        <v>40.560359116022099</v>
      </c>
      <c r="AH48" s="211">
        <f t="shared" si="54"/>
        <v>40.560359116022099</v>
      </c>
      <c r="AI48" s="211">
        <f t="shared" si="54"/>
        <v>40.560359116022099</v>
      </c>
      <c r="AJ48" s="211">
        <f t="shared" si="54"/>
        <v>40.560359116022099</v>
      </c>
      <c r="AK48" s="211">
        <f t="shared" si="54"/>
        <v>40.560359116022099</v>
      </c>
      <c r="AL48" s="211">
        <f t="shared" ref="AL48:BQ48" si="55">IF(AL$22&lt;=$E$24,IF(AL$22&lt;=$D$24,IF(AL$22&lt;=$C$24,IF(AL$22&lt;=$B$24,$B114,($C31-$B31)/($C$24-$B$24)),($D31-$C31)/($D$24-$C$24)),($E31-$D31)/($E$24-$D$24)),$F114)</f>
        <v>40.560359116022099</v>
      </c>
      <c r="AM48" s="211">
        <f t="shared" si="55"/>
        <v>40.560359116022099</v>
      </c>
      <c r="AN48" s="211">
        <f t="shared" si="55"/>
        <v>40.560359116022099</v>
      </c>
      <c r="AO48" s="211">
        <f t="shared" si="55"/>
        <v>40.560359116022099</v>
      </c>
      <c r="AP48" s="211">
        <f t="shared" si="55"/>
        <v>40.560359116022099</v>
      </c>
      <c r="AQ48" s="211">
        <f t="shared" si="55"/>
        <v>40.560359116022099</v>
      </c>
      <c r="AR48" s="211">
        <f t="shared" si="55"/>
        <v>40.560359116022099</v>
      </c>
      <c r="AS48" s="211">
        <f t="shared" si="55"/>
        <v>40.560359116022099</v>
      </c>
      <c r="AT48" s="211">
        <f t="shared" si="55"/>
        <v>40.560359116022099</v>
      </c>
      <c r="AU48" s="211">
        <f t="shared" si="55"/>
        <v>40.560359116022099</v>
      </c>
      <c r="AV48" s="211">
        <f t="shared" si="55"/>
        <v>40.560359116022099</v>
      </c>
      <c r="AW48" s="211">
        <f t="shared" si="55"/>
        <v>40.560359116022099</v>
      </c>
      <c r="AX48" s="211">
        <f t="shared" si="55"/>
        <v>40.560359116022099</v>
      </c>
      <c r="AY48" s="211">
        <f t="shared" si="55"/>
        <v>40.560359116022099</v>
      </c>
      <c r="AZ48" s="211">
        <f t="shared" si="55"/>
        <v>40.560359116022099</v>
      </c>
      <c r="BA48" s="211">
        <f t="shared" si="55"/>
        <v>40.560359116022099</v>
      </c>
      <c r="BB48" s="211">
        <f t="shared" si="55"/>
        <v>40.560359116022099</v>
      </c>
      <c r="BC48" s="211">
        <f t="shared" si="55"/>
        <v>40.560359116022099</v>
      </c>
      <c r="BD48" s="211">
        <f t="shared" si="55"/>
        <v>40.560359116022099</v>
      </c>
      <c r="BE48" s="211">
        <f t="shared" si="55"/>
        <v>40.560359116022099</v>
      </c>
      <c r="BF48" s="211">
        <f t="shared" si="55"/>
        <v>40.560359116022099</v>
      </c>
      <c r="BG48" s="211">
        <f t="shared" si="55"/>
        <v>40.560359116022099</v>
      </c>
      <c r="BH48" s="211">
        <f t="shared" si="55"/>
        <v>40.560359116022099</v>
      </c>
      <c r="BI48" s="211">
        <f t="shared" si="55"/>
        <v>40.560359116022099</v>
      </c>
      <c r="BJ48" s="211">
        <f t="shared" si="55"/>
        <v>40.560359116022099</v>
      </c>
      <c r="BK48" s="211">
        <f t="shared" si="55"/>
        <v>40.560359116022099</v>
      </c>
      <c r="BL48" s="211">
        <f t="shared" si="55"/>
        <v>40.560359116022099</v>
      </c>
      <c r="BM48" s="211">
        <f t="shared" si="55"/>
        <v>40.560359116022099</v>
      </c>
      <c r="BN48" s="211">
        <f t="shared" si="55"/>
        <v>40.560359116022099</v>
      </c>
      <c r="BO48" s="211">
        <f t="shared" si="55"/>
        <v>40.560359116022099</v>
      </c>
      <c r="BP48" s="211">
        <f t="shared" si="55"/>
        <v>40.560359116022099</v>
      </c>
      <c r="BQ48" s="211">
        <f t="shared" si="55"/>
        <v>40.560359116022099</v>
      </c>
      <c r="BR48" s="211">
        <f t="shared" ref="BR48:DA48" si="56">IF(BR$22&lt;=$E$24,IF(BR$22&lt;=$D$24,IF(BR$22&lt;=$C$24,IF(BR$22&lt;=$B$24,$B114,($C31-$B31)/($C$24-$B$24)),($D31-$C31)/($D$24-$C$24)),($E31-$D31)/($E$24-$D$24)),$F114)</f>
        <v>40.560359116022099</v>
      </c>
      <c r="BS48" s="211">
        <f t="shared" si="56"/>
        <v>40.560359116022099</v>
      </c>
      <c r="BT48" s="211">
        <f t="shared" si="56"/>
        <v>-38.685082872928177</v>
      </c>
      <c r="BU48" s="211">
        <f t="shared" si="56"/>
        <v>-38.685082872928177</v>
      </c>
      <c r="BV48" s="211">
        <f t="shared" si="56"/>
        <v>-38.685082872928177</v>
      </c>
      <c r="BW48" s="211">
        <f t="shared" si="56"/>
        <v>-38.685082872928177</v>
      </c>
      <c r="BX48" s="211">
        <f t="shared" si="56"/>
        <v>-38.685082872928177</v>
      </c>
      <c r="BY48" s="211">
        <f t="shared" si="56"/>
        <v>-38.685082872928177</v>
      </c>
      <c r="BZ48" s="211">
        <f t="shared" si="56"/>
        <v>-38.685082872928177</v>
      </c>
      <c r="CA48" s="211">
        <f t="shared" si="56"/>
        <v>-38.685082872928177</v>
      </c>
      <c r="CB48" s="211">
        <f t="shared" si="56"/>
        <v>-38.685082872928177</v>
      </c>
      <c r="CC48" s="211">
        <f t="shared" si="56"/>
        <v>-38.685082872928177</v>
      </c>
      <c r="CD48" s="211">
        <f t="shared" si="56"/>
        <v>-38.685082872928177</v>
      </c>
      <c r="CE48" s="211">
        <f t="shared" si="56"/>
        <v>-38.685082872928177</v>
      </c>
      <c r="CF48" s="211">
        <f t="shared" si="56"/>
        <v>-38.685082872928177</v>
      </c>
      <c r="CG48" s="211">
        <f t="shared" si="56"/>
        <v>-38.685082872928177</v>
      </c>
      <c r="CH48" s="211">
        <f t="shared" si="56"/>
        <v>-38.685082872928177</v>
      </c>
      <c r="CI48" s="211">
        <f t="shared" si="56"/>
        <v>-38.685082872928177</v>
      </c>
      <c r="CJ48" s="211">
        <f t="shared" si="56"/>
        <v>-38.685082872928177</v>
      </c>
      <c r="CK48" s="211">
        <f t="shared" si="56"/>
        <v>-38.685082872928177</v>
      </c>
      <c r="CL48" s="211">
        <f t="shared" si="56"/>
        <v>-38.685082872928177</v>
      </c>
      <c r="CM48" s="211">
        <f t="shared" si="56"/>
        <v>-38.685082872928177</v>
      </c>
      <c r="CN48" s="211">
        <f t="shared" si="56"/>
        <v>-38.685082872928177</v>
      </c>
      <c r="CO48" s="211">
        <f t="shared" si="56"/>
        <v>-38.685082872928177</v>
      </c>
      <c r="CP48" s="211">
        <f t="shared" si="56"/>
        <v>-75.2</v>
      </c>
      <c r="CQ48" s="211">
        <f t="shared" si="56"/>
        <v>-75.2</v>
      </c>
      <c r="CR48" s="211">
        <f t="shared" si="56"/>
        <v>-75.2</v>
      </c>
      <c r="CS48" s="211">
        <f t="shared" si="56"/>
        <v>-75.2</v>
      </c>
      <c r="CT48" s="211">
        <f t="shared" si="56"/>
        <v>-75.2</v>
      </c>
      <c r="CU48" s="211">
        <f t="shared" si="56"/>
        <v>-75.2</v>
      </c>
      <c r="CV48" s="211">
        <f t="shared" si="56"/>
        <v>-75.2</v>
      </c>
      <c r="CW48" s="211">
        <f t="shared" si="56"/>
        <v>-75.2</v>
      </c>
      <c r="CX48" s="211">
        <f t="shared" si="56"/>
        <v>-75.2</v>
      </c>
      <c r="CY48" s="211">
        <f t="shared" si="56"/>
        <v>-75.2</v>
      </c>
      <c r="CZ48" s="211">
        <f t="shared" si="56"/>
        <v>0</v>
      </c>
      <c r="DA48" s="211">
        <f t="shared" si="56"/>
        <v>0</v>
      </c>
    </row>
    <row r="49" spans="1:105">
      <c r="A49" s="202" t="str">
        <f>Income!A79</f>
        <v>Labour - formal emp</v>
      </c>
      <c r="F49" s="211">
        <f t="shared" ref="F49:AK49" si="57">IF(F$22&lt;=$E$24,IF(F$22&lt;=$D$24,IF(F$22&lt;=$C$24,IF(F$22&lt;=$B$24,$B115,($C32-$B32)/($C$24-$B$24)),($D32-$C32)/($D$24-$C$24)),($E32-$D32)/($E$24-$D$24)),$F115)</f>
        <v>0</v>
      </c>
      <c r="G49" s="211">
        <f t="shared" si="57"/>
        <v>0</v>
      </c>
      <c r="H49" s="211">
        <f t="shared" si="57"/>
        <v>0</v>
      </c>
      <c r="I49" s="211">
        <f t="shared" si="57"/>
        <v>0</v>
      </c>
      <c r="J49" s="211">
        <f t="shared" si="57"/>
        <v>0</v>
      </c>
      <c r="K49" s="211">
        <f t="shared" si="57"/>
        <v>0</v>
      </c>
      <c r="L49" s="211">
        <f t="shared" si="57"/>
        <v>0</v>
      </c>
      <c r="M49" s="211">
        <f t="shared" si="57"/>
        <v>0</v>
      </c>
      <c r="N49" s="211">
        <f t="shared" si="57"/>
        <v>0</v>
      </c>
      <c r="O49" s="211">
        <f t="shared" si="57"/>
        <v>0</v>
      </c>
      <c r="P49" s="211">
        <f t="shared" si="57"/>
        <v>0</v>
      </c>
      <c r="Q49" s="211">
        <f t="shared" si="57"/>
        <v>0</v>
      </c>
      <c r="R49" s="211">
        <f t="shared" si="57"/>
        <v>0</v>
      </c>
      <c r="S49" s="211">
        <f t="shared" si="57"/>
        <v>0</v>
      </c>
      <c r="T49" s="211">
        <f t="shared" si="57"/>
        <v>0</v>
      </c>
      <c r="U49" s="211">
        <f t="shared" si="57"/>
        <v>0</v>
      </c>
      <c r="V49" s="211">
        <f t="shared" si="57"/>
        <v>0</v>
      </c>
      <c r="W49" s="211">
        <f t="shared" si="57"/>
        <v>0</v>
      </c>
      <c r="X49" s="211">
        <f t="shared" si="57"/>
        <v>0</v>
      </c>
      <c r="Y49" s="211">
        <f t="shared" si="57"/>
        <v>0</v>
      </c>
      <c r="Z49" s="211">
        <f t="shared" si="57"/>
        <v>0</v>
      </c>
      <c r="AA49" s="211">
        <f t="shared" si="57"/>
        <v>0</v>
      </c>
      <c r="AB49" s="211">
        <f t="shared" si="57"/>
        <v>0</v>
      </c>
      <c r="AC49" s="211">
        <f t="shared" si="57"/>
        <v>0</v>
      </c>
      <c r="AD49" s="211">
        <f t="shared" si="57"/>
        <v>0</v>
      </c>
      <c r="AE49" s="211">
        <f t="shared" si="57"/>
        <v>0</v>
      </c>
      <c r="AF49" s="211">
        <f t="shared" si="57"/>
        <v>0</v>
      </c>
      <c r="AG49" s="211">
        <f t="shared" si="57"/>
        <v>0</v>
      </c>
      <c r="AH49" s="211">
        <f t="shared" si="57"/>
        <v>0</v>
      </c>
      <c r="AI49" s="211">
        <f t="shared" si="57"/>
        <v>0</v>
      </c>
      <c r="AJ49" s="211">
        <f t="shared" si="57"/>
        <v>0</v>
      </c>
      <c r="AK49" s="211">
        <f t="shared" si="57"/>
        <v>0</v>
      </c>
      <c r="AL49" s="211">
        <f t="shared" ref="AL49:BQ49" si="58">IF(AL$22&lt;=$E$24,IF(AL$22&lt;=$D$24,IF(AL$22&lt;=$C$24,IF(AL$22&lt;=$B$24,$B115,($C32-$B32)/($C$24-$B$24)),($D32-$C32)/($D$24-$C$24)),($E32-$D32)/($E$24-$D$24)),$F115)</f>
        <v>0</v>
      </c>
      <c r="AM49" s="211">
        <f t="shared" si="58"/>
        <v>0</v>
      </c>
      <c r="AN49" s="211">
        <f t="shared" si="58"/>
        <v>0</v>
      </c>
      <c r="AO49" s="211">
        <f t="shared" si="58"/>
        <v>0</v>
      </c>
      <c r="AP49" s="211">
        <f t="shared" si="58"/>
        <v>0</v>
      </c>
      <c r="AQ49" s="211">
        <f t="shared" si="58"/>
        <v>0</v>
      </c>
      <c r="AR49" s="211">
        <f t="shared" si="58"/>
        <v>0</v>
      </c>
      <c r="AS49" s="211">
        <f t="shared" si="58"/>
        <v>0</v>
      </c>
      <c r="AT49" s="211">
        <f t="shared" si="58"/>
        <v>0</v>
      </c>
      <c r="AU49" s="211">
        <f t="shared" si="58"/>
        <v>0</v>
      </c>
      <c r="AV49" s="211">
        <f t="shared" si="58"/>
        <v>0</v>
      </c>
      <c r="AW49" s="211">
        <f t="shared" si="58"/>
        <v>0</v>
      </c>
      <c r="AX49" s="211">
        <f t="shared" si="58"/>
        <v>0</v>
      </c>
      <c r="AY49" s="211">
        <f t="shared" si="58"/>
        <v>0</v>
      </c>
      <c r="AZ49" s="211">
        <f t="shared" si="58"/>
        <v>0</v>
      </c>
      <c r="BA49" s="211">
        <f t="shared" si="58"/>
        <v>0</v>
      </c>
      <c r="BB49" s="211">
        <f t="shared" si="58"/>
        <v>0</v>
      </c>
      <c r="BC49" s="211">
        <f t="shared" si="58"/>
        <v>0</v>
      </c>
      <c r="BD49" s="211">
        <f t="shared" si="58"/>
        <v>0</v>
      </c>
      <c r="BE49" s="211">
        <f t="shared" si="58"/>
        <v>0</v>
      </c>
      <c r="BF49" s="211">
        <f t="shared" si="58"/>
        <v>0</v>
      </c>
      <c r="BG49" s="211">
        <f t="shared" si="58"/>
        <v>0</v>
      </c>
      <c r="BH49" s="211">
        <f t="shared" si="58"/>
        <v>0</v>
      </c>
      <c r="BI49" s="211">
        <f t="shared" si="58"/>
        <v>0</v>
      </c>
      <c r="BJ49" s="211">
        <f t="shared" si="58"/>
        <v>0</v>
      </c>
      <c r="BK49" s="211">
        <f t="shared" si="58"/>
        <v>0</v>
      </c>
      <c r="BL49" s="211">
        <f t="shared" si="58"/>
        <v>0</v>
      </c>
      <c r="BM49" s="211">
        <f t="shared" si="58"/>
        <v>0</v>
      </c>
      <c r="BN49" s="211">
        <f t="shared" si="58"/>
        <v>0</v>
      </c>
      <c r="BO49" s="211">
        <f t="shared" si="58"/>
        <v>0</v>
      </c>
      <c r="BP49" s="211">
        <f t="shared" si="58"/>
        <v>0</v>
      </c>
      <c r="BQ49" s="211">
        <f t="shared" si="58"/>
        <v>0</v>
      </c>
      <c r="BR49" s="211">
        <f t="shared" ref="BR49:DA49" si="59">IF(BR$22&lt;=$E$24,IF(BR$22&lt;=$D$24,IF(BR$22&lt;=$C$24,IF(BR$22&lt;=$B$24,$B115,($C32-$B32)/($C$24-$B$24)),($D32-$C32)/($D$24-$C$24)),($E32-$D32)/($E$24-$D$24)),$F115)</f>
        <v>0</v>
      </c>
      <c r="BS49" s="211">
        <f t="shared" si="59"/>
        <v>0</v>
      </c>
      <c r="BT49" s="211">
        <f t="shared" si="59"/>
        <v>0</v>
      </c>
      <c r="BU49" s="211">
        <f t="shared" si="59"/>
        <v>0</v>
      </c>
      <c r="BV49" s="211">
        <f t="shared" si="59"/>
        <v>0</v>
      </c>
      <c r="BW49" s="211">
        <f t="shared" si="59"/>
        <v>0</v>
      </c>
      <c r="BX49" s="211">
        <f t="shared" si="59"/>
        <v>0</v>
      </c>
      <c r="BY49" s="211">
        <f t="shared" si="59"/>
        <v>0</v>
      </c>
      <c r="BZ49" s="211">
        <f t="shared" si="59"/>
        <v>0</v>
      </c>
      <c r="CA49" s="211">
        <f t="shared" si="59"/>
        <v>0</v>
      </c>
      <c r="CB49" s="211">
        <f t="shared" si="59"/>
        <v>0</v>
      </c>
      <c r="CC49" s="211">
        <f t="shared" si="59"/>
        <v>0</v>
      </c>
      <c r="CD49" s="211">
        <f t="shared" si="59"/>
        <v>0</v>
      </c>
      <c r="CE49" s="211">
        <f t="shared" si="59"/>
        <v>0</v>
      </c>
      <c r="CF49" s="211">
        <f t="shared" si="59"/>
        <v>0</v>
      </c>
      <c r="CG49" s="211">
        <f t="shared" si="59"/>
        <v>0</v>
      </c>
      <c r="CH49" s="211">
        <f t="shared" si="59"/>
        <v>0</v>
      </c>
      <c r="CI49" s="211">
        <f t="shared" si="59"/>
        <v>0</v>
      </c>
      <c r="CJ49" s="211">
        <f t="shared" si="59"/>
        <v>0</v>
      </c>
      <c r="CK49" s="211">
        <f t="shared" si="59"/>
        <v>0</v>
      </c>
      <c r="CL49" s="211">
        <f t="shared" si="59"/>
        <v>0</v>
      </c>
      <c r="CM49" s="211">
        <f t="shared" si="59"/>
        <v>0</v>
      </c>
      <c r="CN49" s="211">
        <f t="shared" si="59"/>
        <v>0</v>
      </c>
      <c r="CO49" s="211">
        <f t="shared" si="59"/>
        <v>0</v>
      </c>
      <c r="CP49" s="211">
        <f t="shared" si="59"/>
        <v>3089.7777777777778</v>
      </c>
      <c r="CQ49" s="211">
        <f t="shared" si="59"/>
        <v>3089.7777777777778</v>
      </c>
      <c r="CR49" s="211">
        <f t="shared" si="59"/>
        <v>3089.7777777777778</v>
      </c>
      <c r="CS49" s="211">
        <f t="shared" si="59"/>
        <v>3089.7777777777778</v>
      </c>
      <c r="CT49" s="211">
        <f t="shared" si="59"/>
        <v>3089.7777777777778</v>
      </c>
      <c r="CU49" s="211">
        <f t="shared" si="59"/>
        <v>3089.7777777777778</v>
      </c>
      <c r="CV49" s="211">
        <f t="shared" si="59"/>
        <v>3089.7777777777778</v>
      </c>
      <c r="CW49" s="211">
        <f t="shared" si="59"/>
        <v>3089.7777777777778</v>
      </c>
      <c r="CX49" s="211">
        <f t="shared" si="59"/>
        <v>3089.7777777777778</v>
      </c>
      <c r="CY49" s="211">
        <f t="shared" si="59"/>
        <v>3089.7777777777778</v>
      </c>
      <c r="CZ49" s="211">
        <f t="shared" si="59"/>
        <v>2671.7</v>
      </c>
      <c r="DA49" s="211">
        <f t="shared" si="59"/>
        <v>2671.7</v>
      </c>
    </row>
    <row r="50" spans="1:105">
      <c r="A50" s="202" t="str">
        <f>Income!A81</f>
        <v>Self - employment</v>
      </c>
      <c r="F50" s="211">
        <f t="shared" ref="F50:AK50" si="60">IF(F$22&lt;=$E$24,IF(F$22&lt;=$D$24,IF(F$22&lt;=$C$24,IF(F$22&lt;=$B$24,$B116,($C33-$B33)/($C$24-$B$24)),($D33-$C33)/($D$24-$C$24)),($E33-$D33)/($E$24-$D$24)),$F116)</f>
        <v>0</v>
      </c>
      <c r="G50" s="211">
        <f t="shared" si="60"/>
        <v>0</v>
      </c>
      <c r="H50" s="211">
        <f t="shared" si="60"/>
        <v>0</v>
      </c>
      <c r="I50" s="211">
        <f t="shared" si="60"/>
        <v>0</v>
      </c>
      <c r="J50" s="211">
        <f t="shared" si="60"/>
        <v>0</v>
      </c>
      <c r="K50" s="211">
        <f t="shared" si="60"/>
        <v>0</v>
      </c>
      <c r="L50" s="211">
        <f t="shared" si="60"/>
        <v>0</v>
      </c>
      <c r="M50" s="211">
        <f t="shared" si="60"/>
        <v>0</v>
      </c>
      <c r="N50" s="211">
        <f t="shared" si="60"/>
        <v>0</v>
      </c>
      <c r="O50" s="211">
        <f t="shared" si="60"/>
        <v>0</v>
      </c>
      <c r="P50" s="211">
        <f t="shared" si="60"/>
        <v>0</v>
      </c>
      <c r="Q50" s="211">
        <f t="shared" si="60"/>
        <v>0</v>
      </c>
      <c r="R50" s="211">
        <f t="shared" si="60"/>
        <v>0</v>
      </c>
      <c r="S50" s="211">
        <f t="shared" si="60"/>
        <v>0</v>
      </c>
      <c r="T50" s="211">
        <f t="shared" si="60"/>
        <v>0</v>
      </c>
      <c r="U50" s="211">
        <f t="shared" si="60"/>
        <v>0</v>
      </c>
      <c r="V50" s="211">
        <f t="shared" si="60"/>
        <v>0</v>
      </c>
      <c r="W50" s="211">
        <f t="shared" si="60"/>
        <v>0</v>
      </c>
      <c r="X50" s="211">
        <f t="shared" si="60"/>
        <v>0</v>
      </c>
      <c r="Y50" s="211">
        <f t="shared" si="60"/>
        <v>0</v>
      </c>
      <c r="Z50" s="211">
        <f t="shared" si="60"/>
        <v>0</v>
      </c>
      <c r="AA50" s="211">
        <f t="shared" si="60"/>
        <v>0</v>
      </c>
      <c r="AB50" s="211">
        <f t="shared" si="60"/>
        <v>0</v>
      </c>
      <c r="AC50" s="211">
        <f t="shared" si="60"/>
        <v>0</v>
      </c>
      <c r="AD50" s="211">
        <f t="shared" si="60"/>
        <v>0</v>
      </c>
      <c r="AE50" s="211">
        <f t="shared" si="60"/>
        <v>0</v>
      </c>
      <c r="AF50" s="211">
        <f t="shared" si="60"/>
        <v>0</v>
      </c>
      <c r="AG50" s="211">
        <f t="shared" si="60"/>
        <v>0</v>
      </c>
      <c r="AH50" s="211">
        <f t="shared" si="60"/>
        <v>0</v>
      </c>
      <c r="AI50" s="211">
        <f t="shared" si="60"/>
        <v>0</v>
      </c>
      <c r="AJ50" s="211">
        <f t="shared" si="60"/>
        <v>0</v>
      </c>
      <c r="AK50" s="211">
        <f t="shared" si="60"/>
        <v>0</v>
      </c>
      <c r="AL50" s="211">
        <f t="shared" ref="AL50:BQ50" si="61">IF(AL$22&lt;=$E$24,IF(AL$22&lt;=$D$24,IF(AL$22&lt;=$C$24,IF(AL$22&lt;=$B$24,$B116,($C33-$B33)/($C$24-$B$24)),($D33-$C33)/($D$24-$C$24)),($E33-$D33)/($E$24-$D$24)),$F116)</f>
        <v>0</v>
      </c>
      <c r="AM50" s="211">
        <f t="shared" si="61"/>
        <v>0</v>
      </c>
      <c r="AN50" s="211">
        <f t="shared" si="61"/>
        <v>0</v>
      </c>
      <c r="AO50" s="211">
        <f t="shared" si="61"/>
        <v>0</v>
      </c>
      <c r="AP50" s="211">
        <f t="shared" si="61"/>
        <v>0</v>
      </c>
      <c r="AQ50" s="211">
        <f t="shared" si="61"/>
        <v>0</v>
      </c>
      <c r="AR50" s="211">
        <f t="shared" si="61"/>
        <v>0</v>
      </c>
      <c r="AS50" s="211">
        <f t="shared" si="61"/>
        <v>0</v>
      </c>
      <c r="AT50" s="211">
        <f t="shared" si="61"/>
        <v>0</v>
      </c>
      <c r="AU50" s="211">
        <f t="shared" si="61"/>
        <v>0</v>
      </c>
      <c r="AV50" s="211">
        <f t="shared" si="61"/>
        <v>0</v>
      </c>
      <c r="AW50" s="211">
        <f t="shared" si="61"/>
        <v>0</v>
      </c>
      <c r="AX50" s="211">
        <f t="shared" si="61"/>
        <v>0</v>
      </c>
      <c r="AY50" s="211">
        <f t="shared" si="61"/>
        <v>0</v>
      </c>
      <c r="AZ50" s="211">
        <f t="shared" si="61"/>
        <v>0</v>
      </c>
      <c r="BA50" s="211">
        <f t="shared" si="61"/>
        <v>0</v>
      </c>
      <c r="BB50" s="211">
        <f t="shared" si="61"/>
        <v>0</v>
      </c>
      <c r="BC50" s="211">
        <f t="shared" si="61"/>
        <v>0</v>
      </c>
      <c r="BD50" s="211">
        <f t="shared" si="61"/>
        <v>0</v>
      </c>
      <c r="BE50" s="211">
        <f t="shared" si="61"/>
        <v>0</v>
      </c>
      <c r="BF50" s="211">
        <f t="shared" si="61"/>
        <v>0</v>
      </c>
      <c r="BG50" s="211">
        <f t="shared" si="61"/>
        <v>0</v>
      </c>
      <c r="BH50" s="211">
        <f t="shared" si="61"/>
        <v>0</v>
      </c>
      <c r="BI50" s="211">
        <f t="shared" si="61"/>
        <v>0</v>
      </c>
      <c r="BJ50" s="211">
        <f t="shared" si="61"/>
        <v>0</v>
      </c>
      <c r="BK50" s="211">
        <f t="shared" si="61"/>
        <v>0</v>
      </c>
      <c r="BL50" s="211">
        <f t="shared" si="61"/>
        <v>0</v>
      </c>
      <c r="BM50" s="211">
        <f t="shared" si="61"/>
        <v>0</v>
      </c>
      <c r="BN50" s="211">
        <f t="shared" si="61"/>
        <v>0</v>
      </c>
      <c r="BO50" s="211">
        <f t="shared" si="61"/>
        <v>0</v>
      </c>
      <c r="BP50" s="211">
        <f t="shared" si="61"/>
        <v>0</v>
      </c>
      <c r="BQ50" s="211">
        <f t="shared" si="61"/>
        <v>0</v>
      </c>
      <c r="BR50" s="211">
        <f t="shared" ref="BR50:DA50" si="62">IF(BR$22&lt;=$E$24,IF(BR$22&lt;=$D$24,IF(BR$22&lt;=$C$24,IF(BR$22&lt;=$B$24,$B116,($C33-$B33)/($C$24-$B$24)),($D33-$C33)/($D$24-$C$24)),($E33-$D33)/($E$24-$D$24)),$F116)</f>
        <v>0</v>
      </c>
      <c r="BS50" s="211">
        <f t="shared" si="62"/>
        <v>0</v>
      </c>
      <c r="BT50" s="211">
        <f t="shared" si="62"/>
        <v>19.066666666666666</v>
      </c>
      <c r="BU50" s="211">
        <f t="shared" si="62"/>
        <v>19.066666666666666</v>
      </c>
      <c r="BV50" s="211">
        <f t="shared" si="62"/>
        <v>19.066666666666666</v>
      </c>
      <c r="BW50" s="211">
        <f t="shared" si="62"/>
        <v>19.066666666666666</v>
      </c>
      <c r="BX50" s="211">
        <f t="shared" si="62"/>
        <v>19.066666666666666</v>
      </c>
      <c r="BY50" s="211">
        <f t="shared" si="62"/>
        <v>19.066666666666666</v>
      </c>
      <c r="BZ50" s="211">
        <f t="shared" si="62"/>
        <v>19.066666666666666</v>
      </c>
      <c r="CA50" s="211">
        <f t="shared" si="62"/>
        <v>19.066666666666666</v>
      </c>
      <c r="CB50" s="211">
        <f t="shared" si="62"/>
        <v>19.066666666666666</v>
      </c>
      <c r="CC50" s="211">
        <f t="shared" si="62"/>
        <v>19.066666666666666</v>
      </c>
      <c r="CD50" s="211">
        <f t="shared" si="62"/>
        <v>19.066666666666666</v>
      </c>
      <c r="CE50" s="211">
        <f t="shared" si="62"/>
        <v>19.066666666666666</v>
      </c>
      <c r="CF50" s="211">
        <f t="shared" si="62"/>
        <v>19.066666666666666</v>
      </c>
      <c r="CG50" s="211">
        <f t="shared" si="62"/>
        <v>19.066666666666666</v>
      </c>
      <c r="CH50" s="211">
        <f t="shared" si="62"/>
        <v>19.066666666666666</v>
      </c>
      <c r="CI50" s="211">
        <f t="shared" si="62"/>
        <v>19.066666666666666</v>
      </c>
      <c r="CJ50" s="211">
        <f t="shared" si="62"/>
        <v>19.066666666666666</v>
      </c>
      <c r="CK50" s="211">
        <f t="shared" si="62"/>
        <v>19.066666666666666</v>
      </c>
      <c r="CL50" s="211">
        <f t="shared" si="62"/>
        <v>19.066666666666666</v>
      </c>
      <c r="CM50" s="211">
        <f t="shared" si="62"/>
        <v>19.066666666666666</v>
      </c>
      <c r="CN50" s="211">
        <f t="shared" si="62"/>
        <v>19.066666666666666</v>
      </c>
      <c r="CO50" s="211">
        <f t="shared" si="62"/>
        <v>19.066666666666666</v>
      </c>
      <c r="CP50" s="211">
        <f t="shared" si="62"/>
        <v>-42.9</v>
      </c>
      <c r="CQ50" s="211">
        <f t="shared" si="62"/>
        <v>-42.9</v>
      </c>
      <c r="CR50" s="211">
        <f t="shared" si="62"/>
        <v>-42.9</v>
      </c>
      <c r="CS50" s="211">
        <f t="shared" si="62"/>
        <v>-42.9</v>
      </c>
      <c r="CT50" s="211">
        <f t="shared" si="62"/>
        <v>-42.9</v>
      </c>
      <c r="CU50" s="211">
        <f t="shared" si="62"/>
        <v>-42.9</v>
      </c>
      <c r="CV50" s="211">
        <f t="shared" si="62"/>
        <v>-42.9</v>
      </c>
      <c r="CW50" s="211">
        <f t="shared" si="62"/>
        <v>-42.9</v>
      </c>
      <c r="CX50" s="211">
        <f t="shared" si="62"/>
        <v>-42.9</v>
      </c>
      <c r="CY50" s="211">
        <f t="shared" si="62"/>
        <v>-42.9</v>
      </c>
      <c r="CZ50" s="211">
        <f t="shared" si="62"/>
        <v>829.53</v>
      </c>
      <c r="DA50" s="211">
        <f t="shared" si="62"/>
        <v>829.53</v>
      </c>
    </row>
    <row r="51" spans="1:105">
      <c r="A51" s="202" t="str">
        <f>Income!A82</f>
        <v>Small business/petty trading</v>
      </c>
      <c r="F51" s="211">
        <f t="shared" ref="F51:AK51" si="63">IF(F$22&lt;=$E$24,IF(F$22&lt;=$D$24,IF(F$22&lt;=$C$24,IF(F$22&lt;=$B$24,$B117,($C34-$B34)/($C$24-$B$24)),($D34-$C34)/($D$24-$C$24)),($E34-$D34)/($E$24-$D$24)),$F117)</f>
        <v>0</v>
      </c>
      <c r="G51" s="211">
        <f t="shared" si="63"/>
        <v>0</v>
      </c>
      <c r="H51" s="211">
        <f t="shared" si="63"/>
        <v>0</v>
      </c>
      <c r="I51" s="211">
        <f t="shared" si="63"/>
        <v>0</v>
      </c>
      <c r="J51" s="211">
        <f t="shared" si="63"/>
        <v>0</v>
      </c>
      <c r="K51" s="211">
        <f t="shared" si="63"/>
        <v>0</v>
      </c>
      <c r="L51" s="211">
        <f t="shared" si="63"/>
        <v>0</v>
      </c>
      <c r="M51" s="211">
        <f t="shared" si="63"/>
        <v>0</v>
      </c>
      <c r="N51" s="211">
        <f t="shared" si="63"/>
        <v>0</v>
      </c>
      <c r="O51" s="211">
        <f t="shared" si="63"/>
        <v>0</v>
      </c>
      <c r="P51" s="211">
        <f t="shared" si="63"/>
        <v>0</v>
      </c>
      <c r="Q51" s="211">
        <f t="shared" si="63"/>
        <v>0</v>
      </c>
      <c r="R51" s="211">
        <f t="shared" si="63"/>
        <v>0</v>
      </c>
      <c r="S51" s="211">
        <f t="shared" si="63"/>
        <v>0</v>
      </c>
      <c r="T51" s="211">
        <f t="shared" si="63"/>
        <v>0</v>
      </c>
      <c r="U51" s="211">
        <f t="shared" si="63"/>
        <v>0</v>
      </c>
      <c r="V51" s="211">
        <f t="shared" si="63"/>
        <v>0</v>
      </c>
      <c r="W51" s="211">
        <f t="shared" si="63"/>
        <v>0</v>
      </c>
      <c r="X51" s="211">
        <f t="shared" si="63"/>
        <v>0</v>
      </c>
      <c r="Y51" s="211">
        <f t="shared" si="63"/>
        <v>0</v>
      </c>
      <c r="Z51" s="211">
        <f t="shared" si="63"/>
        <v>0</v>
      </c>
      <c r="AA51" s="211">
        <f t="shared" si="63"/>
        <v>0</v>
      </c>
      <c r="AB51" s="211">
        <f t="shared" si="63"/>
        <v>0</v>
      </c>
      <c r="AC51" s="211">
        <f t="shared" si="63"/>
        <v>0</v>
      </c>
      <c r="AD51" s="211">
        <f t="shared" si="63"/>
        <v>0</v>
      </c>
      <c r="AE51" s="211">
        <f t="shared" si="63"/>
        <v>0</v>
      </c>
      <c r="AF51" s="211">
        <f t="shared" si="63"/>
        <v>0</v>
      </c>
      <c r="AG51" s="211">
        <f t="shared" si="63"/>
        <v>0</v>
      </c>
      <c r="AH51" s="211">
        <f t="shared" si="63"/>
        <v>0</v>
      </c>
      <c r="AI51" s="211">
        <f t="shared" si="63"/>
        <v>0</v>
      </c>
      <c r="AJ51" s="211">
        <f t="shared" si="63"/>
        <v>0</v>
      </c>
      <c r="AK51" s="211">
        <f t="shared" si="63"/>
        <v>0</v>
      </c>
      <c r="AL51" s="211">
        <f t="shared" ref="AL51:BQ51" si="64">IF(AL$22&lt;=$E$24,IF(AL$22&lt;=$D$24,IF(AL$22&lt;=$C$24,IF(AL$22&lt;=$B$24,$B117,($C34-$B34)/($C$24-$B$24)),($D34-$C34)/($D$24-$C$24)),($E34-$D34)/($E$24-$D$24)),$F117)</f>
        <v>0</v>
      </c>
      <c r="AM51" s="211">
        <f t="shared" si="64"/>
        <v>0</v>
      </c>
      <c r="AN51" s="211">
        <f t="shared" si="64"/>
        <v>0</v>
      </c>
      <c r="AO51" s="211">
        <f t="shared" si="64"/>
        <v>0</v>
      </c>
      <c r="AP51" s="211">
        <f t="shared" si="64"/>
        <v>0</v>
      </c>
      <c r="AQ51" s="211">
        <f t="shared" si="64"/>
        <v>0</v>
      </c>
      <c r="AR51" s="211">
        <f t="shared" si="64"/>
        <v>0</v>
      </c>
      <c r="AS51" s="211">
        <f t="shared" si="64"/>
        <v>0</v>
      </c>
      <c r="AT51" s="211">
        <f t="shared" si="64"/>
        <v>0</v>
      </c>
      <c r="AU51" s="211">
        <f t="shared" si="64"/>
        <v>0</v>
      </c>
      <c r="AV51" s="211">
        <f t="shared" si="64"/>
        <v>0</v>
      </c>
      <c r="AW51" s="211">
        <f t="shared" si="64"/>
        <v>0</v>
      </c>
      <c r="AX51" s="211">
        <f t="shared" si="64"/>
        <v>0</v>
      </c>
      <c r="AY51" s="211">
        <f t="shared" si="64"/>
        <v>0</v>
      </c>
      <c r="AZ51" s="211">
        <f t="shared" si="64"/>
        <v>0</v>
      </c>
      <c r="BA51" s="211">
        <f t="shared" si="64"/>
        <v>0</v>
      </c>
      <c r="BB51" s="211">
        <f t="shared" si="64"/>
        <v>0</v>
      </c>
      <c r="BC51" s="211">
        <f t="shared" si="64"/>
        <v>0</v>
      </c>
      <c r="BD51" s="211">
        <f t="shared" si="64"/>
        <v>0</v>
      </c>
      <c r="BE51" s="211">
        <f t="shared" si="64"/>
        <v>0</v>
      </c>
      <c r="BF51" s="211">
        <f t="shared" si="64"/>
        <v>0</v>
      </c>
      <c r="BG51" s="211">
        <f t="shared" si="64"/>
        <v>0</v>
      </c>
      <c r="BH51" s="211">
        <f t="shared" si="64"/>
        <v>0</v>
      </c>
      <c r="BI51" s="211">
        <f t="shared" si="64"/>
        <v>0</v>
      </c>
      <c r="BJ51" s="211">
        <f t="shared" si="64"/>
        <v>0</v>
      </c>
      <c r="BK51" s="211">
        <f t="shared" si="64"/>
        <v>0</v>
      </c>
      <c r="BL51" s="211">
        <f t="shared" si="64"/>
        <v>0</v>
      </c>
      <c r="BM51" s="211">
        <f t="shared" si="64"/>
        <v>0</v>
      </c>
      <c r="BN51" s="211">
        <f t="shared" si="64"/>
        <v>0</v>
      </c>
      <c r="BO51" s="211">
        <f t="shared" si="64"/>
        <v>0</v>
      </c>
      <c r="BP51" s="211">
        <f t="shared" si="64"/>
        <v>0</v>
      </c>
      <c r="BQ51" s="211">
        <f t="shared" si="64"/>
        <v>0</v>
      </c>
      <c r="BR51" s="211">
        <f t="shared" ref="BR51:DA51" si="65">IF(BR$22&lt;=$E$24,IF(BR$22&lt;=$D$24,IF(BR$22&lt;=$C$24,IF(BR$22&lt;=$B$24,$B117,($C34-$B34)/($C$24-$B$24)),($D34-$C34)/($D$24-$C$24)),($E34-$D34)/($E$24-$D$24)),$F117)</f>
        <v>0</v>
      </c>
      <c r="BS51" s="211">
        <f t="shared" si="65"/>
        <v>0</v>
      </c>
      <c r="BT51" s="211">
        <f t="shared" si="65"/>
        <v>96</v>
      </c>
      <c r="BU51" s="211">
        <f t="shared" si="65"/>
        <v>96</v>
      </c>
      <c r="BV51" s="211">
        <f t="shared" si="65"/>
        <v>96</v>
      </c>
      <c r="BW51" s="211">
        <f t="shared" si="65"/>
        <v>96</v>
      </c>
      <c r="BX51" s="211">
        <f t="shared" si="65"/>
        <v>96</v>
      </c>
      <c r="BY51" s="211">
        <f t="shared" si="65"/>
        <v>96</v>
      </c>
      <c r="BZ51" s="211">
        <f t="shared" si="65"/>
        <v>96</v>
      </c>
      <c r="CA51" s="211">
        <f t="shared" si="65"/>
        <v>96</v>
      </c>
      <c r="CB51" s="211">
        <f t="shared" si="65"/>
        <v>96</v>
      </c>
      <c r="CC51" s="211">
        <f t="shared" si="65"/>
        <v>96</v>
      </c>
      <c r="CD51" s="211">
        <f t="shared" si="65"/>
        <v>96</v>
      </c>
      <c r="CE51" s="211">
        <f t="shared" si="65"/>
        <v>96</v>
      </c>
      <c r="CF51" s="211">
        <f t="shared" si="65"/>
        <v>96</v>
      </c>
      <c r="CG51" s="211">
        <f t="shared" si="65"/>
        <v>96</v>
      </c>
      <c r="CH51" s="211">
        <f t="shared" si="65"/>
        <v>96</v>
      </c>
      <c r="CI51" s="211">
        <f t="shared" si="65"/>
        <v>96</v>
      </c>
      <c r="CJ51" s="211">
        <f t="shared" si="65"/>
        <v>96</v>
      </c>
      <c r="CK51" s="211">
        <f t="shared" si="65"/>
        <v>96</v>
      </c>
      <c r="CL51" s="211">
        <f t="shared" si="65"/>
        <v>96</v>
      </c>
      <c r="CM51" s="211">
        <f t="shared" si="65"/>
        <v>96</v>
      </c>
      <c r="CN51" s="211">
        <f t="shared" si="65"/>
        <v>96</v>
      </c>
      <c r="CO51" s="211">
        <f t="shared" si="65"/>
        <v>96</v>
      </c>
      <c r="CP51" s="211">
        <f t="shared" si="65"/>
        <v>-216</v>
      </c>
      <c r="CQ51" s="211">
        <f t="shared" si="65"/>
        <v>-216</v>
      </c>
      <c r="CR51" s="211">
        <f t="shared" si="65"/>
        <v>-216</v>
      </c>
      <c r="CS51" s="211">
        <f t="shared" si="65"/>
        <v>-216</v>
      </c>
      <c r="CT51" s="211">
        <f t="shared" si="65"/>
        <v>-216</v>
      </c>
      <c r="CU51" s="211">
        <f t="shared" si="65"/>
        <v>-216</v>
      </c>
      <c r="CV51" s="211">
        <f t="shared" si="65"/>
        <v>-216</v>
      </c>
      <c r="CW51" s="211">
        <f t="shared" si="65"/>
        <v>-216</v>
      </c>
      <c r="CX51" s="211">
        <f t="shared" si="65"/>
        <v>-216</v>
      </c>
      <c r="CY51" s="211">
        <f t="shared" si="65"/>
        <v>-216</v>
      </c>
      <c r="CZ51" s="211">
        <f t="shared" si="65"/>
        <v>6203.5</v>
      </c>
      <c r="DA51" s="211">
        <f t="shared" si="65"/>
        <v>6203.5</v>
      </c>
    </row>
    <row r="52" spans="1:105">
      <c r="A52" s="202" t="str">
        <f>Income!A83</f>
        <v>Food transfer - official</v>
      </c>
      <c r="F52" s="211">
        <f t="shared" ref="F52:AK52" si="66">IF(F$22&lt;=$E$24,IF(F$22&lt;=$D$24,IF(F$22&lt;=$C$24,IF(F$22&lt;=$B$24,$B118,($C35-$B35)/($C$24-$B$24)),($D35-$C35)/($D$24-$C$24)),($E35-$D35)/($E$24-$D$24)),$F118)</f>
        <v>0</v>
      </c>
      <c r="G52" s="211">
        <f t="shared" si="66"/>
        <v>0</v>
      </c>
      <c r="H52" s="211">
        <f t="shared" si="66"/>
        <v>0</v>
      </c>
      <c r="I52" s="211">
        <f t="shared" si="66"/>
        <v>0</v>
      </c>
      <c r="J52" s="211">
        <f t="shared" si="66"/>
        <v>0</v>
      </c>
      <c r="K52" s="211">
        <f t="shared" si="66"/>
        <v>0</v>
      </c>
      <c r="L52" s="211">
        <f t="shared" si="66"/>
        <v>0</v>
      </c>
      <c r="M52" s="211">
        <f t="shared" si="66"/>
        <v>0</v>
      </c>
      <c r="N52" s="211">
        <f t="shared" si="66"/>
        <v>0</v>
      </c>
      <c r="O52" s="211">
        <f t="shared" si="66"/>
        <v>0</v>
      </c>
      <c r="P52" s="211">
        <f t="shared" si="66"/>
        <v>0</v>
      </c>
      <c r="Q52" s="211">
        <f t="shared" si="66"/>
        <v>0</v>
      </c>
      <c r="R52" s="211">
        <f t="shared" si="66"/>
        <v>0</v>
      </c>
      <c r="S52" s="211">
        <f t="shared" si="66"/>
        <v>0</v>
      </c>
      <c r="T52" s="211">
        <f t="shared" si="66"/>
        <v>0</v>
      </c>
      <c r="U52" s="211">
        <f t="shared" si="66"/>
        <v>0</v>
      </c>
      <c r="V52" s="211">
        <f t="shared" si="66"/>
        <v>0</v>
      </c>
      <c r="W52" s="211">
        <f t="shared" si="66"/>
        <v>0</v>
      </c>
      <c r="X52" s="211">
        <f t="shared" si="66"/>
        <v>0</v>
      </c>
      <c r="Y52" s="211">
        <f t="shared" si="66"/>
        <v>0</v>
      </c>
      <c r="Z52" s="211">
        <f t="shared" si="66"/>
        <v>0</v>
      </c>
      <c r="AA52" s="211">
        <f t="shared" si="66"/>
        <v>0</v>
      </c>
      <c r="AB52" s="211">
        <f t="shared" si="66"/>
        <v>0</v>
      </c>
      <c r="AC52" s="211">
        <f t="shared" si="66"/>
        <v>0</v>
      </c>
      <c r="AD52" s="211">
        <f t="shared" si="66"/>
        <v>0</v>
      </c>
      <c r="AE52" s="211">
        <f t="shared" si="66"/>
        <v>0</v>
      </c>
      <c r="AF52" s="211">
        <f t="shared" si="66"/>
        <v>0</v>
      </c>
      <c r="AG52" s="211">
        <f t="shared" si="66"/>
        <v>0</v>
      </c>
      <c r="AH52" s="211">
        <f t="shared" si="66"/>
        <v>0</v>
      </c>
      <c r="AI52" s="211">
        <f t="shared" si="66"/>
        <v>0</v>
      </c>
      <c r="AJ52" s="211">
        <f t="shared" si="66"/>
        <v>0</v>
      </c>
      <c r="AK52" s="211">
        <f t="shared" si="66"/>
        <v>0</v>
      </c>
      <c r="AL52" s="211">
        <f t="shared" ref="AL52:BQ52" si="67">IF(AL$22&lt;=$E$24,IF(AL$22&lt;=$D$24,IF(AL$22&lt;=$C$24,IF(AL$22&lt;=$B$24,$B118,($C35-$B35)/($C$24-$B$24)),($D35-$C35)/($D$24-$C$24)),($E35-$D35)/($E$24-$D$24)),$F118)</f>
        <v>0</v>
      </c>
      <c r="AM52" s="211">
        <f t="shared" si="67"/>
        <v>0</v>
      </c>
      <c r="AN52" s="211">
        <f t="shared" si="67"/>
        <v>0</v>
      </c>
      <c r="AO52" s="211">
        <f t="shared" si="67"/>
        <v>0</v>
      </c>
      <c r="AP52" s="211">
        <f t="shared" si="67"/>
        <v>0</v>
      </c>
      <c r="AQ52" s="211">
        <f t="shared" si="67"/>
        <v>0</v>
      </c>
      <c r="AR52" s="211">
        <f t="shared" si="67"/>
        <v>0</v>
      </c>
      <c r="AS52" s="211">
        <f t="shared" si="67"/>
        <v>0</v>
      </c>
      <c r="AT52" s="211">
        <f t="shared" si="67"/>
        <v>0</v>
      </c>
      <c r="AU52" s="211">
        <f t="shared" si="67"/>
        <v>0</v>
      </c>
      <c r="AV52" s="211">
        <f t="shared" si="67"/>
        <v>0</v>
      </c>
      <c r="AW52" s="211">
        <f t="shared" si="67"/>
        <v>0</v>
      </c>
      <c r="AX52" s="211">
        <f t="shared" si="67"/>
        <v>0</v>
      </c>
      <c r="AY52" s="211">
        <f t="shared" si="67"/>
        <v>0</v>
      </c>
      <c r="AZ52" s="211">
        <f t="shared" si="67"/>
        <v>0</v>
      </c>
      <c r="BA52" s="211">
        <f t="shared" si="67"/>
        <v>0</v>
      </c>
      <c r="BB52" s="211">
        <f t="shared" si="67"/>
        <v>0</v>
      </c>
      <c r="BC52" s="211">
        <f t="shared" si="67"/>
        <v>0</v>
      </c>
      <c r="BD52" s="211">
        <f t="shared" si="67"/>
        <v>0</v>
      </c>
      <c r="BE52" s="211">
        <f t="shared" si="67"/>
        <v>0</v>
      </c>
      <c r="BF52" s="211">
        <f t="shared" si="67"/>
        <v>0</v>
      </c>
      <c r="BG52" s="211">
        <f t="shared" si="67"/>
        <v>0</v>
      </c>
      <c r="BH52" s="211">
        <f t="shared" si="67"/>
        <v>0</v>
      </c>
      <c r="BI52" s="211">
        <f t="shared" si="67"/>
        <v>0</v>
      </c>
      <c r="BJ52" s="211">
        <f t="shared" si="67"/>
        <v>0</v>
      </c>
      <c r="BK52" s="211">
        <f t="shared" si="67"/>
        <v>0</v>
      </c>
      <c r="BL52" s="211">
        <f t="shared" si="67"/>
        <v>0</v>
      </c>
      <c r="BM52" s="211">
        <f t="shared" si="67"/>
        <v>0</v>
      </c>
      <c r="BN52" s="211">
        <f t="shared" si="67"/>
        <v>0</v>
      </c>
      <c r="BO52" s="211">
        <f t="shared" si="67"/>
        <v>0</v>
      </c>
      <c r="BP52" s="211">
        <f t="shared" si="67"/>
        <v>0</v>
      </c>
      <c r="BQ52" s="211">
        <f t="shared" si="67"/>
        <v>0</v>
      </c>
      <c r="BR52" s="211">
        <f t="shared" ref="BR52:DA52" si="68">IF(BR$22&lt;=$E$24,IF(BR$22&lt;=$D$24,IF(BR$22&lt;=$C$24,IF(BR$22&lt;=$B$24,$B118,($C35-$B35)/($C$24-$B$24)),($D35-$C35)/($D$24-$C$24)),($E35-$D35)/($E$24-$D$24)),$F118)</f>
        <v>0</v>
      </c>
      <c r="BS52" s="211">
        <f t="shared" si="68"/>
        <v>0</v>
      </c>
      <c r="BT52" s="211">
        <f t="shared" si="68"/>
        <v>0</v>
      </c>
      <c r="BU52" s="211">
        <f t="shared" si="68"/>
        <v>0</v>
      </c>
      <c r="BV52" s="211">
        <f t="shared" si="68"/>
        <v>0</v>
      </c>
      <c r="BW52" s="211">
        <f t="shared" si="68"/>
        <v>0</v>
      </c>
      <c r="BX52" s="211">
        <f t="shared" si="68"/>
        <v>0</v>
      </c>
      <c r="BY52" s="211">
        <f t="shared" si="68"/>
        <v>0</v>
      </c>
      <c r="BZ52" s="211">
        <f t="shared" si="68"/>
        <v>0</v>
      </c>
      <c r="CA52" s="211">
        <f t="shared" si="68"/>
        <v>0</v>
      </c>
      <c r="CB52" s="211">
        <f t="shared" si="68"/>
        <v>0</v>
      </c>
      <c r="CC52" s="211">
        <f t="shared" si="68"/>
        <v>0</v>
      </c>
      <c r="CD52" s="211">
        <f t="shared" si="68"/>
        <v>0</v>
      </c>
      <c r="CE52" s="211">
        <f t="shared" si="68"/>
        <v>0</v>
      </c>
      <c r="CF52" s="211">
        <f t="shared" si="68"/>
        <v>0</v>
      </c>
      <c r="CG52" s="211">
        <f t="shared" si="68"/>
        <v>0</v>
      </c>
      <c r="CH52" s="211">
        <f t="shared" si="68"/>
        <v>0</v>
      </c>
      <c r="CI52" s="211">
        <f t="shared" si="68"/>
        <v>0</v>
      </c>
      <c r="CJ52" s="211">
        <f t="shared" si="68"/>
        <v>0</v>
      </c>
      <c r="CK52" s="211">
        <f t="shared" si="68"/>
        <v>0</v>
      </c>
      <c r="CL52" s="211">
        <f t="shared" si="68"/>
        <v>0</v>
      </c>
      <c r="CM52" s="211">
        <f t="shared" si="68"/>
        <v>0</v>
      </c>
      <c r="CN52" s="211">
        <f t="shared" si="68"/>
        <v>0</v>
      </c>
      <c r="CO52" s="211">
        <f t="shared" si="68"/>
        <v>0</v>
      </c>
      <c r="CP52" s="211">
        <f t="shared" si="68"/>
        <v>-8.9704232215793134</v>
      </c>
      <c r="CQ52" s="211">
        <f t="shared" si="68"/>
        <v>-8.9704232215793134</v>
      </c>
      <c r="CR52" s="211">
        <f t="shared" si="68"/>
        <v>-8.9704232215793134</v>
      </c>
      <c r="CS52" s="211">
        <f t="shared" si="68"/>
        <v>-8.9704232215793134</v>
      </c>
      <c r="CT52" s="211">
        <f t="shared" si="68"/>
        <v>-8.9704232215793134</v>
      </c>
      <c r="CU52" s="211">
        <f t="shared" si="68"/>
        <v>-8.9704232215793134</v>
      </c>
      <c r="CV52" s="211">
        <f t="shared" si="68"/>
        <v>-8.9704232215793134</v>
      </c>
      <c r="CW52" s="211">
        <f t="shared" si="68"/>
        <v>-8.9704232215793134</v>
      </c>
      <c r="CX52" s="211">
        <f t="shared" si="68"/>
        <v>-8.9704232215793134</v>
      </c>
      <c r="CY52" s="211">
        <f t="shared" si="68"/>
        <v>-8.9704232215793134</v>
      </c>
      <c r="CZ52" s="211">
        <f t="shared" si="68"/>
        <v>14.730000000000004</v>
      </c>
      <c r="DA52" s="211">
        <f t="shared" si="68"/>
        <v>14.730000000000004</v>
      </c>
    </row>
    <row r="53" spans="1:105">
      <c r="A53" s="202" t="str">
        <f>Income!A85</f>
        <v>Cash transfer - official</v>
      </c>
      <c r="F53" s="211">
        <f t="shared" ref="F53:AK53" si="69">IF(F$22&lt;=$E$24,IF(F$22&lt;=$D$24,IF(F$22&lt;=$C$24,IF(F$22&lt;=$B$24,$B119,($C36-$B36)/($C$24-$B$24)),($D36-$C36)/($D$24-$C$24)),($E36-$D36)/($E$24-$D$24)),$F119)</f>
        <v>0</v>
      </c>
      <c r="G53" s="211">
        <f t="shared" si="69"/>
        <v>0</v>
      </c>
      <c r="H53" s="211">
        <f t="shared" si="69"/>
        <v>0</v>
      </c>
      <c r="I53" s="211">
        <f t="shared" si="69"/>
        <v>0</v>
      </c>
      <c r="J53" s="211">
        <f t="shared" si="69"/>
        <v>0</v>
      </c>
      <c r="K53" s="211">
        <f t="shared" si="69"/>
        <v>0</v>
      </c>
      <c r="L53" s="211">
        <f t="shared" si="69"/>
        <v>0</v>
      </c>
      <c r="M53" s="211">
        <f t="shared" si="69"/>
        <v>0</v>
      </c>
      <c r="N53" s="211">
        <f t="shared" si="69"/>
        <v>0</v>
      </c>
      <c r="O53" s="211">
        <f t="shared" si="69"/>
        <v>0</v>
      </c>
      <c r="P53" s="211">
        <f t="shared" si="69"/>
        <v>0</v>
      </c>
      <c r="Q53" s="211">
        <f t="shared" si="69"/>
        <v>0</v>
      </c>
      <c r="R53" s="211">
        <f t="shared" si="69"/>
        <v>0</v>
      </c>
      <c r="S53" s="211">
        <f t="shared" si="69"/>
        <v>0</v>
      </c>
      <c r="T53" s="211">
        <f t="shared" si="69"/>
        <v>0</v>
      </c>
      <c r="U53" s="211">
        <f t="shared" si="69"/>
        <v>0</v>
      </c>
      <c r="V53" s="211">
        <f t="shared" si="69"/>
        <v>0</v>
      </c>
      <c r="W53" s="211">
        <f t="shared" si="69"/>
        <v>0</v>
      </c>
      <c r="X53" s="211">
        <f t="shared" si="69"/>
        <v>0</v>
      </c>
      <c r="Y53" s="211">
        <f t="shared" si="69"/>
        <v>0</v>
      </c>
      <c r="Z53" s="211">
        <f t="shared" si="69"/>
        <v>0</v>
      </c>
      <c r="AA53" s="211">
        <f t="shared" si="69"/>
        <v>0</v>
      </c>
      <c r="AB53" s="211">
        <f t="shared" si="69"/>
        <v>0</v>
      </c>
      <c r="AC53" s="211">
        <f t="shared" si="69"/>
        <v>0</v>
      </c>
      <c r="AD53" s="211">
        <f t="shared" si="69"/>
        <v>0</v>
      </c>
      <c r="AE53" s="211">
        <f t="shared" si="69"/>
        <v>0</v>
      </c>
      <c r="AF53" s="211">
        <f t="shared" si="69"/>
        <v>0</v>
      </c>
      <c r="AG53" s="211">
        <f t="shared" si="69"/>
        <v>0</v>
      </c>
      <c r="AH53" s="211">
        <f t="shared" si="69"/>
        <v>0</v>
      </c>
      <c r="AI53" s="211">
        <f t="shared" si="69"/>
        <v>0</v>
      </c>
      <c r="AJ53" s="211">
        <f t="shared" si="69"/>
        <v>0</v>
      </c>
      <c r="AK53" s="211">
        <f t="shared" si="69"/>
        <v>0</v>
      </c>
      <c r="AL53" s="211">
        <f t="shared" ref="AL53:BQ53" si="70">IF(AL$22&lt;=$E$24,IF(AL$22&lt;=$D$24,IF(AL$22&lt;=$C$24,IF(AL$22&lt;=$B$24,$B119,($C36-$B36)/($C$24-$B$24)),($D36-$C36)/($D$24-$C$24)),($E36-$D36)/($E$24-$D$24)),$F119)</f>
        <v>0</v>
      </c>
      <c r="AM53" s="211">
        <f t="shared" si="70"/>
        <v>0</v>
      </c>
      <c r="AN53" s="211">
        <f t="shared" si="70"/>
        <v>0</v>
      </c>
      <c r="AO53" s="211">
        <f t="shared" si="70"/>
        <v>0</v>
      </c>
      <c r="AP53" s="211">
        <f t="shared" si="70"/>
        <v>0</v>
      </c>
      <c r="AQ53" s="211">
        <f t="shared" si="70"/>
        <v>0</v>
      </c>
      <c r="AR53" s="211">
        <f t="shared" si="70"/>
        <v>0</v>
      </c>
      <c r="AS53" s="211">
        <f t="shared" si="70"/>
        <v>0</v>
      </c>
      <c r="AT53" s="211">
        <f t="shared" si="70"/>
        <v>0</v>
      </c>
      <c r="AU53" s="211">
        <f t="shared" si="70"/>
        <v>0</v>
      </c>
      <c r="AV53" s="211">
        <f t="shared" si="70"/>
        <v>0</v>
      </c>
      <c r="AW53" s="211">
        <f t="shared" si="70"/>
        <v>0</v>
      </c>
      <c r="AX53" s="211">
        <f t="shared" si="70"/>
        <v>0</v>
      </c>
      <c r="AY53" s="211">
        <f t="shared" si="70"/>
        <v>0</v>
      </c>
      <c r="AZ53" s="211">
        <f t="shared" si="70"/>
        <v>0</v>
      </c>
      <c r="BA53" s="211">
        <f t="shared" si="70"/>
        <v>0</v>
      </c>
      <c r="BB53" s="211">
        <f t="shared" si="70"/>
        <v>0</v>
      </c>
      <c r="BC53" s="211">
        <f t="shared" si="70"/>
        <v>0</v>
      </c>
      <c r="BD53" s="211">
        <f t="shared" si="70"/>
        <v>0</v>
      </c>
      <c r="BE53" s="211">
        <f t="shared" si="70"/>
        <v>0</v>
      </c>
      <c r="BF53" s="211">
        <f t="shared" si="70"/>
        <v>0</v>
      </c>
      <c r="BG53" s="211">
        <f t="shared" si="70"/>
        <v>0</v>
      </c>
      <c r="BH53" s="211">
        <f t="shared" si="70"/>
        <v>0</v>
      </c>
      <c r="BI53" s="211">
        <f t="shared" si="70"/>
        <v>0</v>
      </c>
      <c r="BJ53" s="211">
        <f t="shared" si="70"/>
        <v>0</v>
      </c>
      <c r="BK53" s="211">
        <f t="shared" si="70"/>
        <v>0</v>
      </c>
      <c r="BL53" s="211">
        <f t="shared" si="70"/>
        <v>0</v>
      </c>
      <c r="BM53" s="211">
        <f t="shared" si="70"/>
        <v>0</v>
      </c>
      <c r="BN53" s="211">
        <f t="shared" si="70"/>
        <v>0</v>
      </c>
      <c r="BO53" s="211">
        <f t="shared" si="70"/>
        <v>0</v>
      </c>
      <c r="BP53" s="211">
        <f t="shared" si="70"/>
        <v>0</v>
      </c>
      <c r="BQ53" s="211">
        <f t="shared" si="70"/>
        <v>0</v>
      </c>
      <c r="BR53" s="211">
        <f t="shared" ref="BR53:DA53" si="71">IF(BR$22&lt;=$E$24,IF(BR$22&lt;=$D$24,IF(BR$22&lt;=$C$24,IF(BR$22&lt;=$B$24,$B119,($C36-$B36)/($C$24-$B$24)),($D36-$C36)/($D$24-$C$24)),($E36-$D36)/($E$24-$D$24)),$F119)</f>
        <v>0</v>
      </c>
      <c r="BS53" s="211">
        <f t="shared" si="71"/>
        <v>0</v>
      </c>
      <c r="BT53" s="211">
        <f t="shared" si="71"/>
        <v>0</v>
      </c>
      <c r="BU53" s="211">
        <f t="shared" si="71"/>
        <v>0</v>
      </c>
      <c r="BV53" s="211">
        <f t="shared" si="71"/>
        <v>0</v>
      </c>
      <c r="BW53" s="211">
        <f t="shared" si="71"/>
        <v>0</v>
      </c>
      <c r="BX53" s="211">
        <f t="shared" si="71"/>
        <v>0</v>
      </c>
      <c r="BY53" s="211">
        <f t="shared" si="71"/>
        <v>0</v>
      </c>
      <c r="BZ53" s="211">
        <f t="shared" si="71"/>
        <v>0</v>
      </c>
      <c r="CA53" s="211">
        <f t="shared" si="71"/>
        <v>0</v>
      </c>
      <c r="CB53" s="211">
        <f t="shared" si="71"/>
        <v>0</v>
      </c>
      <c r="CC53" s="211">
        <f t="shared" si="71"/>
        <v>0</v>
      </c>
      <c r="CD53" s="211">
        <f t="shared" si="71"/>
        <v>0</v>
      </c>
      <c r="CE53" s="211">
        <f t="shared" si="71"/>
        <v>0</v>
      </c>
      <c r="CF53" s="211">
        <f t="shared" si="71"/>
        <v>0</v>
      </c>
      <c r="CG53" s="211">
        <f t="shared" si="71"/>
        <v>0</v>
      </c>
      <c r="CH53" s="211">
        <f t="shared" si="71"/>
        <v>0</v>
      </c>
      <c r="CI53" s="211">
        <f t="shared" si="71"/>
        <v>0</v>
      </c>
      <c r="CJ53" s="211">
        <f t="shared" si="71"/>
        <v>0</v>
      </c>
      <c r="CK53" s="211">
        <f t="shared" si="71"/>
        <v>0</v>
      </c>
      <c r="CL53" s="211">
        <f t="shared" si="71"/>
        <v>0</v>
      </c>
      <c r="CM53" s="211">
        <f t="shared" si="71"/>
        <v>0</v>
      </c>
      <c r="CN53" s="211">
        <f t="shared" si="71"/>
        <v>0</v>
      </c>
      <c r="CO53" s="211">
        <f t="shared" si="71"/>
        <v>0</v>
      </c>
      <c r="CP53" s="211">
        <f t="shared" si="71"/>
        <v>-1654.2666666666669</v>
      </c>
      <c r="CQ53" s="211">
        <f t="shared" si="71"/>
        <v>-1654.2666666666669</v>
      </c>
      <c r="CR53" s="211">
        <f t="shared" si="71"/>
        <v>-1654.2666666666669</v>
      </c>
      <c r="CS53" s="211">
        <f t="shared" si="71"/>
        <v>-1654.2666666666669</v>
      </c>
      <c r="CT53" s="211">
        <f t="shared" si="71"/>
        <v>-1654.2666666666669</v>
      </c>
      <c r="CU53" s="211">
        <f t="shared" si="71"/>
        <v>-1654.2666666666669</v>
      </c>
      <c r="CV53" s="211">
        <f t="shared" si="71"/>
        <v>-1654.2666666666669</v>
      </c>
      <c r="CW53" s="211">
        <f t="shared" si="71"/>
        <v>-1654.2666666666669</v>
      </c>
      <c r="CX53" s="211">
        <f t="shared" si="71"/>
        <v>-1654.2666666666669</v>
      </c>
      <c r="CY53" s="211">
        <f t="shared" si="71"/>
        <v>-1654.2666666666669</v>
      </c>
      <c r="CZ53" s="211">
        <f t="shared" si="71"/>
        <v>-1127.83</v>
      </c>
      <c r="DA53" s="211">
        <f t="shared" si="71"/>
        <v>-1127.83</v>
      </c>
    </row>
    <row r="54" spans="1:105">
      <c r="A54" s="202" t="str">
        <f>Income!A86</f>
        <v>Cash transfer - gifts</v>
      </c>
      <c r="F54" s="211">
        <f t="shared" ref="F54:AK54" si="72">IF(F$22&lt;=$E$24,IF(F$22&lt;=$D$24,IF(F$22&lt;=$C$24,IF(F$22&lt;=$B$24,$B120,($C37-$B37)/($C$24-$B$24)),($D37-$C37)/($D$24-$C$24)),($E37-$D37)/($E$24-$D$24)),$F120)</f>
        <v>0</v>
      </c>
      <c r="G54" s="211">
        <f t="shared" si="72"/>
        <v>0</v>
      </c>
      <c r="H54" s="211">
        <f t="shared" si="72"/>
        <v>0</v>
      </c>
      <c r="I54" s="211">
        <f t="shared" si="72"/>
        <v>0</v>
      </c>
      <c r="J54" s="211">
        <f t="shared" si="72"/>
        <v>0</v>
      </c>
      <c r="K54" s="211">
        <f t="shared" si="72"/>
        <v>0</v>
      </c>
      <c r="L54" s="211">
        <f t="shared" si="72"/>
        <v>0</v>
      </c>
      <c r="M54" s="211">
        <f t="shared" si="72"/>
        <v>0</v>
      </c>
      <c r="N54" s="211">
        <f t="shared" si="72"/>
        <v>0</v>
      </c>
      <c r="O54" s="211">
        <f t="shared" si="72"/>
        <v>0</v>
      </c>
      <c r="P54" s="211">
        <f t="shared" si="72"/>
        <v>0</v>
      </c>
      <c r="Q54" s="211">
        <f t="shared" si="72"/>
        <v>0</v>
      </c>
      <c r="R54" s="211">
        <f t="shared" si="72"/>
        <v>0</v>
      </c>
      <c r="S54" s="211">
        <f t="shared" si="72"/>
        <v>0</v>
      </c>
      <c r="T54" s="211">
        <f t="shared" si="72"/>
        <v>0</v>
      </c>
      <c r="U54" s="211">
        <f t="shared" si="72"/>
        <v>0</v>
      </c>
      <c r="V54" s="211">
        <f t="shared" si="72"/>
        <v>0</v>
      </c>
      <c r="W54" s="211">
        <f t="shared" si="72"/>
        <v>0</v>
      </c>
      <c r="X54" s="211">
        <f t="shared" si="72"/>
        <v>0</v>
      </c>
      <c r="Y54" s="211">
        <f t="shared" si="72"/>
        <v>0</v>
      </c>
      <c r="Z54" s="211">
        <f t="shared" si="72"/>
        <v>0</v>
      </c>
      <c r="AA54" s="211">
        <f t="shared" si="72"/>
        <v>0</v>
      </c>
      <c r="AB54" s="211">
        <f t="shared" si="72"/>
        <v>0</v>
      </c>
      <c r="AC54" s="211">
        <f t="shared" si="72"/>
        <v>0</v>
      </c>
      <c r="AD54" s="211">
        <f t="shared" si="72"/>
        <v>0</v>
      </c>
      <c r="AE54" s="211">
        <f t="shared" si="72"/>
        <v>0</v>
      </c>
      <c r="AF54" s="211">
        <f t="shared" si="72"/>
        <v>0</v>
      </c>
      <c r="AG54" s="211">
        <f t="shared" si="72"/>
        <v>0</v>
      </c>
      <c r="AH54" s="211">
        <f t="shared" si="72"/>
        <v>0</v>
      </c>
      <c r="AI54" s="211">
        <f t="shared" si="72"/>
        <v>0</v>
      </c>
      <c r="AJ54" s="211">
        <f t="shared" si="72"/>
        <v>0</v>
      </c>
      <c r="AK54" s="211">
        <f t="shared" si="72"/>
        <v>0</v>
      </c>
      <c r="AL54" s="211">
        <f t="shared" ref="AL54:BQ54" si="73">IF(AL$22&lt;=$E$24,IF(AL$22&lt;=$D$24,IF(AL$22&lt;=$C$24,IF(AL$22&lt;=$B$24,$B120,($C37-$B37)/($C$24-$B$24)),($D37-$C37)/($D$24-$C$24)),($E37-$D37)/($E$24-$D$24)),$F120)</f>
        <v>0</v>
      </c>
      <c r="AM54" s="211">
        <f t="shared" si="73"/>
        <v>0</v>
      </c>
      <c r="AN54" s="211">
        <f t="shared" si="73"/>
        <v>0</v>
      </c>
      <c r="AO54" s="211">
        <f t="shared" si="73"/>
        <v>0</v>
      </c>
      <c r="AP54" s="211">
        <f t="shared" si="73"/>
        <v>0</v>
      </c>
      <c r="AQ54" s="211">
        <f t="shared" si="73"/>
        <v>0</v>
      </c>
      <c r="AR54" s="211">
        <f t="shared" si="73"/>
        <v>0</v>
      </c>
      <c r="AS54" s="211">
        <f t="shared" si="73"/>
        <v>0</v>
      </c>
      <c r="AT54" s="211">
        <f t="shared" si="73"/>
        <v>0</v>
      </c>
      <c r="AU54" s="211">
        <f t="shared" si="73"/>
        <v>0</v>
      </c>
      <c r="AV54" s="211">
        <f t="shared" si="73"/>
        <v>0</v>
      </c>
      <c r="AW54" s="211">
        <f t="shared" si="73"/>
        <v>0</v>
      </c>
      <c r="AX54" s="211">
        <f t="shared" si="73"/>
        <v>0</v>
      </c>
      <c r="AY54" s="211">
        <f t="shared" si="73"/>
        <v>0</v>
      </c>
      <c r="AZ54" s="211">
        <f t="shared" si="73"/>
        <v>0</v>
      </c>
      <c r="BA54" s="211">
        <f t="shared" si="73"/>
        <v>0</v>
      </c>
      <c r="BB54" s="211">
        <f t="shared" si="73"/>
        <v>0</v>
      </c>
      <c r="BC54" s="211">
        <f t="shared" si="73"/>
        <v>0</v>
      </c>
      <c r="BD54" s="211">
        <f t="shared" si="73"/>
        <v>0</v>
      </c>
      <c r="BE54" s="211">
        <f t="shared" si="73"/>
        <v>0</v>
      </c>
      <c r="BF54" s="211">
        <f t="shared" si="73"/>
        <v>0</v>
      </c>
      <c r="BG54" s="211">
        <f t="shared" si="73"/>
        <v>0</v>
      </c>
      <c r="BH54" s="211">
        <f t="shared" si="73"/>
        <v>0</v>
      </c>
      <c r="BI54" s="211">
        <f t="shared" si="73"/>
        <v>0</v>
      </c>
      <c r="BJ54" s="211">
        <f t="shared" si="73"/>
        <v>0</v>
      </c>
      <c r="BK54" s="211">
        <f t="shared" si="73"/>
        <v>0</v>
      </c>
      <c r="BL54" s="211">
        <f t="shared" si="73"/>
        <v>0</v>
      </c>
      <c r="BM54" s="211">
        <f t="shared" si="73"/>
        <v>0</v>
      </c>
      <c r="BN54" s="211">
        <f t="shared" si="73"/>
        <v>0</v>
      </c>
      <c r="BO54" s="211">
        <f t="shared" si="73"/>
        <v>0</v>
      </c>
      <c r="BP54" s="211">
        <f t="shared" si="73"/>
        <v>0</v>
      </c>
      <c r="BQ54" s="211">
        <f t="shared" si="73"/>
        <v>0</v>
      </c>
      <c r="BR54" s="211">
        <f t="shared" ref="BR54:DA54" si="74">IF(BR$22&lt;=$E$24,IF(BR$22&lt;=$D$24,IF(BR$22&lt;=$C$24,IF(BR$22&lt;=$B$24,$B120,($C37-$B37)/($C$24-$B$24)),($D37-$C37)/($D$24-$C$24)),($E37-$D37)/($E$24-$D$24)),$F120)</f>
        <v>0</v>
      </c>
      <c r="BS54" s="211">
        <f t="shared" si="74"/>
        <v>0</v>
      </c>
      <c r="BT54" s="211">
        <f t="shared" si="74"/>
        <v>0</v>
      </c>
      <c r="BU54" s="211">
        <f t="shared" si="74"/>
        <v>0</v>
      </c>
      <c r="BV54" s="211">
        <f t="shared" si="74"/>
        <v>0</v>
      </c>
      <c r="BW54" s="211">
        <f t="shared" si="74"/>
        <v>0</v>
      </c>
      <c r="BX54" s="211">
        <f t="shared" si="74"/>
        <v>0</v>
      </c>
      <c r="BY54" s="211">
        <f t="shared" si="74"/>
        <v>0</v>
      </c>
      <c r="BZ54" s="211">
        <f t="shared" si="74"/>
        <v>0</v>
      </c>
      <c r="CA54" s="211">
        <f t="shared" si="74"/>
        <v>0</v>
      </c>
      <c r="CB54" s="211">
        <f t="shared" si="74"/>
        <v>0</v>
      </c>
      <c r="CC54" s="211">
        <f t="shared" si="74"/>
        <v>0</v>
      </c>
      <c r="CD54" s="211">
        <f t="shared" si="74"/>
        <v>0</v>
      </c>
      <c r="CE54" s="211">
        <f t="shared" si="74"/>
        <v>0</v>
      </c>
      <c r="CF54" s="211">
        <f t="shared" si="74"/>
        <v>0</v>
      </c>
      <c r="CG54" s="211">
        <f t="shared" si="74"/>
        <v>0</v>
      </c>
      <c r="CH54" s="211">
        <f t="shared" si="74"/>
        <v>0</v>
      </c>
      <c r="CI54" s="211">
        <f t="shared" si="74"/>
        <v>0</v>
      </c>
      <c r="CJ54" s="211">
        <f t="shared" si="74"/>
        <v>0</v>
      </c>
      <c r="CK54" s="211">
        <f t="shared" si="74"/>
        <v>0</v>
      </c>
      <c r="CL54" s="211">
        <f t="shared" si="74"/>
        <v>0</v>
      </c>
      <c r="CM54" s="211">
        <f t="shared" si="74"/>
        <v>0</v>
      </c>
      <c r="CN54" s="211">
        <f t="shared" si="74"/>
        <v>0</v>
      </c>
      <c r="CO54" s="211">
        <f t="shared" si="74"/>
        <v>0</v>
      </c>
      <c r="CP54" s="211">
        <f t="shared" si="74"/>
        <v>0</v>
      </c>
      <c r="CQ54" s="211">
        <f t="shared" si="74"/>
        <v>0</v>
      </c>
      <c r="CR54" s="211">
        <f t="shared" si="74"/>
        <v>0</v>
      </c>
      <c r="CS54" s="211">
        <f t="shared" si="74"/>
        <v>0</v>
      </c>
      <c r="CT54" s="211">
        <f t="shared" si="74"/>
        <v>0</v>
      </c>
      <c r="CU54" s="211">
        <f t="shared" si="74"/>
        <v>0</v>
      </c>
      <c r="CV54" s="211">
        <f t="shared" si="74"/>
        <v>0</v>
      </c>
      <c r="CW54" s="211">
        <f t="shared" si="74"/>
        <v>0</v>
      </c>
      <c r="CX54" s="211">
        <f t="shared" si="74"/>
        <v>0</v>
      </c>
      <c r="CY54" s="211">
        <f t="shared" si="74"/>
        <v>0</v>
      </c>
      <c r="CZ54" s="211">
        <f t="shared" si="74"/>
        <v>296.33</v>
      </c>
      <c r="DA54" s="211">
        <f t="shared" si="74"/>
        <v>296.33</v>
      </c>
    </row>
    <row r="55" spans="1:105">
      <c r="A55" s="202" t="str">
        <f>Income!A88</f>
        <v>TOTAL</v>
      </c>
    </row>
    <row r="56" spans="1:105">
      <c r="A56" s="202" t="str">
        <f>Income!A89</f>
        <v>Food Poverty line</v>
      </c>
    </row>
    <row r="57" spans="1:105">
      <c r="A57" s="202" t="str">
        <f>Income!A90</f>
        <v>Lower Bound Poverty line</v>
      </c>
    </row>
    <row r="59" spans="1:105" s="205" customFormat="1">
      <c r="A59" s="205" t="str">
        <f>Income!A72</f>
        <v>Own crops Consumed</v>
      </c>
      <c r="F59" s="205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2141.4760993113323</v>
      </c>
      <c r="G59" s="205">
        <f t="shared" si="75"/>
        <v>2141.4760993113323</v>
      </c>
      <c r="H59" s="205">
        <f t="shared" si="75"/>
        <v>2141.4760993113323</v>
      </c>
      <c r="I59" s="205">
        <f t="shared" si="75"/>
        <v>2141.4760993113323</v>
      </c>
      <c r="J59" s="205">
        <f t="shared" si="75"/>
        <v>2141.4760993113323</v>
      </c>
      <c r="K59" s="205">
        <f t="shared" si="75"/>
        <v>2141.4760993113323</v>
      </c>
      <c r="L59" s="205">
        <f t="shared" si="75"/>
        <v>2141.4760993113323</v>
      </c>
      <c r="M59" s="205">
        <f t="shared" si="75"/>
        <v>2141.4760993113323</v>
      </c>
      <c r="N59" s="205">
        <f t="shared" si="75"/>
        <v>2141.4760993113323</v>
      </c>
      <c r="O59" s="205">
        <f t="shared" si="75"/>
        <v>2141.4760993113323</v>
      </c>
      <c r="P59" s="205">
        <f t="shared" si="75"/>
        <v>2141.4760993113323</v>
      </c>
      <c r="Q59" s="205">
        <f t="shared" si="75"/>
        <v>2141.4760993113323</v>
      </c>
      <c r="R59" s="205">
        <f t="shared" si="75"/>
        <v>2141.4760993113323</v>
      </c>
      <c r="S59" s="205">
        <f t="shared" si="75"/>
        <v>2141.4760993113323</v>
      </c>
      <c r="T59" s="205">
        <f t="shared" si="75"/>
        <v>2141.4760993113323</v>
      </c>
      <c r="U59" s="205">
        <f t="shared" si="75"/>
        <v>2141.4760993113323</v>
      </c>
      <c r="V59" s="205">
        <f t="shared" si="75"/>
        <v>2141.4760993113323</v>
      </c>
      <c r="W59" s="205">
        <f t="shared" si="75"/>
        <v>2141.4760993113323</v>
      </c>
      <c r="X59" s="205">
        <f t="shared" si="75"/>
        <v>2141.4760993113323</v>
      </c>
      <c r="Y59" s="205">
        <f t="shared" si="75"/>
        <v>2141.4760993113323</v>
      </c>
      <c r="Z59" s="205">
        <f t="shared" si="75"/>
        <v>2141.4760993113323</v>
      </c>
      <c r="AA59" s="205">
        <f t="shared" si="75"/>
        <v>2141.4760993113323</v>
      </c>
      <c r="AB59" s="205">
        <f t="shared" si="75"/>
        <v>2141.4760993113323</v>
      </c>
      <c r="AC59" s="205">
        <f t="shared" si="75"/>
        <v>2141.4760993113323</v>
      </c>
      <c r="AD59" s="205">
        <f t="shared" si="75"/>
        <v>2141.4760993113323</v>
      </c>
      <c r="AE59" s="205">
        <f t="shared" si="75"/>
        <v>2141.4760993113323</v>
      </c>
      <c r="AF59" s="205">
        <f t="shared" si="75"/>
        <v>2147.2240860383622</v>
      </c>
      <c r="AG59" s="205">
        <f t="shared" si="75"/>
        <v>2152.9720727653921</v>
      </c>
      <c r="AH59" s="205">
        <f t="shared" si="75"/>
        <v>2158.7200594924225</v>
      </c>
      <c r="AI59" s="205">
        <f t="shared" si="75"/>
        <v>2164.4680462194524</v>
      </c>
      <c r="AJ59" s="205">
        <f t="shared" si="75"/>
        <v>2170.2160329464823</v>
      </c>
      <c r="AK59" s="205">
        <f t="shared" si="75"/>
        <v>2175.9640196735127</v>
      </c>
      <c r="AL59" s="205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2181.7120064005426</v>
      </c>
      <c r="AM59" s="205">
        <f t="shared" si="76"/>
        <v>2187.4599931275725</v>
      </c>
      <c r="AN59" s="205">
        <f t="shared" si="76"/>
        <v>2193.2079798546024</v>
      </c>
      <c r="AO59" s="205">
        <f t="shared" si="76"/>
        <v>2198.9559665816323</v>
      </c>
      <c r="AP59" s="205">
        <f t="shared" si="76"/>
        <v>2204.7039533086627</v>
      </c>
      <c r="AQ59" s="205">
        <f t="shared" si="76"/>
        <v>2210.4519400356926</v>
      </c>
      <c r="AR59" s="205">
        <f t="shared" si="76"/>
        <v>2216.1999267627225</v>
      </c>
      <c r="AS59" s="205">
        <f t="shared" si="76"/>
        <v>2221.9479134897529</v>
      </c>
      <c r="AT59" s="205">
        <f t="shared" si="76"/>
        <v>2227.6959002167828</v>
      </c>
      <c r="AU59" s="205">
        <f t="shared" si="76"/>
        <v>2233.4438869438127</v>
      </c>
      <c r="AV59" s="205">
        <f t="shared" si="76"/>
        <v>2239.1918736708426</v>
      </c>
      <c r="AW59" s="205">
        <f t="shared" si="76"/>
        <v>2244.9398603978725</v>
      </c>
      <c r="AX59" s="205">
        <f t="shared" si="76"/>
        <v>2250.6878471249029</v>
      </c>
      <c r="AY59" s="205">
        <f t="shared" si="76"/>
        <v>2256.4358338519328</v>
      </c>
      <c r="AZ59" s="205">
        <f t="shared" si="76"/>
        <v>2262.1838205789627</v>
      </c>
      <c r="BA59" s="205">
        <f t="shared" si="76"/>
        <v>2267.9318073059931</v>
      </c>
      <c r="BB59" s="205">
        <f t="shared" si="76"/>
        <v>2273.679794033023</v>
      </c>
      <c r="BC59" s="205">
        <f t="shared" si="76"/>
        <v>2279.4277807600529</v>
      </c>
      <c r="BD59" s="205">
        <f t="shared" si="76"/>
        <v>2285.1757674870828</v>
      </c>
      <c r="BE59" s="205">
        <f t="shared" si="76"/>
        <v>2290.9237542141127</v>
      </c>
      <c r="BF59" s="205">
        <f t="shared" si="76"/>
        <v>2296.6717409411431</v>
      </c>
      <c r="BG59" s="205">
        <f t="shared" si="76"/>
        <v>2302.419727668173</v>
      </c>
      <c r="BH59" s="205">
        <f t="shared" si="76"/>
        <v>2308.1677143952029</v>
      </c>
      <c r="BI59" s="205">
        <f t="shared" si="76"/>
        <v>2313.9157011222333</v>
      </c>
      <c r="BJ59" s="205">
        <f t="shared" si="76"/>
        <v>2319.6636878492632</v>
      </c>
      <c r="BK59" s="205">
        <f t="shared" si="76"/>
        <v>2325.4116745762931</v>
      </c>
      <c r="BL59" s="205">
        <f t="shared" si="76"/>
        <v>2331.159661303323</v>
      </c>
      <c r="BM59" s="205">
        <f t="shared" si="76"/>
        <v>2336.9076480303529</v>
      </c>
      <c r="BN59" s="205">
        <f t="shared" si="76"/>
        <v>2342.6556347573833</v>
      </c>
      <c r="BO59" s="205">
        <f t="shared" si="76"/>
        <v>2348.4036214844132</v>
      </c>
      <c r="BP59" s="205">
        <f t="shared" si="76"/>
        <v>2354.1516082114431</v>
      </c>
      <c r="BQ59" s="205">
        <f t="shared" si="76"/>
        <v>2359.8995949384735</v>
      </c>
      <c r="BR59" s="205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2365.6475816655034</v>
      </c>
      <c r="BS59" s="205">
        <f t="shared" si="77"/>
        <v>2371.3955683925333</v>
      </c>
      <c r="BT59" s="205">
        <f t="shared" si="77"/>
        <v>2412.6906863354875</v>
      </c>
      <c r="BU59" s="205">
        <f t="shared" si="77"/>
        <v>2453.9858042784417</v>
      </c>
      <c r="BV59" s="205">
        <f t="shared" si="77"/>
        <v>2495.2809222213959</v>
      </c>
      <c r="BW59" s="205">
        <f t="shared" si="77"/>
        <v>2536.5760401643502</v>
      </c>
      <c r="BX59" s="205">
        <f t="shared" si="77"/>
        <v>2577.8711581073039</v>
      </c>
      <c r="BY59" s="205">
        <f t="shared" si="77"/>
        <v>2619.1662760502581</v>
      </c>
      <c r="BZ59" s="205">
        <f t="shared" si="77"/>
        <v>2660.4613939932124</v>
      </c>
      <c r="CA59" s="205">
        <f t="shared" si="77"/>
        <v>2701.7565119361666</v>
      </c>
      <c r="CB59" s="205">
        <f t="shared" si="77"/>
        <v>2743.0516298791208</v>
      </c>
      <c r="CC59" s="205">
        <f t="shared" si="77"/>
        <v>2784.346747822075</v>
      </c>
      <c r="CD59" s="205">
        <f t="shared" si="77"/>
        <v>2825.6418657650293</v>
      </c>
      <c r="CE59" s="205">
        <f t="shared" si="77"/>
        <v>2866.9369837079835</v>
      </c>
      <c r="CF59" s="205">
        <f t="shared" si="77"/>
        <v>2908.2321016509377</v>
      </c>
      <c r="CG59" s="205">
        <f t="shared" si="77"/>
        <v>2949.5272195938915</v>
      </c>
      <c r="CH59" s="205">
        <f t="shared" si="77"/>
        <v>2990.8223375368457</v>
      </c>
      <c r="CI59" s="205">
        <f t="shared" si="77"/>
        <v>3032.1174554797999</v>
      </c>
      <c r="CJ59" s="205">
        <f t="shared" si="77"/>
        <v>3073.4125734227541</v>
      </c>
      <c r="CK59" s="205">
        <f t="shared" si="77"/>
        <v>3114.7076913657083</v>
      </c>
      <c r="CL59" s="205">
        <f t="shared" si="77"/>
        <v>3156.0028093086626</v>
      </c>
      <c r="CM59" s="205">
        <f t="shared" si="77"/>
        <v>3197.2979272516168</v>
      </c>
      <c r="CN59" s="205">
        <f t="shared" si="77"/>
        <v>3238.593045194571</v>
      </c>
      <c r="CO59" s="205">
        <f t="shared" si="77"/>
        <v>3279.8881631375252</v>
      </c>
      <c r="CP59" s="205">
        <f t="shared" si="77"/>
        <v>3302.4025437249284</v>
      </c>
      <c r="CQ59" s="205">
        <f t="shared" si="77"/>
        <v>3306.13618695678</v>
      </c>
      <c r="CR59" s="205">
        <f t="shared" si="77"/>
        <v>3309.8698301886325</v>
      </c>
      <c r="CS59" s="205">
        <f t="shared" si="77"/>
        <v>3313.6034734204841</v>
      </c>
      <c r="CT59" s="205">
        <f t="shared" si="77"/>
        <v>3317.3371166523366</v>
      </c>
      <c r="CU59" s="205">
        <f t="shared" si="77"/>
        <v>3321.0707598841882</v>
      </c>
      <c r="CV59" s="205">
        <f t="shared" si="77"/>
        <v>3324.8044031160407</v>
      </c>
      <c r="CW59" s="205">
        <f t="shared" si="77"/>
        <v>3328.5380463478923</v>
      </c>
      <c r="CX59" s="205">
        <f t="shared" si="77"/>
        <v>3332.2716895797448</v>
      </c>
      <c r="CY59" s="205">
        <f t="shared" si="77"/>
        <v>3336.0053328115964</v>
      </c>
      <c r="CZ59" s="205">
        <f t="shared" si="77"/>
        <v>3391.0521544275225</v>
      </c>
      <c r="DA59" s="205">
        <f t="shared" si="77"/>
        <v>3497.4121544275226</v>
      </c>
    </row>
    <row r="60" spans="1:105" s="205" customFormat="1">
      <c r="A60" s="205" t="str">
        <f>Income!A73</f>
        <v>Own crops sold</v>
      </c>
      <c r="F60" s="205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5">
        <f t="shared" si="78"/>
        <v>0</v>
      </c>
      <c r="H60" s="205">
        <f t="shared" si="78"/>
        <v>0</v>
      </c>
      <c r="I60" s="205">
        <f t="shared" si="78"/>
        <v>0</v>
      </c>
      <c r="J60" s="205">
        <f t="shared" si="78"/>
        <v>0</v>
      </c>
      <c r="K60" s="205">
        <f t="shared" si="78"/>
        <v>0</v>
      </c>
      <c r="L60" s="205">
        <f t="shared" si="78"/>
        <v>0</v>
      </c>
      <c r="M60" s="205">
        <f t="shared" si="78"/>
        <v>0</v>
      </c>
      <c r="N60" s="205">
        <f t="shared" si="78"/>
        <v>0</v>
      </c>
      <c r="O60" s="205">
        <f t="shared" si="78"/>
        <v>0</v>
      </c>
      <c r="P60" s="205">
        <f t="shared" si="78"/>
        <v>0</v>
      </c>
      <c r="Q60" s="205">
        <f t="shared" si="78"/>
        <v>0</v>
      </c>
      <c r="R60" s="205">
        <f t="shared" si="78"/>
        <v>0</v>
      </c>
      <c r="S60" s="205">
        <f t="shared" si="78"/>
        <v>0</v>
      </c>
      <c r="T60" s="205">
        <f t="shared" si="78"/>
        <v>0</v>
      </c>
      <c r="U60" s="205">
        <f t="shared" si="78"/>
        <v>0</v>
      </c>
      <c r="V60" s="205">
        <f t="shared" si="78"/>
        <v>0</v>
      </c>
      <c r="W60" s="205">
        <f t="shared" si="78"/>
        <v>0</v>
      </c>
      <c r="X60" s="205">
        <f t="shared" si="78"/>
        <v>0</v>
      </c>
      <c r="Y60" s="205">
        <f t="shared" si="78"/>
        <v>0</v>
      </c>
      <c r="Z60" s="205">
        <f t="shared" si="78"/>
        <v>0</v>
      </c>
      <c r="AA60" s="205">
        <f t="shared" si="78"/>
        <v>0</v>
      </c>
      <c r="AB60" s="205">
        <f t="shared" si="78"/>
        <v>0</v>
      </c>
      <c r="AC60" s="205">
        <f t="shared" si="78"/>
        <v>0</v>
      </c>
      <c r="AD60" s="205">
        <f t="shared" si="78"/>
        <v>0</v>
      </c>
      <c r="AE60" s="205">
        <f t="shared" si="78"/>
        <v>0</v>
      </c>
      <c r="AF60" s="205">
        <f t="shared" si="78"/>
        <v>20.9</v>
      </c>
      <c r="AG60" s="205">
        <f t="shared" si="78"/>
        <v>41.8</v>
      </c>
      <c r="AH60" s="205">
        <f t="shared" si="78"/>
        <v>62.699999999999996</v>
      </c>
      <c r="AI60" s="205">
        <f t="shared" si="78"/>
        <v>83.6</v>
      </c>
      <c r="AJ60" s="205">
        <f t="shared" si="78"/>
        <v>104.5</v>
      </c>
      <c r="AK60" s="205">
        <f t="shared" si="78"/>
        <v>125.39999999999999</v>
      </c>
      <c r="AL60" s="205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146.29999999999998</v>
      </c>
      <c r="AM60" s="205">
        <f t="shared" si="79"/>
        <v>167.2</v>
      </c>
      <c r="AN60" s="205">
        <f t="shared" si="79"/>
        <v>188.1</v>
      </c>
      <c r="AO60" s="205">
        <f t="shared" si="79"/>
        <v>209</v>
      </c>
      <c r="AP60" s="205">
        <f t="shared" si="79"/>
        <v>229.89999999999998</v>
      </c>
      <c r="AQ60" s="205">
        <f t="shared" si="79"/>
        <v>250.79999999999998</v>
      </c>
      <c r="AR60" s="205">
        <f t="shared" si="79"/>
        <v>271.7</v>
      </c>
      <c r="AS60" s="205">
        <f t="shared" si="79"/>
        <v>292.59999999999997</v>
      </c>
      <c r="AT60" s="205">
        <f t="shared" si="79"/>
        <v>313.5</v>
      </c>
      <c r="AU60" s="205">
        <f t="shared" si="79"/>
        <v>334.4</v>
      </c>
      <c r="AV60" s="205">
        <f t="shared" si="79"/>
        <v>355.29999999999995</v>
      </c>
      <c r="AW60" s="205">
        <f t="shared" si="79"/>
        <v>376.2</v>
      </c>
      <c r="AX60" s="205">
        <f t="shared" si="79"/>
        <v>397.09999999999997</v>
      </c>
      <c r="AY60" s="205">
        <f t="shared" si="79"/>
        <v>418</v>
      </c>
      <c r="AZ60" s="205">
        <f t="shared" si="79"/>
        <v>438.9</v>
      </c>
      <c r="BA60" s="205">
        <f t="shared" si="79"/>
        <v>459.79999999999995</v>
      </c>
      <c r="BB60" s="205">
        <f t="shared" si="79"/>
        <v>480.7</v>
      </c>
      <c r="BC60" s="205">
        <f t="shared" si="79"/>
        <v>501.59999999999997</v>
      </c>
      <c r="BD60" s="205">
        <f t="shared" si="79"/>
        <v>522.5</v>
      </c>
      <c r="BE60" s="205">
        <f t="shared" si="79"/>
        <v>543.4</v>
      </c>
      <c r="BF60" s="205">
        <f t="shared" si="79"/>
        <v>564.29999999999995</v>
      </c>
      <c r="BG60" s="205">
        <f t="shared" si="79"/>
        <v>585.19999999999993</v>
      </c>
      <c r="BH60" s="205">
        <f t="shared" si="79"/>
        <v>606.09999999999991</v>
      </c>
      <c r="BI60" s="205">
        <f t="shared" si="79"/>
        <v>627</v>
      </c>
      <c r="BJ60" s="205">
        <f t="shared" si="79"/>
        <v>647.9</v>
      </c>
      <c r="BK60" s="205">
        <f t="shared" si="79"/>
        <v>668.8</v>
      </c>
      <c r="BL60" s="205">
        <f t="shared" si="79"/>
        <v>689.69999999999993</v>
      </c>
      <c r="BM60" s="205">
        <f t="shared" si="79"/>
        <v>710.59999999999991</v>
      </c>
      <c r="BN60" s="205">
        <f t="shared" si="79"/>
        <v>731.5</v>
      </c>
      <c r="BO60" s="205">
        <f t="shared" si="79"/>
        <v>752.4</v>
      </c>
      <c r="BP60" s="205">
        <f t="shared" si="79"/>
        <v>773.3</v>
      </c>
      <c r="BQ60" s="205">
        <f t="shared" si="79"/>
        <v>794.19999999999993</v>
      </c>
      <c r="BR60" s="205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815.09999999999991</v>
      </c>
      <c r="BS60" s="205">
        <f t="shared" si="80"/>
        <v>836</v>
      </c>
      <c r="BT60" s="205">
        <f t="shared" si="80"/>
        <v>959.77777777777783</v>
      </c>
      <c r="BU60" s="205">
        <f t="shared" si="80"/>
        <v>1083.5555555555557</v>
      </c>
      <c r="BV60" s="205">
        <f t="shared" si="80"/>
        <v>1207.3333333333333</v>
      </c>
      <c r="BW60" s="205">
        <f t="shared" si="80"/>
        <v>1331.1111111111111</v>
      </c>
      <c r="BX60" s="205">
        <f t="shared" si="80"/>
        <v>1454.8888888888889</v>
      </c>
      <c r="BY60" s="205">
        <f t="shared" si="80"/>
        <v>1578.6666666666665</v>
      </c>
      <c r="BZ60" s="205">
        <f t="shared" si="80"/>
        <v>1702.4444444444443</v>
      </c>
      <c r="CA60" s="205">
        <f t="shared" si="80"/>
        <v>1826.2222222222222</v>
      </c>
      <c r="CB60" s="205">
        <f t="shared" si="80"/>
        <v>1950</v>
      </c>
      <c r="CC60" s="205">
        <f t="shared" si="80"/>
        <v>2073.7777777777778</v>
      </c>
      <c r="CD60" s="205">
        <f t="shared" si="80"/>
        <v>2197.5555555555557</v>
      </c>
      <c r="CE60" s="205">
        <f t="shared" si="80"/>
        <v>2321.333333333333</v>
      </c>
      <c r="CF60" s="205">
        <f t="shared" si="80"/>
        <v>2445.1111111111113</v>
      </c>
      <c r="CG60" s="205">
        <f t="shared" si="80"/>
        <v>2568.8888888888887</v>
      </c>
      <c r="CH60" s="205">
        <f t="shared" si="80"/>
        <v>2692.6666666666665</v>
      </c>
      <c r="CI60" s="205">
        <f t="shared" si="80"/>
        <v>2816.4444444444443</v>
      </c>
      <c r="CJ60" s="205">
        <f t="shared" si="80"/>
        <v>2940.2222222222222</v>
      </c>
      <c r="CK60" s="205">
        <f t="shared" si="80"/>
        <v>3064</v>
      </c>
      <c r="CL60" s="205">
        <f t="shared" si="80"/>
        <v>3187.7777777777778</v>
      </c>
      <c r="CM60" s="205">
        <f t="shared" si="80"/>
        <v>3311.5555555555557</v>
      </c>
      <c r="CN60" s="205">
        <f t="shared" si="80"/>
        <v>3435.333333333333</v>
      </c>
      <c r="CO60" s="205">
        <f t="shared" si="80"/>
        <v>3559.1111111111109</v>
      </c>
      <c r="CP60" s="205">
        <f t="shared" si="80"/>
        <v>3696.5722222222221</v>
      </c>
      <c r="CQ60" s="205">
        <f t="shared" si="80"/>
        <v>3847.7166666666667</v>
      </c>
      <c r="CR60" s="205">
        <f t="shared" si="80"/>
        <v>3998.8611111111113</v>
      </c>
      <c r="CS60" s="205">
        <f t="shared" si="80"/>
        <v>4150.0055555555555</v>
      </c>
      <c r="CT60" s="205">
        <f t="shared" si="80"/>
        <v>4301.1499999999996</v>
      </c>
      <c r="CU60" s="205">
        <f t="shared" si="80"/>
        <v>4452.2944444444447</v>
      </c>
      <c r="CV60" s="205">
        <f t="shared" si="80"/>
        <v>4603.4388888888889</v>
      </c>
      <c r="CW60" s="205">
        <f t="shared" si="80"/>
        <v>4754.583333333333</v>
      </c>
      <c r="CX60" s="205">
        <f t="shared" si="80"/>
        <v>4905.7277777777781</v>
      </c>
      <c r="CY60" s="205">
        <f t="shared" si="80"/>
        <v>5056.8722222222223</v>
      </c>
      <c r="CZ60" s="205">
        <f t="shared" si="80"/>
        <v>5494.8744444444446</v>
      </c>
      <c r="DA60" s="205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6219.7344444444443</v>
      </c>
    </row>
    <row r="61" spans="1:105" s="205" customFormat="1">
      <c r="A61" s="205" t="str">
        <f>Income!A74</f>
        <v>Animal products consumed</v>
      </c>
      <c r="F61" s="205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151.45508615079123</v>
      </c>
      <c r="G61" s="205">
        <f t="shared" si="81"/>
        <v>151.45508615079123</v>
      </c>
      <c r="H61" s="205">
        <f t="shared" si="81"/>
        <v>151.45508615079123</v>
      </c>
      <c r="I61" s="205">
        <f t="shared" si="81"/>
        <v>151.45508615079123</v>
      </c>
      <c r="J61" s="205">
        <f t="shared" si="81"/>
        <v>151.45508615079123</v>
      </c>
      <c r="K61" s="205">
        <f t="shared" si="81"/>
        <v>151.45508615079123</v>
      </c>
      <c r="L61" s="205">
        <f t="shared" si="81"/>
        <v>151.45508615079123</v>
      </c>
      <c r="M61" s="205">
        <f t="shared" si="81"/>
        <v>151.45508615079123</v>
      </c>
      <c r="N61" s="205">
        <f t="shared" si="81"/>
        <v>151.45508615079123</v>
      </c>
      <c r="O61" s="205">
        <f t="shared" si="81"/>
        <v>151.45508615079123</v>
      </c>
      <c r="P61" s="205">
        <f t="shared" si="81"/>
        <v>151.45508615079123</v>
      </c>
      <c r="Q61" s="205">
        <f t="shared" si="81"/>
        <v>151.45508615079123</v>
      </c>
      <c r="R61" s="205">
        <f t="shared" si="81"/>
        <v>151.45508615079123</v>
      </c>
      <c r="S61" s="205">
        <f t="shared" si="81"/>
        <v>151.45508615079123</v>
      </c>
      <c r="T61" s="205">
        <f t="shared" si="81"/>
        <v>151.45508615079123</v>
      </c>
      <c r="U61" s="205">
        <f t="shared" si="81"/>
        <v>151.45508615079123</v>
      </c>
      <c r="V61" s="205">
        <f t="shared" si="81"/>
        <v>151.45508615079123</v>
      </c>
      <c r="W61" s="205">
        <f t="shared" si="81"/>
        <v>151.45508615079123</v>
      </c>
      <c r="X61" s="205">
        <f t="shared" si="81"/>
        <v>151.45508615079123</v>
      </c>
      <c r="Y61" s="205">
        <f t="shared" si="81"/>
        <v>151.45508615079123</v>
      </c>
      <c r="Z61" s="205">
        <f t="shared" si="81"/>
        <v>151.45508615079123</v>
      </c>
      <c r="AA61" s="205">
        <f t="shared" si="81"/>
        <v>151.45508615079123</v>
      </c>
      <c r="AB61" s="205">
        <f t="shared" si="81"/>
        <v>151.45508615079123</v>
      </c>
      <c r="AC61" s="205">
        <f t="shared" si="81"/>
        <v>151.45508615079123</v>
      </c>
      <c r="AD61" s="205">
        <f t="shared" si="81"/>
        <v>151.45508615079123</v>
      </c>
      <c r="AE61" s="205">
        <f t="shared" si="81"/>
        <v>151.45508615079123</v>
      </c>
      <c r="AF61" s="205">
        <f t="shared" si="81"/>
        <v>153.5204648046716</v>
      </c>
      <c r="AG61" s="205">
        <f t="shared" si="81"/>
        <v>155.58584345855195</v>
      </c>
      <c r="AH61" s="205">
        <f t="shared" si="81"/>
        <v>157.65122211243232</v>
      </c>
      <c r="AI61" s="205">
        <f t="shared" si="81"/>
        <v>159.71660076631267</v>
      </c>
      <c r="AJ61" s="205">
        <f t="shared" si="81"/>
        <v>161.78197942019304</v>
      </c>
      <c r="AK61" s="205">
        <f t="shared" si="81"/>
        <v>163.84735807407341</v>
      </c>
      <c r="AL61" s="205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165.91273672795376</v>
      </c>
      <c r="AM61" s="205">
        <f t="shared" si="82"/>
        <v>167.97811538183413</v>
      </c>
      <c r="AN61" s="205">
        <f t="shared" si="82"/>
        <v>170.04349403571447</v>
      </c>
      <c r="AO61" s="205">
        <f t="shared" si="82"/>
        <v>172.10887268959485</v>
      </c>
      <c r="AP61" s="205">
        <f t="shared" si="82"/>
        <v>174.17425134347519</v>
      </c>
      <c r="AQ61" s="205">
        <f t="shared" si="82"/>
        <v>176.23962999735556</v>
      </c>
      <c r="AR61" s="205">
        <f t="shared" si="82"/>
        <v>178.30500865123594</v>
      </c>
      <c r="AS61" s="205">
        <f t="shared" si="82"/>
        <v>180.37038730511628</v>
      </c>
      <c r="AT61" s="205">
        <f t="shared" si="82"/>
        <v>182.43576595899665</v>
      </c>
      <c r="AU61" s="205">
        <f t="shared" si="82"/>
        <v>184.501144612877</v>
      </c>
      <c r="AV61" s="205">
        <f t="shared" si="82"/>
        <v>186.56652326675737</v>
      </c>
      <c r="AW61" s="205">
        <f t="shared" si="82"/>
        <v>188.63190192063774</v>
      </c>
      <c r="AX61" s="205">
        <f t="shared" si="82"/>
        <v>190.69728057451809</v>
      </c>
      <c r="AY61" s="205">
        <f t="shared" si="82"/>
        <v>192.76265922839846</v>
      </c>
      <c r="AZ61" s="205">
        <f t="shared" si="82"/>
        <v>194.82803788227881</v>
      </c>
      <c r="BA61" s="205">
        <f t="shared" si="82"/>
        <v>196.89341653615918</v>
      </c>
      <c r="BB61" s="205">
        <f t="shared" si="82"/>
        <v>198.95879519003955</v>
      </c>
      <c r="BC61" s="205">
        <f t="shared" si="82"/>
        <v>201.0241738439199</v>
      </c>
      <c r="BD61" s="205">
        <f t="shared" si="82"/>
        <v>203.08955249780027</v>
      </c>
      <c r="BE61" s="205">
        <f t="shared" si="82"/>
        <v>205.15493115168061</v>
      </c>
      <c r="BF61" s="205">
        <f t="shared" si="82"/>
        <v>207.22030980556099</v>
      </c>
      <c r="BG61" s="205">
        <f t="shared" si="82"/>
        <v>209.28568845944136</v>
      </c>
      <c r="BH61" s="205">
        <f t="shared" si="82"/>
        <v>211.3510671133217</v>
      </c>
      <c r="BI61" s="205">
        <f t="shared" si="82"/>
        <v>213.41644576720208</v>
      </c>
      <c r="BJ61" s="205">
        <f t="shared" si="82"/>
        <v>215.48182442108242</v>
      </c>
      <c r="BK61" s="205">
        <f t="shared" si="82"/>
        <v>217.54720307496279</v>
      </c>
      <c r="BL61" s="205">
        <f t="shared" si="82"/>
        <v>219.61258172884317</v>
      </c>
      <c r="BM61" s="205">
        <f t="shared" si="82"/>
        <v>221.67796038272351</v>
      </c>
      <c r="BN61" s="205">
        <f t="shared" si="82"/>
        <v>223.74333903660389</v>
      </c>
      <c r="BO61" s="205">
        <f t="shared" si="82"/>
        <v>225.80871769048423</v>
      </c>
      <c r="BP61" s="205">
        <f t="shared" si="82"/>
        <v>227.8740963443646</v>
      </c>
      <c r="BQ61" s="205">
        <f t="shared" si="82"/>
        <v>229.93947499824498</v>
      </c>
      <c r="BR61" s="205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232.00485365212532</v>
      </c>
      <c r="BS61" s="205">
        <f t="shared" si="83"/>
        <v>234.07023230600569</v>
      </c>
      <c r="BT61" s="205">
        <f t="shared" si="83"/>
        <v>241.59287516092411</v>
      </c>
      <c r="BU61" s="205">
        <f t="shared" si="83"/>
        <v>249.1155180158425</v>
      </c>
      <c r="BV61" s="205">
        <f t="shared" si="83"/>
        <v>256.63816087076088</v>
      </c>
      <c r="BW61" s="205">
        <f t="shared" si="83"/>
        <v>264.16080372567933</v>
      </c>
      <c r="BX61" s="205">
        <f t="shared" si="83"/>
        <v>271.68344658059772</v>
      </c>
      <c r="BY61" s="205">
        <f t="shared" si="83"/>
        <v>279.20608943551611</v>
      </c>
      <c r="BZ61" s="205">
        <f t="shared" si="83"/>
        <v>286.72873229043455</v>
      </c>
      <c r="CA61" s="205">
        <f t="shared" si="83"/>
        <v>294.25137514535294</v>
      </c>
      <c r="CB61" s="205">
        <f t="shared" si="83"/>
        <v>301.77401800027133</v>
      </c>
      <c r="CC61" s="205">
        <f t="shared" si="83"/>
        <v>309.29666085518977</v>
      </c>
      <c r="CD61" s="205">
        <f t="shared" si="83"/>
        <v>316.81930371010816</v>
      </c>
      <c r="CE61" s="205">
        <f t="shared" si="83"/>
        <v>324.34194656502655</v>
      </c>
      <c r="CF61" s="205">
        <f t="shared" si="83"/>
        <v>331.86458941994499</v>
      </c>
      <c r="CG61" s="205">
        <f t="shared" si="83"/>
        <v>339.38723227486338</v>
      </c>
      <c r="CH61" s="205">
        <f t="shared" si="83"/>
        <v>346.90987512978177</v>
      </c>
      <c r="CI61" s="205">
        <f t="shared" si="83"/>
        <v>354.43251798470021</v>
      </c>
      <c r="CJ61" s="205">
        <f t="shared" si="83"/>
        <v>361.9551608396186</v>
      </c>
      <c r="CK61" s="205">
        <f t="shared" si="83"/>
        <v>369.47780369453699</v>
      </c>
      <c r="CL61" s="205">
        <f t="shared" si="83"/>
        <v>377.00044654945543</v>
      </c>
      <c r="CM61" s="205">
        <f t="shared" si="83"/>
        <v>384.52308940437376</v>
      </c>
      <c r="CN61" s="205">
        <f t="shared" si="83"/>
        <v>392.04573225929221</v>
      </c>
      <c r="CO61" s="205">
        <f t="shared" si="83"/>
        <v>399.56837511421065</v>
      </c>
      <c r="CP61" s="205">
        <f t="shared" si="83"/>
        <v>435.68886704819852</v>
      </c>
      <c r="CQ61" s="205">
        <f t="shared" si="83"/>
        <v>500.40720806125586</v>
      </c>
      <c r="CR61" s="205">
        <f t="shared" si="83"/>
        <v>565.1255490743132</v>
      </c>
      <c r="CS61" s="205">
        <f t="shared" si="83"/>
        <v>629.8438900873706</v>
      </c>
      <c r="CT61" s="205">
        <f t="shared" si="83"/>
        <v>694.56223110042788</v>
      </c>
      <c r="CU61" s="205">
        <f t="shared" si="83"/>
        <v>759.28057211348528</v>
      </c>
      <c r="CV61" s="205">
        <f t="shared" si="83"/>
        <v>823.99891312654267</v>
      </c>
      <c r="CW61" s="205">
        <f t="shared" si="83"/>
        <v>888.71725413959996</v>
      </c>
      <c r="CX61" s="205">
        <f t="shared" si="83"/>
        <v>953.43559515265736</v>
      </c>
      <c r="CY61" s="205">
        <f t="shared" si="83"/>
        <v>1018.1539361657146</v>
      </c>
      <c r="CZ61" s="205">
        <f t="shared" si="83"/>
        <v>1054.7286066722434</v>
      </c>
      <c r="DA61" s="205">
        <f t="shared" si="83"/>
        <v>1063.1596066722434</v>
      </c>
    </row>
    <row r="62" spans="1:105" s="205" customFormat="1">
      <c r="A62" s="205" t="str">
        <f>Income!A75</f>
        <v>Animal products sold</v>
      </c>
      <c r="F62" s="205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5">
        <f t="shared" si="84"/>
        <v>0</v>
      </c>
      <c r="H62" s="205">
        <f t="shared" si="84"/>
        <v>0</v>
      </c>
      <c r="I62" s="205">
        <f t="shared" si="84"/>
        <v>0</v>
      </c>
      <c r="J62" s="205">
        <f t="shared" si="84"/>
        <v>0</v>
      </c>
      <c r="K62" s="205">
        <f t="shared" si="84"/>
        <v>0</v>
      </c>
      <c r="L62" s="205">
        <f t="shared" si="84"/>
        <v>0</v>
      </c>
      <c r="M62" s="205">
        <f t="shared" si="84"/>
        <v>0</v>
      </c>
      <c r="N62" s="205">
        <f t="shared" si="84"/>
        <v>0</v>
      </c>
      <c r="O62" s="205">
        <f t="shared" si="84"/>
        <v>0</v>
      </c>
      <c r="P62" s="205">
        <f t="shared" si="84"/>
        <v>0</v>
      </c>
      <c r="Q62" s="205">
        <f t="shared" si="84"/>
        <v>0</v>
      </c>
      <c r="R62" s="205">
        <f t="shared" si="84"/>
        <v>0</v>
      </c>
      <c r="S62" s="205">
        <f t="shared" si="84"/>
        <v>0</v>
      </c>
      <c r="T62" s="205">
        <f t="shared" si="84"/>
        <v>0</v>
      </c>
      <c r="U62" s="205">
        <f t="shared" si="84"/>
        <v>0</v>
      </c>
      <c r="V62" s="205">
        <f t="shared" si="84"/>
        <v>0</v>
      </c>
      <c r="W62" s="205">
        <f t="shared" si="84"/>
        <v>0</v>
      </c>
      <c r="X62" s="205">
        <f t="shared" si="84"/>
        <v>0</v>
      </c>
      <c r="Y62" s="205">
        <f t="shared" si="84"/>
        <v>0</v>
      </c>
      <c r="Z62" s="205">
        <f t="shared" si="84"/>
        <v>0</v>
      </c>
      <c r="AA62" s="205">
        <f t="shared" si="84"/>
        <v>0</v>
      </c>
      <c r="AB62" s="205">
        <f t="shared" si="84"/>
        <v>0</v>
      </c>
      <c r="AC62" s="205">
        <f t="shared" si="84"/>
        <v>0</v>
      </c>
      <c r="AD62" s="205">
        <f t="shared" si="84"/>
        <v>0</v>
      </c>
      <c r="AE62" s="205">
        <f t="shared" si="84"/>
        <v>0</v>
      </c>
      <c r="AF62" s="205">
        <f t="shared" si="84"/>
        <v>0</v>
      </c>
      <c r="AG62" s="205">
        <f t="shared" si="84"/>
        <v>0</v>
      </c>
      <c r="AH62" s="205">
        <f t="shared" si="84"/>
        <v>0</v>
      </c>
      <c r="AI62" s="205">
        <f t="shared" si="84"/>
        <v>0</v>
      </c>
      <c r="AJ62" s="205">
        <f t="shared" si="84"/>
        <v>0</v>
      </c>
      <c r="AK62" s="205">
        <f t="shared" si="84"/>
        <v>0</v>
      </c>
      <c r="AL62" s="205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5">
        <f t="shared" si="85"/>
        <v>0</v>
      </c>
      <c r="AN62" s="205">
        <f t="shared" si="85"/>
        <v>0</v>
      </c>
      <c r="AO62" s="205">
        <f t="shared" si="85"/>
        <v>0</v>
      </c>
      <c r="AP62" s="205">
        <f t="shared" si="85"/>
        <v>0</v>
      </c>
      <c r="AQ62" s="205">
        <f t="shared" si="85"/>
        <v>0</v>
      </c>
      <c r="AR62" s="205">
        <f t="shared" si="85"/>
        <v>0</v>
      </c>
      <c r="AS62" s="205">
        <f t="shared" si="85"/>
        <v>0</v>
      </c>
      <c r="AT62" s="205">
        <f t="shared" si="85"/>
        <v>0</v>
      </c>
      <c r="AU62" s="205">
        <f t="shared" si="85"/>
        <v>0</v>
      </c>
      <c r="AV62" s="205">
        <f t="shared" si="85"/>
        <v>0</v>
      </c>
      <c r="AW62" s="205">
        <f t="shared" si="85"/>
        <v>0</v>
      </c>
      <c r="AX62" s="205">
        <f t="shared" si="85"/>
        <v>0</v>
      </c>
      <c r="AY62" s="205">
        <f t="shared" si="85"/>
        <v>0</v>
      </c>
      <c r="AZ62" s="205">
        <f t="shared" si="85"/>
        <v>0</v>
      </c>
      <c r="BA62" s="205">
        <f t="shared" si="85"/>
        <v>0</v>
      </c>
      <c r="BB62" s="205">
        <f t="shared" si="85"/>
        <v>0</v>
      </c>
      <c r="BC62" s="205">
        <f t="shared" si="85"/>
        <v>0</v>
      </c>
      <c r="BD62" s="205">
        <f t="shared" si="85"/>
        <v>0</v>
      </c>
      <c r="BE62" s="205">
        <f t="shared" si="85"/>
        <v>0</v>
      </c>
      <c r="BF62" s="205">
        <f t="shared" si="85"/>
        <v>0</v>
      </c>
      <c r="BG62" s="205">
        <f t="shared" si="85"/>
        <v>0</v>
      </c>
      <c r="BH62" s="205">
        <f t="shared" si="85"/>
        <v>0</v>
      </c>
      <c r="BI62" s="205">
        <f t="shared" si="85"/>
        <v>0</v>
      </c>
      <c r="BJ62" s="205">
        <f t="shared" si="85"/>
        <v>0</v>
      </c>
      <c r="BK62" s="205">
        <f t="shared" si="85"/>
        <v>0</v>
      </c>
      <c r="BL62" s="205">
        <f t="shared" si="85"/>
        <v>0</v>
      </c>
      <c r="BM62" s="205">
        <f t="shared" si="85"/>
        <v>0</v>
      </c>
      <c r="BN62" s="205">
        <f t="shared" si="85"/>
        <v>0</v>
      </c>
      <c r="BO62" s="205">
        <f t="shared" si="85"/>
        <v>0</v>
      </c>
      <c r="BP62" s="205">
        <f t="shared" si="85"/>
        <v>0</v>
      </c>
      <c r="BQ62" s="205">
        <f t="shared" si="85"/>
        <v>0</v>
      </c>
      <c r="BR62" s="205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5">
        <f t="shared" si="86"/>
        <v>0</v>
      </c>
      <c r="BT62" s="205">
        <f t="shared" si="86"/>
        <v>0</v>
      </c>
      <c r="BU62" s="205">
        <f t="shared" si="86"/>
        <v>0</v>
      </c>
      <c r="BV62" s="205">
        <f t="shared" si="86"/>
        <v>0</v>
      </c>
      <c r="BW62" s="205">
        <f t="shared" si="86"/>
        <v>0</v>
      </c>
      <c r="BX62" s="205">
        <f t="shared" si="86"/>
        <v>0</v>
      </c>
      <c r="BY62" s="205">
        <f t="shared" si="86"/>
        <v>0</v>
      </c>
      <c r="BZ62" s="205">
        <f t="shared" si="86"/>
        <v>0</v>
      </c>
      <c r="CA62" s="205">
        <f t="shared" si="86"/>
        <v>0</v>
      </c>
      <c r="CB62" s="205">
        <f t="shared" si="86"/>
        <v>0</v>
      </c>
      <c r="CC62" s="205">
        <f t="shared" si="86"/>
        <v>0</v>
      </c>
      <c r="CD62" s="205">
        <f t="shared" si="86"/>
        <v>0</v>
      </c>
      <c r="CE62" s="205">
        <f t="shared" si="86"/>
        <v>0</v>
      </c>
      <c r="CF62" s="205">
        <f t="shared" si="86"/>
        <v>0</v>
      </c>
      <c r="CG62" s="205">
        <f t="shared" si="86"/>
        <v>0</v>
      </c>
      <c r="CH62" s="205">
        <f t="shared" si="86"/>
        <v>0</v>
      </c>
      <c r="CI62" s="205">
        <f t="shared" si="86"/>
        <v>0</v>
      </c>
      <c r="CJ62" s="205">
        <f t="shared" si="86"/>
        <v>0</v>
      </c>
      <c r="CK62" s="205">
        <f t="shared" si="86"/>
        <v>0</v>
      </c>
      <c r="CL62" s="205">
        <f t="shared" si="86"/>
        <v>0</v>
      </c>
      <c r="CM62" s="205">
        <f t="shared" si="86"/>
        <v>0</v>
      </c>
      <c r="CN62" s="205">
        <f t="shared" si="86"/>
        <v>0</v>
      </c>
      <c r="CO62" s="205">
        <f t="shared" si="86"/>
        <v>0</v>
      </c>
      <c r="CP62" s="205">
        <f t="shared" si="86"/>
        <v>0</v>
      </c>
      <c r="CQ62" s="205">
        <f t="shared" si="86"/>
        <v>0</v>
      </c>
      <c r="CR62" s="205">
        <f t="shared" si="86"/>
        <v>0</v>
      </c>
      <c r="CS62" s="205">
        <f t="shared" si="86"/>
        <v>0</v>
      </c>
      <c r="CT62" s="205">
        <f t="shared" si="86"/>
        <v>0</v>
      </c>
      <c r="CU62" s="205">
        <f t="shared" si="86"/>
        <v>0</v>
      </c>
      <c r="CV62" s="205">
        <f t="shared" si="86"/>
        <v>0</v>
      </c>
      <c r="CW62" s="205">
        <f t="shared" si="86"/>
        <v>0</v>
      </c>
      <c r="CX62" s="205">
        <f t="shared" si="86"/>
        <v>0</v>
      </c>
      <c r="CY62" s="205">
        <f t="shared" si="86"/>
        <v>0</v>
      </c>
      <c r="CZ62" s="205">
        <f t="shared" si="86"/>
        <v>0</v>
      </c>
      <c r="DA62" s="205">
        <f t="shared" si="86"/>
        <v>0</v>
      </c>
    </row>
    <row r="63" spans="1:105" s="205" customFormat="1">
      <c r="A63" s="205" t="str">
        <f>Income!A76</f>
        <v>Animals sold</v>
      </c>
      <c r="F63" s="205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0</v>
      </c>
      <c r="G63" s="205">
        <f t="shared" si="87"/>
        <v>0</v>
      </c>
      <c r="H63" s="205">
        <f t="shared" si="87"/>
        <v>0</v>
      </c>
      <c r="I63" s="205">
        <f t="shared" si="87"/>
        <v>0</v>
      </c>
      <c r="J63" s="205">
        <f t="shared" si="87"/>
        <v>0</v>
      </c>
      <c r="K63" s="205">
        <f t="shared" si="87"/>
        <v>0</v>
      </c>
      <c r="L63" s="205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0</v>
      </c>
      <c r="M63" s="205">
        <f t="shared" si="87"/>
        <v>0</v>
      </c>
      <c r="N63" s="205">
        <f t="shared" si="87"/>
        <v>0</v>
      </c>
      <c r="O63" s="205">
        <f t="shared" si="87"/>
        <v>0</v>
      </c>
      <c r="P63" s="205">
        <f t="shared" si="87"/>
        <v>0</v>
      </c>
      <c r="Q63" s="205">
        <f t="shared" si="87"/>
        <v>0</v>
      </c>
      <c r="R63" s="205">
        <f t="shared" si="87"/>
        <v>0</v>
      </c>
      <c r="S63" s="205">
        <f t="shared" si="87"/>
        <v>0</v>
      </c>
      <c r="T63" s="205">
        <f t="shared" si="87"/>
        <v>0</v>
      </c>
      <c r="U63" s="205">
        <f t="shared" si="87"/>
        <v>0</v>
      </c>
      <c r="V63" s="205">
        <f t="shared" si="87"/>
        <v>0</v>
      </c>
      <c r="W63" s="205">
        <f t="shared" si="87"/>
        <v>0</v>
      </c>
      <c r="X63" s="205">
        <f t="shared" si="87"/>
        <v>0</v>
      </c>
      <c r="Y63" s="205">
        <f t="shared" si="87"/>
        <v>0</v>
      </c>
      <c r="Z63" s="205">
        <f t="shared" si="87"/>
        <v>0</v>
      </c>
      <c r="AA63" s="205">
        <f t="shared" si="87"/>
        <v>0</v>
      </c>
      <c r="AB63" s="205">
        <f t="shared" si="87"/>
        <v>0</v>
      </c>
      <c r="AC63" s="205">
        <f t="shared" si="87"/>
        <v>0</v>
      </c>
      <c r="AD63" s="205">
        <f t="shared" si="87"/>
        <v>0</v>
      </c>
      <c r="AE63" s="205">
        <f t="shared" si="87"/>
        <v>0</v>
      </c>
      <c r="AF63" s="205">
        <f t="shared" si="87"/>
        <v>12.500000000000002</v>
      </c>
      <c r="AG63" s="205">
        <f t="shared" si="87"/>
        <v>25.000000000000004</v>
      </c>
      <c r="AH63" s="205">
        <f t="shared" si="87"/>
        <v>37.500000000000007</v>
      </c>
      <c r="AI63" s="205">
        <f t="shared" si="87"/>
        <v>50.000000000000007</v>
      </c>
      <c r="AJ63" s="205">
        <f t="shared" si="87"/>
        <v>62.500000000000007</v>
      </c>
      <c r="AK63" s="205">
        <f t="shared" si="87"/>
        <v>75.000000000000014</v>
      </c>
      <c r="AL63" s="205">
        <f t="shared" si="87"/>
        <v>87.500000000000014</v>
      </c>
      <c r="AM63" s="205">
        <f t="shared" si="87"/>
        <v>100.00000000000001</v>
      </c>
      <c r="AN63" s="205">
        <f t="shared" si="87"/>
        <v>112.50000000000001</v>
      </c>
      <c r="AO63" s="205">
        <f t="shared" si="87"/>
        <v>125.00000000000001</v>
      </c>
      <c r="AP63" s="205">
        <f t="shared" si="87"/>
        <v>137.50000000000003</v>
      </c>
      <c r="AQ63" s="205">
        <f t="shared" si="87"/>
        <v>150.00000000000003</v>
      </c>
      <c r="AR63" s="205">
        <f t="shared" si="87"/>
        <v>162.50000000000003</v>
      </c>
      <c r="AS63" s="205">
        <f t="shared" si="87"/>
        <v>175.00000000000003</v>
      </c>
      <c r="AT63" s="205">
        <f t="shared" si="87"/>
        <v>187.50000000000003</v>
      </c>
      <c r="AU63" s="205">
        <f t="shared" si="87"/>
        <v>200.00000000000003</v>
      </c>
      <c r="AV63" s="205">
        <f t="shared" si="87"/>
        <v>212.50000000000003</v>
      </c>
      <c r="AW63" s="205">
        <f t="shared" si="87"/>
        <v>225.00000000000003</v>
      </c>
      <c r="AX63" s="205">
        <f t="shared" si="87"/>
        <v>237.50000000000003</v>
      </c>
      <c r="AY63" s="205">
        <f t="shared" si="87"/>
        <v>250.00000000000003</v>
      </c>
      <c r="AZ63" s="205">
        <f t="shared" si="87"/>
        <v>262.50000000000006</v>
      </c>
      <c r="BA63" s="205">
        <f t="shared" si="87"/>
        <v>275.00000000000006</v>
      </c>
      <c r="BB63" s="205">
        <f t="shared" si="87"/>
        <v>287.50000000000006</v>
      </c>
      <c r="BC63" s="205">
        <f t="shared" si="87"/>
        <v>300.00000000000006</v>
      </c>
      <c r="BD63" s="205">
        <f t="shared" si="87"/>
        <v>312.50000000000006</v>
      </c>
      <c r="BE63" s="205">
        <f t="shared" si="87"/>
        <v>325.00000000000006</v>
      </c>
      <c r="BF63" s="205">
        <f t="shared" si="87"/>
        <v>337.50000000000006</v>
      </c>
      <c r="BG63" s="205">
        <f t="shared" si="87"/>
        <v>350.00000000000006</v>
      </c>
      <c r="BH63" s="205">
        <f t="shared" si="87"/>
        <v>362.50000000000006</v>
      </c>
      <c r="BI63" s="205">
        <f t="shared" si="87"/>
        <v>375.00000000000006</v>
      </c>
      <c r="BJ63" s="205">
        <f t="shared" si="87"/>
        <v>387.50000000000006</v>
      </c>
      <c r="BK63" s="205">
        <f t="shared" si="87"/>
        <v>400.00000000000006</v>
      </c>
      <c r="BL63" s="205">
        <f t="shared" si="87"/>
        <v>412.50000000000006</v>
      </c>
      <c r="BM63" s="205">
        <f t="shared" si="87"/>
        <v>425.00000000000006</v>
      </c>
      <c r="BN63" s="205">
        <f t="shared" si="87"/>
        <v>437.50000000000006</v>
      </c>
      <c r="BO63" s="205">
        <f t="shared" si="87"/>
        <v>450.00000000000006</v>
      </c>
      <c r="BP63" s="205">
        <f t="shared" si="87"/>
        <v>462.50000000000006</v>
      </c>
      <c r="BQ63" s="205">
        <f t="shared" si="87"/>
        <v>475.00000000000006</v>
      </c>
      <c r="BR63" s="205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487.50000000000006</v>
      </c>
      <c r="BS63" s="205">
        <f t="shared" si="89"/>
        <v>500.00000000000006</v>
      </c>
      <c r="BT63" s="205">
        <f t="shared" si="89"/>
        <v>633.33333333333337</v>
      </c>
      <c r="BU63" s="205">
        <f t="shared" si="89"/>
        <v>766.66666666666674</v>
      </c>
      <c r="BV63" s="205">
        <f t="shared" si="89"/>
        <v>900</v>
      </c>
      <c r="BW63" s="205">
        <f t="shared" si="89"/>
        <v>1033.3333333333335</v>
      </c>
      <c r="BX63" s="205">
        <f t="shared" si="89"/>
        <v>1166.6666666666667</v>
      </c>
      <c r="BY63" s="205">
        <f t="shared" si="89"/>
        <v>1300</v>
      </c>
      <c r="BZ63" s="205">
        <f t="shared" si="89"/>
        <v>1433.3333333333335</v>
      </c>
      <c r="CA63" s="205">
        <f t="shared" si="89"/>
        <v>1566.6666666666667</v>
      </c>
      <c r="CB63" s="205">
        <f t="shared" si="89"/>
        <v>1700</v>
      </c>
      <c r="CC63" s="205">
        <f t="shared" si="89"/>
        <v>1833.3333333333335</v>
      </c>
      <c r="CD63" s="205">
        <f t="shared" si="89"/>
        <v>1966.6666666666667</v>
      </c>
      <c r="CE63" s="205">
        <f t="shared" si="89"/>
        <v>2100</v>
      </c>
      <c r="CF63" s="205">
        <f t="shared" si="89"/>
        <v>2233.3333333333335</v>
      </c>
      <c r="CG63" s="205">
        <f t="shared" si="89"/>
        <v>2366.666666666667</v>
      </c>
      <c r="CH63" s="205">
        <f t="shared" si="89"/>
        <v>2500.0000000000005</v>
      </c>
      <c r="CI63" s="205">
        <f t="shared" si="89"/>
        <v>2633.3333333333335</v>
      </c>
      <c r="CJ63" s="205">
        <f t="shared" si="89"/>
        <v>2766.666666666667</v>
      </c>
      <c r="CK63" s="205">
        <f t="shared" si="89"/>
        <v>2900</v>
      </c>
      <c r="CL63" s="205">
        <f t="shared" si="89"/>
        <v>3033.3333333333335</v>
      </c>
      <c r="CM63" s="205">
        <f t="shared" si="89"/>
        <v>3166.666666666667</v>
      </c>
      <c r="CN63" s="205">
        <f t="shared" si="89"/>
        <v>3300</v>
      </c>
      <c r="CO63" s="205">
        <f t="shared" si="89"/>
        <v>3433.3333333333335</v>
      </c>
      <c r="CP63" s="205">
        <f t="shared" si="89"/>
        <v>3816.1111111111113</v>
      </c>
      <c r="CQ63" s="205">
        <f t="shared" si="89"/>
        <v>4448.3333333333339</v>
      </c>
      <c r="CR63" s="205">
        <f t="shared" si="89"/>
        <v>5080.5555555555557</v>
      </c>
      <c r="CS63" s="205">
        <f t="shared" si="89"/>
        <v>5712.7777777777774</v>
      </c>
      <c r="CT63" s="205">
        <f t="shared" si="89"/>
        <v>6345</v>
      </c>
      <c r="CU63" s="205">
        <f t="shared" si="89"/>
        <v>6977.2222222222226</v>
      </c>
      <c r="CV63" s="205">
        <f t="shared" si="89"/>
        <v>7609.4444444444453</v>
      </c>
      <c r="CW63" s="205">
        <f t="shared" si="89"/>
        <v>8241.6666666666679</v>
      </c>
      <c r="CX63" s="205">
        <f t="shared" si="89"/>
        <v>8873.8888888888905</v>
      </c>
      <c r="CY63" s="205">
        <f t="shared" si="89"/>
        <v>9506.1111111111113</v>
      </c>
      <c r="CZ63" s="205">
        <f t="shared" si="89"/>
        <v>9822.2222222222226</v>
      </c>
      <c r="DA63" s="205">
        <f t="shared" si="89"/>
        <v>9822.2222222222226</v>
      </c>
    </row>
    <row r="64" spans="1:105" s="205" customFormat="1">
      <c r="A64" s="205" t="str">
        <f>Income!A77</f>
        <v>Wild foods consumed and sold</v>
      </c>
      <c r="F64" s="205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5">
        <f t="shared" si="90"/>
        <v>0</v>
      </c>
      <c r="H64" s="205">
        <f t="shared" si="90"/>
        <v>0</v>
      </c>
      <c r="I64" s="205">
        <f t="shared" si="90"/>
        <v>0</v>
      </c>
      <c r="J64" s="205">
        <f t="shared" si="90"/>
        <v>0</v>
      </c>
      <c r="K64" s="205">
        <f t="shared" si="90"/>
        <v>0</v>
      </c>
      <c r="L64" s="205">
        <f t="shared" si="88"/>
        <v>0</v>
      </c>
      <c r="M64" s="205">
        <f t="shared" si="90"/>
        <v>0</v>
      </c>
      <c r="N64" s="205">
        <f t="shared" si="90"/>
        <v>0</v>
      </c>
      <c r="O64" s="205">
        <f t="shared" si="90"/>
        <v>0</v>
      </c>
      <c r="P64" s="205">
        <f t="shared" si="90"/>
        <v>0</v>
      </c>
      <c r="Q64" s="205">
        <f t="shared" si="90"/>
        <v>0</v>
      </c>
      <c r="R64" s="205">
        <f t="shared" si="90"/>
        <v>0</v>
      </c>
      <c r="S64" s="205">
        <f t="shared" si="90"/>
        <v>0</v>
      </c>
      <c r="T64" s="205">
        <f t="shared" si="90"/>
        <v>0</v>
      </c>
      <c r="U64" s="205">
        <f t="shared" si="90"/>
        <v>0</v>
      </c>
      <c r="V64" s="205">
        <f t="shared" si="90"/>
        <v>0</v>
      </c>
      <c r="W64" s="205">
        <f t="shared" si="90"/>
        <v>0</v>
      </c>
      <c r="X64" s="205">
        <f t="shared" si="90"/>
        <v>0</v>
      </c>
      <c r="Y64" s="205">
        <f t="shared" si="90"/>
        <v>0</v>
      </c>
      <c r="Z64" s="205">
        <f t="shared" si="90"/>
        <v>0</v>
      </c>
      <c r="AA64" s="205">
        <f t="shared" si="90"/>
        <v>0</v>
      </c>
      <c r="AB64" s="205">
        <f t="shared" si="90"/>
        <v>0</v>
      </c>
      <c r="AC64" s="205">
        <f t="shared" si="90"/>
        <v>0</v>
      </c>
      <c r="AD64" s="205">
        <f t="shared" si="90"/>
        <v>0</v>
      </c>
      <c r="AE64" s="205">
        <f t="shared" si="90"/>
        <v>0</v>
      </c>
      <c r="AF64" s="205">
        <f t="shared" si="90"/>
        <v>0</v>
      </c>
      <c r="AG64" s="205">
        <f t="shared" si="90"/>
        <v>0</v>
      </c>
      <c r="AH64" s="205">
        <f t="shared" si="90"/>
        <v>0</v>
      </c>
      <c r="AI64" s="205">
        <f t="shared" si="90"/>
        <v>0</v>
      </c>
      <c r="AJ64" s="205">
        <f t="shared" si="90"/>
        <v>0</v>
      </c>
      <c r="AK64" s="205">
        <f t="shared" si="90"/>
        <v>0</v>
      </c>
      <c r="AL64" s="205">
        <f t="shared" si="90"/>
        <v>0</v>
      </c>
      <c r="AM64" s="205">
        <f t="shared" si="90"/>
        <v>0</v>
      </c>
      <c r="AN64" s="205">
        <f t="shared" si="90"/>
        <v>0</v>
      </c>
      <c r="AO64" s="205">
        <f t="shared" si="90"/>
        <v>0</v>
      </c>
      <c r="AP64" s="205">
        <f t="shared" si="90"/>
        <v>0</v>
      </c>
      <c r="AQ64" s="205">
        <f t="shared" si="90"/>
        <v>0</v>
      </c>
      <c r="AR64" s="205">
        <f t="shared" si="90"/>
        <v>0</v>
      </c>
      <c r="AS64" s="205">
        <f t="shared" si="90"/>
        <v>0</v>
      </c>
      <c r="AT64" s="205">
        <f t="shared" si="90"/>
        <v>0</v>
      </c>
      <c r="AU64" s="205">
        <f t="shared" si="90"/>
        <v>0</v>
      </c>
      <c r="AV64" s="205">
        <f t="shared" si="90"/>
        <v>0</v>
      </c>
      <c r="AW64" s="205">
        <f t="shared" si="90"/>
        <v>0</v>
      </c>
      <c r="AX64" s="205">
        <f t="shared" si="90"/>
        <v>0</v>
      </c>
      <c r="AY64" s="205">
        <f t="shared" si="90"/>
        <v>0</v>
      </c>
      <c r="AZ64" s="205">
        <f t="shared" si="90"/>
        <v>0</v>
      </c>
      <c r="BA64" s="205">
        <f t="shared" si="90"/>
        <v>0</v>
      </c>
      <c r="BB64" s="205">
        <f t="shared" si="90"/>
        <v>0</v>
      </c>
      <c r="BC64" s="205">
        <f t="shared" si="90"/>
        <v>0</v>
      </c>
      <c r="BD64" s="205">
        <f t="shared" si="90"/>
        <v>0</v>
      </c>
      <c r="BE64" s="205">
        <f t="shared" si="90"/>
        <v>0</v>
      </c>
      <c r="BF64" s="205">
        <f t="shared" si="90"/>
        <v>0</v>
      </c>
      <c r="BG64" s="205">
        <f t="shared" si="90"/>
        <v>0</v>
      </c>
      <c r="BH64" s="205">
        <f t="shared" si="90"/>
        <v>0</v>
      </c>
      <c r="BI64" s="205">
        <f t="shared" si="90"/>
        <v>0</v>
      </c>
      <c r="BJ64" s="205">
        <f t="shared" si="90"/>
        <v>0</v>
      </c>
      <c r="BK64" s="205">
        <f t="shared" si="90"/>
        <v>0</v>
      </c>
      <c r="BL64" s="205">
        <f t="shared" si="90"/>
        <v>0</v>
      </c>
      <c r="BM64" s="205">
        <f t="shared" si="90"/>
        <v>0</v>
      </c>
      <c r="BN64" s="205">
        <f t="shared" si="90"/>
        <v>0</v>
      </c>
      <c r="BO64" s="205">
        <f t="shared" si="90"/>
        <v>0</v>
      </c>
      <c r="BP64" s="205">
        <f t="shared" si="90"/>
        <v>0</v>
      </c>
      <c r="BQ64" s="205">
        <f t="shared" si="90"/>
        <v>0</v>
      </c>
      <c r="BR64" s="205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5">
        <f t="shared" si="91"/>
        <v>0</v>
      </c>
      <c r="BT64" s="205">
        <f t="shared" si="91"/>
        <v>0</v>
      </c>
      <c r="BU64" s="205">
        <f t="shared" si="91"/>
        <v>0</v>
      </c>
      <c r="BV64" s="205">
        <f t="shared" si="91"/>
        <v>0</v>
      </c>
      <c r="BW64" s="205">
        <f t="shared" si="91"/>
        <v>0</v>
      </c>
      <c r="BX64" s="205">
        <f t="shared" si="91"/>
        <v>0</v>
      </c>
      <c r="BY64" s="205">
        <f t="shared" si="91"/>
        <v>0</v>
      </c>
      <c r="BZ64" s="205">
        <f t="shared" si="91"/>
        <v>0</v>
      </c>
      <c r="CA64" s="205">
        <f t="shared" si="91"/>
        <v>0</v>
      </c>
      <c r="CB64" s="205">
        <f t="shared" si="91"/>
        <v>0</v>
      </c>
      <c r="CC64" s="205">
        <f t="shared" si="91"/>
        <v>0</v>
      </c>
      <c r="CD64" s="205">
        <f t="shared" si="91"/>
        <v>0</v>
      </c>
      <c r="CE64" s="205">
        <f t="shared" si="91"/>
        <v>0</v>
      </c>
      <c r="CF64" s="205">
        <f t="shared" si="91"/>
        <v>0</v>
      </c>
      <c r="CG64" s="205">
        <f t="shared" si="91"/>
        <v>0</v>
      </c>
      <c r="CH64" s="205">
        <f t="shared" si="91"/>
        <v>0</v>
      </c>
      <c r="CI64" s="205">
        <f t="shared" si="91"/>
        <v>0</v>
      </c>
      <c r="CJ64" s="205">
        <f t="shared" si="91"/>
        <v>0</v>
      </c>
      <c r="CK64" s="205">
        <f t="shared" si="91"/>
        <v>0</v>
      </c>
      <c r="CL64" s="205">
        <f t="shared" si="91"/>
        <v>0</v>
      </c>
      <c r="CM64" s="205">
        <f t="shared" si="91"/>
        <v>0</v>
      </c>
      <c r="CN64" s="205">
        <f t="shared" si="91"/>
        <v>0</v>
      </c>
      <c r="CO64" s="205">
        <f t="shared" si="91"/>
        <v>0</v>
      </c>
      <c r="CP64" s="205">
        <f t="shared" si="91"/>
        <v>3.9693284920193803</v>
      </c>
      <c r="CQ64" s="205">
        <f t="shared" si="91"/>
        <v>11.907985476058141</v>
      </c>
      <c r="CR64" s="205">
        <f t="shared" si="91"/>
        <v>19.846642460096902</v>
      </c>
      <c r="CS64" s="205">
        <f t="shared" si="91"/>
        <v>27.785299444135664</v>
      </c>
      <c r="CT64" s="205">
        <f t="shared" si="91"/>
        <v>35.723956428174425</v>
      </c>
      <c r="CU64" s="205">
        <f t="shared" si="91"/>
        <v>43.662613412213183</v>
      </c>
      <c r="CV64" s="205">
        <f t="shared" si="91"/>
        <v>51.601270396251941</v>
      </c>
      <c r="CW64" s="205">
        <f t="shared" si="91"/>
        <v>59.539927380290706</v>
      </c>
      <c r="CX64" s="205">
        <f t="shared" si="91"/>
        <v>67.478584364329464</v>
      </c>
      <c r="CY64" s="205">
        <f t="shared" si="91"/>
        <v>75.417241348368222</v>
      </c>
      <c r="CZ64" s="205">
        <f t="shared" si="91"/>
        <v>105.48156984038755</v>
      </c>
      <c r="DA64" s="205">
        <f t="shared" si="91"/>
        <v>157.67156984038743</v>
      </c>
    </row>
    <row r="65" spans="1:105" s="205" customFormat="1">
      <c r="A65" s="205" t="str">
        <f>Income!A78</f>
        <v>Labour - casual</v>
      </c>
      <c r="F65" s="205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0</v>
      </c>
      <c r="G65" s="205">
        <f t="shared" si="92"/>
        <v>0</v>
      </c>
      <c r="H65" s="205">
        <f t="shared" si="92"/>
        <v>0</v>
      </c>
      <c r="I65" s="205">
        <f t="shared" si="92"/>
        <v>0</v>
      </c>
      <c r="J65" s="205">
        <f t="shared" si="92"/>
        <v>0</v>
      </c>
      <c r="K65" s="205">
        <f t="shared" si="92"/>
        <v>0</v>
      </c>
      <c r="L65" s="205">
        <f t="shared" si="88"/>
        <v>0</v>
      </c>
      <c r="M65" s="205">
        <f t="shared" si="92"/>
        <v>0</v>
      </c>
      <c r="N65" s="205">
        <f t="shared" si="92"/>
        <v>0</v>
      </c>
      <c r="O65" s="205">
        <f t="shared" si="92"/>
        <v>0</v>
      </c>
      <c r="P65" s="205">
        <f t="shared" si="92"/>
        <v>0</v>
      </c>
      <c r="Q65" s="205">
        <f t="shared" si="92"/>
        <v>0</v>
      </c>
      <c r="R65" s="205">
        <f t="shared" si="92"/>
        <v>0</v>
      </c>
      <c r="S65" s="205">
        <f t="shared" si="92"/>
        <v>0</v>
      </c>
      <c r="T65" s="205">
        <f t="shared" si="92"/>
        <v>0</v>
      </c>
      <c r="U65" s="205">
        <f t="shared" si="92"/>
        <v>0</v>
      </c>
      <c r="V65" s="205">
        <f t="shared" si="92"/>
        <v>0</v>
      </c>
      <c r="W65" s="205">
        <f t="shared" si="92"/>
        <v>0</v>
      </c>
      <c r="X65" s="205">
        <f t="shared" si="92"/>
        <v>0</v>
      </c>
      <c r="Y65" s="205">
        <f t="shared" si="92"/>
        <v>0</v>
      </c>
      <c r="Z65" s="205">
        <f t="shared" si="92"/>
        <v>0</v>
      </c>
      <c r="AA65" s="205">
        <f t="shared" si="92"/>
        <v>0</v>
      </c>
      <c r="AB65" s="205">
        <f t="shared" si="92"/>
        <v>0</v>
      </c>
      <c r="AC65" s="205">
        <f t="shared" si="92"/>
        <v>0</v>
      </c>
      <c r="AD65" s="205">
        <f t="shared" si="92"/>
        <v>0</v>
      </c>
      <c r="AE65" s="205">
        <f t="shared" si="92"/>
        <v>0</v>
      </c>
      <c r="AF65" s="205">
        <f t="shared" si="92"/>
        <v>40.560359116022099</v>
      </c>
      <c r="AG65" s="205">
        <f t="shared" si="92"/>
        <v>81.120718232044197</v>
      </c>
      <c r="AH65" s="205">
        <f t="shared" si="92"/>
        <v>121.6810773480663</v>
      </c>
      <c r="AI65" s="205">
        <f t="shared" si="92"/>
        <v>162.24143646408839</v>
      </c>
      <c r="AJ65" s="205">
        <f t="shared" si="92"/>
        <v>202.80179558011048</v>
      </c>
      <c r="AK65" s="205">
        <f t="shared" si="92"/>
        <v>243.36215469613259</v>
      </c>
      <c r="AL65" s="205">
        <f t="shared" si="92"/>
        <v>283.9225138121547</v>
      </c>
      <c r="AM65" s="205">
        <f t="shared" si="92"/>
        <v>324.48287292817679</v>
      </c>
      <c r="AN65" s="205">
        <f t="shared" si="92"/>
        <v>365.04323204419887</v>
      </c>
      <c r="AO65" s="205">
        <f t="shared" si="92"/>
        <v>405.60359116022096</v>
      </c>
      <c r="AP65" s="205">
        <f t="shared" si="92"/>
        <v>446.1639502762431</v>
      </c>
      <c r="AQ65" s="205">
        <f t="shared" si="92"/>
        <v>486.72430939226518</v>
      </c>
      <c r="AR65" s="205">
        <f t="shared" si="92"/>
        <v>527.28466850828727</v>
      </c>
      <c r="AS65" s="205">
        <f t="shared" si="92"/>
        <v>567.84502762430941</v>
      </c>
      <c r="AT65" s="205">
        <f t="shared" si="92"/>
        <v>608.40538674033144</v>
      </c>
      <c r="AU65" s="205">
        <f t="shared" si="92"/>
        <v>648.96574585635358</v>
      </c>
      <c r="AV65" s="205">
        <f t="shared" si="92"/>
        <v>689.52610497237572</v>
      </c>
      <c r="AW65" s="205">
        <f t="shared" si="92"/>
        <v>730.08646408839775</v>
      </c>
      <c r="AX65" s="205">
        <f t="shared" si="92"/>
        <v>770.64682320441989</v>
      </c>
      <c r="AY65" s="205">
        <f t="shared" si="92"/>
        <v>811.20718232044192</v>
      </c>
      <c r="AZ65" s="205">
        <f t="shared" si="92"/>
        <v>851.76754143646406</v>
      </c>
      <c r="BA65" s="205">
        <f t="shared" si="92"/>
        <v>892.3279005524862</v>
      </c>
      <c r="BB65" s="205">
        <f t="shared" si="92"/>
        <v>932.88825966850823</v>
      </c>
      <c r="BC65" s="205">
        <f t="shared" si="92"/>
        <v>973.44861878453037</v>
      </c>
      <c r="BD65" s="205">
        <f t="shared" si="92"/>
        <v>1014.0089779005525</v>
      </c>
      <c r="BE65" s="205">
        <f t="shared" si="92"/>
        <v>1054.5693370165745</v>
      </c>
      <c r="BF65" s="205">
        <f t="shared" si="92"/>
        <v>1095.1296961325966</v>
      </c>
      <c r="BG65" s="205">
        <f t="shared" si="92"/>
        <v>1135.6900552486188</v>
      </c>
      <c r="BH65" s="205">
        <f t="shared" si="92"/>
        <v>1176.2504143646408</v>
      </c>
      <c r="BI65" s="205">
        <f t="shared" si="92"/>
        <v>1216.8107734806629</v>
      </c>
      <c r="BJ65" s="205">
        <f t="shared" si="92"/>
        <v>1257.3711325966851</v>
      </c>
      <c r="BK65" s="205">
        <f t="shared" si="92"/>
        <v>1297.9314917127072</v>
      </c>
      <c r="BL65" s="205">
        <f t="shared" si="92"/>
        <v>1338.4918508287292</v>
      </c>
      <c r="BM65" s="205">
        <f t="shared" si="92"/>
        <v>1379.0522099447514</v>
      </c>
      <c r="BN65" s="205">
        <f t="shared" si="92"/>
        <v>1419.6125690607735</v>
      </c>
      <c r="BO65" s="205">
        <f t="shared" si="92"/>
        <v>1460.1729281767955</v>
      </c>
      <c r="BP65" s="205">
        <f t="shared" si="92"/>
        <v>1500.7332872928177</v>
      </c>
      <c r="BQ65" s="205">
        <f t="shared" si="92"/>
        <v>1541.2936464088398</v>
      </c>
      <c r="BR65" s="205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1581.8540055248618</v>
      </c>
      <c r="BS65" s="205">
        <f t="shared" si="93"/>
        <v>1622.4143646408838</v>
      </c>
      <c r="BT65" s="205">
        <f t="shared" si="93"/>
        <v>1583.7292817679559</v>
      </c>
      <c r="BU65" s="205">
        <f t="shared" si="93"/>
        <v>1545.0441988950276</v>
      </c>
      <c r="BV65" s="205">
        <f t="shared" si="93"/>
        <v>1506.3591160220994</v>
      </c>
      <c r="BW65" s="205">
        <f t="shared" si="93"/>
        <v>1467.6740331491715</v>
      </c>
      <c r="BX65" s="205">
        <f t="shared" si="93"/>
        <v>1428.9889502762433</v>
      </c>
      <c r="BY65" s="205">
        <f t="shared" si="93"/>
        <v>1390.3038674033151</v>
      </c>
      <c r="BZ65" s="205">
        <f t="shared" si="93"/>
        <v>1351.6187845303868</v>
      </c>
      <c r="CA65" s="205">
        <f t="shared" si="93"/>
        <v>1312.9337016574586</v>
      </c>
      <c r="CB65" s="205">
        <f t="shared" si="93"/>
        <v>1274.2486187845304</v>
      </c>
      <c r="CC65" s="205">
        <f t="shared" si="93"/>
        <v>1235.5635359116022</v>
      </c>
      <c r="CD65" s="205">
        <f t="shared" si="93"/>
        <v>1196.8784530386743</v>
      </c>
      <c r="CE65" s="205">
        <f t="shared" si="93"/>
        <v>1158.1933701657458</v>
      </c>
      <c r="CF65" s="205">
        <f t="shared" si="93"/>
        <v>1119.5082872928178</v>
      </c>
      <c r="CG65" s="205">
        <f t="shared" si="93"/>
        <v>1080.8232044198896</v>
      </c>
      <c r="CH65" s="205">
        <f t="shared" si="93"/>
        <v>1042.1381215469614</v>
      </c>
      <c r="CI65" s="205">
        <f t="shared" si="93"/>
        <v>1003.4530386740332</v>
      </c>
      <c r="CJ65" s="205">
        <f t="shared" si="93"/>
        <v>964.76795580110502</v>
      </c>
      <c r="CK65" s="205">
        <f t="shared" si="93"/>
        <v>926.08287292817681</v>
      </c>
      <c r="CL65" s="205">
        <f t="shared" si="93"/>
        <v>887.39779005524872</v>
      </c>
      <c r="CM65" s="205">
        <f t="shared" si="93"/>
        <v>848.71270718232051</v>
      </c>
      <c r="CN65" s="205">
        <f t="shared" si="93"/>
        <v>810.02762430939231</v>
      </c>
      <c r="CO65" s="205">
        <f t="shared" si="93"/>
        <v>771.34254143646422</v>
      </c>
      <c r="CP65" s="205">
        <f t="shared" si="93"/>
        <v>714.4</v>
      </c>
      <c r="CQ65" s="205">
        <f t="shared" si="93"/>
        <v>639.20000000000005</v>
      </c>
      <c r="CR65" s="205">
        <f t="shared" si="93"/>
        <v>564</v>
      </c>
      <c r="CS65" s="205">
        <f t="shared" si="93"/>
        <v>488.8</v>
      </c>
      <c r="CT65" s="205">
        <f t="shared" si="93"/>
        <v>413.59999999999997</v>
      </c>
      <c r="CU65" s="205">
        <f t="shared" si="93"/>
        <v>338.4</v>
      </c>
      <c r="CV65" s="205">
        <f t="shared" si="93"/>
        <v>263.2</v>
      </c>
      <c r="CW65" s="205">
        <f t="shared" si="93"/>
        <v>188</v>
      </c>
      <c r="CX65" s="205">
        <f t="shared" si="93"/>
        <v>112.79999999999995</v>
      </c>
      <c r="CY65" s="205">
        <f t="shared" si="93"/>
        <v>37.600000000000023</v>
      </c>
      <c r="CZ65" s="205">
        <f t="shared" si="93"/>
        <v>0</v>
      </c>
      <c r="DA65" s="205">
        <f t="shared" si="93"/>
        <v>0</v>
      </c>
    </row>
    <row r="66" spans="1:105" s="205" customFormat="1">
      <c r="A66" s="205" t="str">
        <f>Income!A79</f>
        <v>Labour - formal emp</v>
      </c>
      <c r="F66" s="205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5">
        <f t="shared" si="94"/>
        <v>0</v>
      </c>
      <c r="H66" s="205">
        <f t="shared" si="94"/>
        <v>0</v>
      </c>
      <c r="I66" s="205">
        <f t="shared" si="94"/>
        <v>0</v>
      </c>
      <c r="J66" s="205">
        <f t="shared" si="94"/>
        <v>0</v>
      </c>
      <c r="K66" s="205">
        <f t="shared" si="94"/>
        <v>0</v>
      </c>
      <c r="L66" s="205">
        <f t="shared" si="88"/>
        <v>0</v>
      </c>
      <c r="M66" s="205">
        <f t="shared" si="94"/>
        <v>0</v>
      </c>
      <c r="N66" s="205">
        <f t="shared" si="94"/>
        <v>0</v>
      </c>
      <c r="O66" s="205">
        <f t="shared" si="94"/>
        <v>0</v>
      </c>
      <c r="P66" s="205">
        <f t="shared" si="94"/>
        <v>0</v>
      </c>
      <c r="Q66" s="205">
        <f t="shared" si="94"/>
        <v>0</v>
      </c>
      <c r="R66" s="205">
        <f t="shared" si="94"/>
        <v>0</v>
      </c>
      <c r="S66" s="205">
        <f t="shared" si="94"/>
        <v>0</v>
      </c>
      <c r="T66" s="205">
        <f t="shared" si="94"/>
        <v>0</v>
      </c>
      <c r="U66" s="205">
        <f t="shared" si="94"/>
        <v>0</v>
      </c>
      <c r="V66" s="205">
        <f t="shared" si="94"/>
        <v>0</v>
      </c>
      <c r="W66" s="205">
        <f t="shared" si="94"/>
        <v>0</v>
      </c>
      <c r="X66" s="205">
        <f t="shared" si="94"/>
        <v>0</v>
      </c>
      <c r="Y66" s="205">
        <f t="shared" si="94"/>
        <v>0</v>
      </c>
      <c r="Z66" s="205">
        <f t="shared" si="94"/>
        <v>0</v>
      </c>
      <c r="AA66" s="205">
        <f t="shared" si="94"/>
        <v>0</v>
      </c>
      <c r="AB66" s="205">
        <f t="shared" si="94"/>
        <v>0</v>
      </c>
      <c r="AC66" s="205">
        <f t="shared" si="94"/>
        <v>0</v>
      </c>
      <c r="AD66" s="205">
        <f t="shared" si="94"/>
        <v>0</v>
      </c>
      <c r="AE66" s="205">
        <f t="shared" si="94"/>
        <v>0</v>
      </c>
      <c r="AF66" s="205">
        <f t="shared" si="94"/>
        <v>0</v>
      </c>
      <c r="AG66" s="205">
        <f t="shared" si="94"/>
        <v>0</v>
      </c>
      <c r="AH66" s="205">
        <f t="shared" si="94"/>
        <v>0</v>
      </c>
      <c r="AI66" s="205">
        <f t="shared" si="94"/>
        <v>0</v>
      </c>
      <c r="AJ66" s="205">
        <f t="shared" si="94"/>
        <v>0</v>
      </c>
      <c r="AK66" s="205">
        <f t="shared" si="94"/>
        <v>0</v>
      </c>
      <c r="AL66" s="205">
        <f t="shared" si="94"/>
        <v>0</v>
      </c>
      <c r="AM66" s="205">
        <f t="shared" si="94"/>
        <v>0</v>
      </c>
      <c r="AN66" s="205">
        <f t="shared" si="94"/>
        <v>0</v>
      </c>
      <c r="AO66" s="205">
        <f t="shared" si="94"/>
        <v>0</v>
      </c>
      <c r="AP66" s="205">
        <f t="shared" si="94"/>
        <v>0</v>
      </c>
      <c r="AQ66" s="205">
        <f t="shared" si="94"/>
        <v>0</v>
      </c>
      <c r="AR66" s="205">
        <f t="shared" si="94"/>
        <v>0</v>
      </c>
      <c r="AS66" s="205">
        <f t="shared" si="94"/>
        <v>0</v>
      </c>
      <c r="AT66" s="205">
        <f t="shared" si="94"/>
        <v>0</v>
      </c>
      <c r="AU66" s="205">
        <f t="shared" si="94"/>
        <v>0</v>
      </c>
      <c r="AV66" s="205">
        <f t="shared" si="94"/>
        <v>0</v>
      </c>
      <c r="AW66" s="205">
        <f t="shared" si="94"/>
        <v>0</v>
      </c>
      <c r="AX66" s="205">
        <f t="shared" si="94"/>
        <v>0</v>
      </c>
      <c r="AY66" s="205">
        <f t="shared" si="94"/>
        <v>0</v>
      </c>
      <c r="AZ66" s="205">
        <f t="shared" si="94"/>
        <v>0</v>
      </c>
      <c r="BA66" s="205">
        <f t="shared" si="94"/>
        <v>0</v>
      </c>
      <c r="BB66" s="205">
        <f t="shared" si="94"/>
        <v>0</v>
      </c>
      <c r="BC66" s="205">
        <f t="shared" si="94"/>
        <v>0</v>
      </c>
      <c r="BD66" s="205">
        <f t="shared" si="94"/>
        <v>0</v>
      </c>
      <c r="BE66" s="205">
        <f t="shared" si="94"/>
        <v>0</v>
      </c>
      <c r="BF66" s="205">
        <f t="shared" si="94"/>
        <v>0</v>
      </c>
      <c r="BG66" s="205">
        <f t="shared" si="94"/>
        <v>0</v>
      </c>
      <c r="BH66" s="205">
        <f t="shared" si="94"/>
        <v>0</v>
      </c>
      <c r="BI66" s="205">
        <f t="shared" si="94"/>
        <v>0</v>
      </c>
      <c r="BJ66" s="205">
        <f t="shared" si="94"/>
        <v>0</v>
      </c>
      <c r="BK66" s="205">
        <f t="shared" si="94"/>
        <v>0</v>
      </c>
      <c r="BL66" s="205">
        <f t="shared" si="94"/>
        <v>0</v>
      </c>
      <c r="BM66" s="205">
        <f t="shared" si="94"/>
        <v>0</v>
      </c>
      <c r="BN66" s="205">
        <f t="shared" si="94"/>
        <v>0</v>
      </c>
      <c r="BO66" s="205">
        <f t="shared" si="94"/>
        <v>0</v>
      </c>
      <c r="BP66" s="205">
        <f t="shared" si="94"/>
        <v>0</v>
      </c>
      <c r="BQ66" s="205">
        <f t="shared" si="94"/>
        <v>0</v>
      </c>
      <c r="BR66" s="205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5">
        <f t="shared" si="95"/>
        <v>0</v>
      </c>
      <c r="BT66" s="205">
        <f t="shared" si="95"/>
        <v>0</v>
      </c>
      <c r="BU66" s="205">
        <f t="shared" si="95"/>
        <v>0</v>
      </c>
      <c r="BV66" s="205">
        <f t="shared" si="95"/>
        <v>0</v>
      </c>
      <c r="BW66" s="205">
        <f t="shared" si="95"/>
        <v>0</v>
      </c>
      <c r="BX66" s="205">
        <f t="shared" si="95"/>
        <v>0</v>
      </c>
      <c r="BY66" s="205">
        <f t="shared" si="95"/>
        <v>0</v>
      </c>
      <c r="BZ66" s="205">
        <f t="shared" si="95"/>
        <v>0</v>
      </c>
      <c r="CA66" s="205">
        <f t="shared" si="95"/>
        <v>0</v>
      </c>
      <c r="CB66" s="205">
        <f t="shared" si="95"/>
        <v>0</v>
      </c>
      <c r="CC66" s="205">
        <f t="shared" si="95"/>
        <v>0</v>
      </c>
      <c r="CD66" s="205">
        <f t="shared" si="95"/>
        <v>0</v>
      </c>
      <c r="CE66" s="205">
        <f t="shared" si="95"/>
        <v>0</v>
      </c>
      <c r="CF66" s="205">
        <f t="shared" si="95"/>
        <v>0</v>
      </c>
      <c r="CG66" s="205">
        <f t="shared" si="95"/>
        <v>0</v>
      </c>
      <c r="CH66" s="205">
        <f t="shared" si="95"/>
        <v>0</v>
      </c>
      <c r="CI66" s="205">
        <f t="shared" si="95"/>
        <v>0</v>
      </c>
      <c r="CJ66" s="205">
        <f t="shared" si="95"/>
        <v>0</v>
      </c>
      <c r="CK66" s="205">
        <f t="shared" si="95"/>
        <v>0</v>
      </c>
      <c r="CL66" s="205">
        <f t="shared" si="95"/>
        <v>0</v>
      </c>
      <c r="CM66" s="205">
        <f t="shared" si="95"/>
        <v>0</v>
      </c>
      <c r="CN66" s="205">
        <f t="shared" si="95"/>
        <v>0</v>
      </c>
      <c r="CO66" s="205">
        <f t="shared" si="95"/>
        <v>0</v>
      </c>
      <c r="CP66" s="205">
        <f t="shared" si="95"/>
        <v>1544.8888888888889</v>
      </c>
      <c r="CQ66" s="205">
        <f t="shared" si="95"/>
        <v>4634.666666666667</v>
      </c>
      <c r="CR66" s="205">
        <f t="shared" si="95"/>
        <v>7724.4444444444443</v>
      </c>
      <c r="CS66" s="205">
        <f t="shared" si="95"/>
        <v>10814.222222222223</v>
      </c>
      <c r="CT66" s="205">
        <f t="shared" si="95"/>
        <v>13904</v>
      </c>
      <c r="CU66" s="205">
        <f t="shared" si="95"/>
        <v>16993.777777777777</v>
      </c>
      <c r="CV66" s="205">
        <f t="shared" si="95"/>
        <v>20083.555555555555</v>
      </c>
      <c r="CW66" s="205">
        <f t="shared" si="95"/>
        <v>23173.333333333332</v>
      </c>
      <c r="CX66" s="205">
        <f t="shared" si="95"/>
        <v>26263.111111111113</v>
      </c>
      <c r="CY66" s="205">
        <f t="shared" si="95"/>
        <v>29352.888888888891</v>
      </c>
      <c r="CZ66" s="205">
        <f t="shared" si="95"/>
        <v>32233.627777777776</v>
      </c>
      <c r="DA66" s="205">
        <f t="shared" si="95"/>
        <v>34905.327777777777</v>
      </c>
    </row>
    <row r="67" spans="1:105" s="205" customFormat="1">
      <c r="A67" s="205" t="str">
        <f>Income!A81</f>
        <v>Self - employment</v>
      </c>
      <c r="F67" s="205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5">
        <f t="shared" si="96"/>
        <v>0</v>
      </c>
      <c r="H67" s="205">
        <f t="shared" si="96"/>
        <v>0</v>
      </c>
      <c r="I67" s="205">
        <f t="shared" si="96"/>
        <v>0</v>
      </c>
      <c r="J67" s="205">
        <f t="shared" si="96"/>
        <v>0</v>
      </c>
      <c r="K67" s="205">
        <f t="shared" si="96"/>
        <v>0</v>
      </c>
      <c r="L67" s="205">
        <f t="shared" si="88"/>
        <v>0</v>
      </c>
      <c r="M67" s="205">
        <f t="shared" si="96"/>
        <v>0</v>
      </c>
      <c r="N67" s="205">
        <f t="shared" si="96"/>
        <v>0</v>
      </c>
      <c r="O67" s="205">
        <f t="shared" si="96"/>
        <v>0</v>
      </c>
      <c r="P67" s="205">
        <f t="shared" si="96"/>
        <v>0</v>
      </c>
      <c r="Q67" s="205">
        <f t="shared" si="96"/>
        <v>0</v>
      </c>
      <c r="R67" s="205">
        <f t="shared" si="96"/>
        <v>0</v>
      </c>
      <c r="S67" s="205">
        <f t="shared" si="96"/>
        <v>0</v>
      </c>
      <c r="T67" s="205">
        <f t="shared" si="96"/>
        <v>0</v>
      </c>
      <c r="U67" s="205">
        <f t="shared" si="96"/>
        <v>0</v>
      </c>
      <c r="V67" s="205">
        <f t="shared" si="96"/>
        <v>0</v>
      </c>
      <c r="W67" s="205">
        <f t="shared" si="96"/>
        <v>0</v>
      </c>
      <c r="X67" s="205">
        <f t="shared" si="96"/>
        <v>0</v>
      </c>
      <c r="Y67" s="205">
        <f t="shared" si="96"/>
        <v>0</v>
      </c>
      <c r="Z67" s="205">
        <f t="shared" si="96"/>
        <v>0</v>
      </c>
      <c r="AA67" s="205">
        <f t="shared" si="96"/>
        <v>0</v>
      </c>
      <c r="AB67" s="205">
        <f t="shared" si="96"/>
        <v>0</v>
      </c>
      <c r="AC67" s="205">
        <f t="shared" si="96"/>
        <v>0</v>
      </c>
      <c r="AD67" s="205">
        <f t="shared" si="96"/>
        <v>0</v>
      </c>
      <c r="AE67" s="205">
        <f t="shared" si="96"/>
        <v>0</v>
      </c>
      <c r="AF67" s="205">
        <f t="shared" si="96"/>
        <v>0</v>
      </c>
      <c r="AG67" s="205">
        <f t="shared" si="96"/>
        <v>0</v>
      </c>
      <c r="AH67" s="205">
        <f t="shared" si="96"/>
        <v>0</v>
      </c>
      <c r="AI67" s="205">
        <f t="shared" si="96"/>
        <v>0</v>
      </c>
      <c r="AJ67" s="205">
        <f t="shared" si="96"/>
        <v>0</v>
      </c>
      <c r="AK67" s="205">
        <f t="shared" si="96"/>
        <v>0</v>
      </c>
      <c r="AL67" s="205">
        <f t="shared" si="96"/>
        <v>0</v>
      </c>
      <c r="AM67" s="205">
        <f t="shared" si="96"/>
        <v>0</v>
      </c>
      <c r="AN67" s="205">
        <f t="shared" si="96"/>
        <v>0</v>
      </c>
      <c r="AO67" s="205">
        <f t="shared" si="96"/>
        <v>0</v>
      </c>
      <c r="AP67" s="205">
        <f t="shared" si="96"/>
        <v>0</v>
      </c>
      <c r="AQ67" s="205">
        <f t="shared" si="96"/>
        <v>0</v>
      </c>
      <c r="AR67" s="205">
        <f t="shared" si="96"/>
        <v>0</v>
      </c>
      <c r="AS67" s="205">
        <f t="shared" si="96"/>
        <v>0</v>
      </c>
      <c r="AT67" s="205">
        <f t="shared" si="96"/>
        <v>0</v>
      </c>
      <c r="AU67" s="205">
        <f t="shared" si="96"/>
        <v>0</v>
      </c>
      <c r="AV67" s="205">
        <f t="shared" si="96"/>
        <v>0</v>
      </c>
      <c r="AW67" s="205">
        <f t="shared" si="96"/>
        <v>0</v>
      </c>
      <c r="AX67" s="205">
        <f t="shared" si="96"/>
        <v>0</v>
      </c>
      <c r="AY67" s="205">
        <f t="shared" si="96"/>
        <v>0</v>
      </c>
      <c r="AZ67" s="205">
        <f t="shared" si="96"/>
        <v>0</v>
      </c>
      <c r="BA67" s="205">
        <f t="shared" si="96"/>
        <v>0</v>
      </c>
      <c r="BB67" s="205">
        <f t="shared" si="96"/>
        <v>0</v>
      </c>
      <c r="BC67" s="205">
        <f t="shared" si="96"/>
        <v>0</v>
      </c>
      <c r="BD67" s="205">
        <f t="shared" si="96"/>
        <v>0</v>
      </c>
      <c r="BE67" s="205">
        <f t="shared" si="96"/>
        <v>0</v>
      </c>
      <c r="BF67" s="205">
        <f t="shared" si="96"/>
        <v>0</v>
      </c>
      <c r="BG67" s="205">
        <f t="shared" si="96"/>
        <v>0</v>
      </c>
      <c r="BH67" s="205">
        <f t="shared" si="96"/>
        <v>0</v>
      </c>
      <c r="BI67" s="205">
        <f t="shared" si="96"/>
        <v>0</v>
      </c>
      <c r="BJ67" s="205">
        <f t="shared" si="96"/>
        <v>0</v>
      </c>
      <c r="BK67" s="205">
        <f t="shared" si="96"/>
        <v>0</v>
      </c>
      <c r="BL67" s="205">
        <f t="shared" si="96"/>
        <v>0</v>
      </c>
      <c r="BM67" s="205">
        <f t="shared" si="96"/>
        <v>0</v>
      </c>
      <c r="BN67" s="205">
        <f t="shared" si="96"/>
        <v>0</v>
      </c>
      <c r="BO67" s="205">
        <f t="shared" si="96"/>
        <v>0</v>
      </c>
      <c r="BP67" s="205">
        <f t="shared" si="96"/>
        <v>0</v>
      </c>
      <c r="BQ67" s="205">
        <f t="shared" si="96"/>
        <v>0</v>
      </c>
      <c r="BR67" s="205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5">
        <f t="shared" si="97"/>
        <v>0</v>
      </c>
      <c r="BT67" s="205">
        <f t="shared" si="97"/>
        <v>19.066666666666666</v>
      </c>
      <c r="BU67" s="205">
        <f t="shared" si="97"/>
        <v>38.133333333333333</v>
      </c>
      <c r="BV67" s="205">
        <f t="shared" si="97"/>
        <v>57.2</v>
      </c>
      <c r="BW67" s="205">
        <f t="shared" si="97"/>
        <v>76.266666666666666</v>
      </c>
      <c r="BX67" s="205">
        <f t="shared" si="97"/>
        <v>95.333333333333329</v>
      </c>
      <c r="BY67" s="205">
        <f t="shared" si="97"/>
        <v>114.4</v>
      </c>
      <c r="BZ67" s="205">
        <f t="shared" si="97"/>
        <v>133.46666666666667</v>
      </c>
      <c r="CA67" s="205">
        <f t="shared" si="97"/>
        <v>152.53333333333333</v>
      </c>
      <c r="CB67" s="205">
        <f t="shared" si="97"/>
        <v>171.6</v>
      </c>
      <c r="CC67" s="205">
        <f t="shared" si="97"/>
        <v>190.66666666666666</v>
      </c>
      <c r="CD67" s="205">
        <f t="shared" si="97"/>
        <v>209.73333333333332</v>
      </c>
      <c r="CE67" s="205">
        <f t="shared" si="97"/>
        <v>228.8</v>
      </c>
      <c r="CF67" s="205">
        <f t="shared" si="97"/>
        <v>247.86666666666667</v>
      </c>
      <c r="CG67" s="205">
        <f t="shared" si="97"/>
        <v>266.93333333333334</v>
      </c>
      <c r="CH67" s="205">
        <f t="shared" si="97"/>
        <v>286</v>
      </c>
      <c r="CI67" s="205">
        <f t="shared" si="97"/>
        <v>305.06666666666666</v>
      </c>
      <c r="CJ67" s="205">
        <f t="shared" si="97"/>
        <v>324.13333333333333</v>
      </c>
      <c r="CK67" s="205">
        <f t="shared" si="97"/>
        <v>343.2</v>
      </c>
      <c r="CL67" s="205">
        <f t="shared" si="97"/>
        <v>362.26666666666665</v>
      </c>
      <c r="CM67" s="205">
        <f t="shared" si="97"/>
        <v>381.33333333333331</v>
      </c>
      <c r="CN67" s="205">
        <f t="shared" si="97"/>
        <v>400.4</v>
      </c>
      <c r="CO67" s="205">
        <f t="shared" si="97"/>
        <v>419.46666666666664</v>
      </c>
      <c r="CP67" s="205">
        <f t="shared" si="97"/>
        <v>407.55</v>
      </c>
      <c r="CQ67" s="205">
        <f t="shared" si="97"/>
        <v>364.65</v>
      </c>
      <c r="CR67" s="205">
        <f t="shared" si="97"/>
        <v>321.75</v>
      </c>
      <c r="CS67" s="205">
        <f t="shared" si="97"/>
        <v>278.85000000000002</v>
      </c>
      <c r="CT67" s="205">
        <f t="shared" si="97"/>
        <v>235.95000000000002</v>
      </c>
      <c r="CU67" s="205">
        <f t="shared" si="97"/>
        <v>193.05</v>
      </c>
      <c r="CV67" s="205">
        <f t="shared" si="97"/>
        <v>150.15000000000003</v>
      </c>
      <c r="CW67" s="205">
        <f t="shared" si="97"/>
        <v>107.25</v>
      </c>
      <c r="CX67" s="205">
        <f t="shared" si="97"/>
        <v>64.350000000000023</v>
      </c>
      <c r="CY67" s="205">
        <f t="shared" si="97"/>
        <v>21.449999999999989</v>
      </c>
      <c r="CZ67" s="205">
        <f t="shared" si="97"/>
        <v>414.76499999999999</v>
      </c>
      <c r="DA67" s="205">
        <f t="shared" si="97"/>
        <v>1244.2950000000001</v>
      </c>
    </row>
    <row r="68" spans="1:105" s="205" customFormat="1">
      <c r="A68" s="205" t="str">
        <f>Income!A82</f>
        <v>Small business/petty trading</v>
      </c>
      <c r="F68" s="205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5">
        <f t="shared" si="98"/>
        <v>0</v>
      </c>
      <c r="H68" s="205">
        <f t="shared" si="98"/>
        <v>0</v>
      </c>
      <c r="I68" s="205">
        <f t="shared" si="98"/>
        <v>0</v>
      </c>
      <c r="J68" s="205">
        <f t="shared" si="98"/>
        <v>0</v>
      </c>
      <c r="K68" s="205">
        <f t="shared" si="98"/>
        <v>0</v>
      </c>
      <c r="L68" s="205">
        <f t="shared" si="88"/>
        <v>0</v>
      </c>
      <c r="M68" s="205">
        <f t="shared" si="98"/>
        <v>0</v>
      </c>
      <c r="N68" s="205">
        <f t="shared" si="98"/>
        <v>0</v>
      </c>
      <c r="O68" s="205">
        <f t="shared" si="98"/>
        <v>0</v>
      </c>
      <c r="P68" s="205">
        <f t="shared" si="98"/>
        <v>0</v>
      </c>
      <c r="Q68" s="205">
        <f t="shared" si="98"/>
        <v>0</v>
      </c>
      <c r="R68" s="205">
        <f t="shared" si="98"/>
        <v>0</v>
      </c>
      <c r="S68" s="205">
        <f t="shared" si="98"/>
        <v>0</v>
      </c>
      <c r="T68" s="205">
        <f t="shared" si="98"/>
        <v>0</v>
      </c>
      <c r="U68" s="205">
        <f t="shared" si="98"/>
        <v>0</v>
      </c>
      <c r="V68" s="205">
        <f t="shared" si="98"/>
        <v>0</v>
      </c>
      <c r="W68" s="205">
        <f t="shared" si="98"/>
        <v>0</v>
      </c>
      <c r="X68" s="205">
        <f t="shared" si="98"/>
        <v>0</v>
      </c>
      <c r="Y68" s="205">
        <f t="shared" si="98"/>
        <v>0</v>
      </c>
      <c r="Z68" s="205">
        <f t="shared" si="98"/>
        <v>0</v>
      </c>
      <c r="AA68" s="205">
        <f t="shared" si="98"/>
        <v>0</v>
      </c>
      <c r="AB68" s="205">
        <f t="shared" si="98"/>
        <v>0</v>
      </c>
      <c r="AC68" s="205">
        <f t="shared" si="98"/>
        <v>0</v>
      </c>
      <c r="AD68" s="205">
        <f t="shared" si="98"/>
        <v>0</v>
      </c>
      <c r="AE68" s="205">
        <f t="shared" si="98"/>
        <v>0</v>
      </c>
      <c r="AF68" s="205">
        <f t="shared" si="98"/>
        <v>0</v>
      </c>
      <c r="AG68" s="205">
        <f t="shared" si="98"/>
        <v>0</v>
      </c>
      <c r="AH68" s="205">
        <f t="shared" si="98"/>
        <v>0</v>
      </c>
      <c r="AI68" s="205">
        <f t="shared" si="98"/>
        <v>0</v>
      </c>
      <c r="AJ68" s="205">
        <f t="shared" si="98"/>
        <v>0</v>
      </c>
      <c r="AK68" s="205">
        <f t="shared" si="98"/>
        <v>0</v>
      </c>
      <c r="AL68" s="205">
        <f t="shared" si="98"/>
        <v>0</v>
      </c>
      <c r="AM68" s="205">
        <f t="shared" si="98"/>
        <v>0</v>
      </c>
      <c r="AN68" s="205">
        <f t="shared" si="98"/>
        <v>0</v>
      </c>
      <c r="AO68" s="205">
        <f t="shared" si="98"/>
        <v>0</v>
      </c>
      <c r="AP68" s="205">
        <f t="shared" si="98"/>
        <v>0</v>
      </c>
      <c r="AQ68" s="205">
        <f t="shared" si="98"/>
        <v>0</v>
      </c>
      <c r="AR68" s="205">
        <f t="shared" si="98"/>
        <v>0</v>
      </c>
      <c r="AS68" s="205">
        <f t="shared" si="98"/>
        <v>0</v>
      </c>
      <c r="AT68" s="205">
        <f t="shared" si="98"/>
        <v>0</v>
      </c>
      <c r="AU68" s="205">
        <f t="shared" si="98"/>
        <v>0</v>
      </c>
      <c r="AV68" s="205">
        <f t="shared" si="98"/>
        <v>0</v>
      </c>
      <c r="AW68" s="205">
        <f t="shared" si="98"/>
        <v>0</v>
      </c>
      <c r="AX68" s="205">
        <f t="shared" si="98"/>
        <v>0</v>
      </c>
      <c r="AY68" s="205">
        <f t="shared" si="98"/>
        <v>0</v>
      </c>
      <c r="AZ68" s="205">
        <f t="shared" si="98"/>
        <v>0</v>
      </c>
      <c r="BA68" s="205">
        <f t="shared" si="98"/>
        <v>0</v>
      </c>
      <c r="BB68" s="205">
        <f t="shared" si="98"/>
        <v>0</v>
      </c>
      <c r="BC68" s="205">
        <f t="shared" si="98"/>
        <v>0</v>
      </c>
      <c r="BD68" s="205">
        <f t="shared" si="98"/>
        <v>0</v>
      </c>
      <c r="BE68" s="205">
        <f t="shared" si="98"/>
        <v>0</v>
      </c>
      <c r="BF68" s="205">
        <f t="shared" si="98"/>
        <v>0</v>
      </c>
      <c r="BG68" s="205">
        <f t="shared" si="98"/>
        <v>0</v>
      </c>
      <c r="BH68" s="205">
        <f t="shared" si="98"/>
        <v>0</v>
      </c>
      <c r="BI68" s="205">
        <f t="shared" si="98"/>
        <v>0</v>
      </c>
      <c r="BJ68" s="205">
        <f t="shared" si="98"/>
        <v>0</v>
      </c>
      <c r="BK68" s="205">
        <f t="shared" si="98"/>
        <v>0</v>
      </c>
      <c r="BL68" s="205">
        <f t="shared" si="98"/>
        <v>0</v>
      </c>
      <c r="BM68" s="205">
        <f t="shared" si="98"/>
        <v>0</v>
      </c>
      <c r="BN68" s="205">
        <f t="shared" si="98"/>
        <v>0</v>
      </c>
      <c r="BO68" s="205">
        <f t="shared" si="98"/>
        <v>0</v>
      </c>
      <c r="BP68" s="205">
        <f t="shared" si="98"/>
        <v>0</v>
      </c>
      <c r="BQ68" s="205">
        <f t="shared" si="98"/>
        <v>0</v>
      </c>
      <c r="BR68" s="205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0</v>
      </c>
      <c r="BS68" s="205">
        <f t="shared" si="99"/>
        <v>0</v>
      </c>
      <c r="BT68" s="205">
        <f t="shared" si="99"/>
        <v>96</v>
      </c>
      <c r="BU68" s="205">
        <f t="shared" si="99"/>
        <v>192</v>
      </c>
      <c r="BV68" s="205">
        <f t="shared" si="99"/>
        <v>288</v>
      </c>
      <c r="BW68" s="205">
        <f t="shared" si="99"/>
        <v>384</v>
      </c>
      <c r="BX68" s="205">
        <f t="shared" si="99"/>
        <v>480</v>
      </c>
      <c r="BY68" s="205">
        <f t="shared" si="99"/>
        <v>576</v>
      </c>
      <c r="BZ68" s="205">
        <f t="shared" si="99"/>
        <v>672</v>
      </c>
      <c r="CA68" s="205">
        <f t="shared" si="99"/>
        <v>768</v>
      </c>
      <c r="CB68" s="205">
        <f t="shared" si="99"/>
        <v>864</v>
      </c>
      <c r="CC68" s="205">
        <f t="shared" si="99"/>
        <v>960</v>
      </c>
      <c r="CD68" s="205">
        <f t="shared" si="99"/>
        <v>1056</v>
      </c>
      <c r="CE68" s="205">
        <f t="shared" si="99"/>
        <v>1152</v>
      </c>
      <c r="CF68" s="205">
        <f t="shared" si="99"/>
        <v>1248</v>
      </c>
      <c r="CG68" s="205">
        <f t="shared" si="99"/>
        <v>1344</v>
      </c>
      <c r="CH68" s="205">
        <f t="shared" si="99"/>
        <v>1440</v>
      </c>
      <c r="CI68" s="205">
        <f t="shared" si="99"/>
        <v>1536</v>
      </c>
      <c r="CJ68" s="205">
        <f t="shared" si="99"/>
        <v>1632</v>
      </c>
      <c r="CK68" s="205">
        <f t="shared" si="99"/>
        <v>1728</v>
      </c>
      <c r="CL68" s="205">
        <f t="shared" si="99"/>
        <v>1824</v>
      </c>
      <c r="CM68" s="205">
        <f t="shared" si="99"/>
        <v>1920</v>
      </c>
      <c r="CN68" s="205">
        <f t="shared" si="99"/>
        <v>2016</v>
      </c>
      <c r="CO68" s="205">
        <f t="shared" si="99"/>
        <v>2112</v>
      </c>
      <c r="CP68" s="205">
        <f t="shared" si="99"/>
        <v>2052</v>
      </c>
      <c r="CQ68" s="205">
        <f t="shared" si="99"/>
        <v>1836</v>
      </c>
      <c r="CR68" s="205">
        <f t="shared" si="99"/>
        <v>1620</v>
      </c>
      <c r="CS68" s="205">
        <f t="shared" si="99"/>
        <v>1404</v>
      </c>
      <c r="CT68" s="205">
        <f t="shared" si="99"/>
        <v>1188</v>
      </c>
      <c r="CU68" s="205">
        <f t="shared" si="99"/>
        <v>972</v>
      </c>
      <c r="CV68" s="205">
        <f t="shared" si="99"/>
        <v>756</v>
      </c>
      <c r="CW68" s="205">
        <f t="shared" si="99"/>
        <v>540</v>
      </c>
      <c r="CX68" s="205">
        <f t="shared" si="99"/>
        <v>324</v>
      </c>
      <c r="CY68" s="205">
        <f t="shared" si="99"/>
        <v>108</v>
      </c>
      <c r="CZ68" s="205">
        <f t="shared" si="99"/>
        <v>3101.75</v>
      </c>
      <c r="DA68" s="205">
        <f t="shared" si="99"/>
        <v>9305.25</v>
      </c>
    </row>
    <row r="69" spans="1:105" s="205" customFormat="1">
      <c r="A69" s="205" t="str">
        <f>Income!A83</f>
        <v>Food transfer - official</v>
      </c>
      <c r="F69" s="205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807.33808994213837</v>
      </c>
      <c r="G69" s="205">
        <f t="shared" si="100"/>
        <v>807.33808994213837</v>
      </c>
      <c r="H69" s="205">
        <f t="shared" si="100"/>
        <v>807.33808994213837</v>
      </c>
      <c r="I69" s="205">
        <f t="shared" si="100"/>
        <v>807.33808994213837</v>
      </c>
      <c r="J69" s="205">
        <f t="shared" si="100"/>
        <v>807.33808994213837</v>
      </c>
      <c r="K69" s="205">
        <f t="shared" si="100"/>
        <v>807.33808994213837</v>
      </c>
      <c r="L69" s="205">
        <f t="shared" si="88"/>
        <v>807.33808994213837</v>
      </c>
      <c r="M69" s="205">
        <f t="shared" si="100"/>
        <v>807.33808994213837</v>
      </c>
      <c r="N69" s="205">
        <f t="shared" si="100"/>
        <v>807.33808994213837</v>
      </c>
      <c r="O69" s="205">
        <f t="shared" si="100"/>
        <v>807.33808994213837</v>
      </c>
      <c r="P69" s="205">
        <f t="shared" si="100"/>
        <v>807.33808994213837</v>
      </c>
      <c r="Q69" s="205">
        <f t="shared" si="100"/>
        <v>807.33808994213837</v>
      </c>
      <c r="R69" s="205">
        <f t="shared" si="100"/>
        <v>807.33808994213837</v>
      </c>
      <c r="S69" s="205">
        <f t="shared" si="100"/>
        <v>807.33808994213837</v>
      </c>
      <c r="T69" s="205">
        <f t="shared" si="100"/>
        <v>807.33808994213837</v>
      </c>
      <c r="U69" s="205">
        <f t="shared" si="100"/>
        <v>807.33808994213837</v>
      </c>
      <c r="V69" s="205">
        <f t="shared" si="100"/>
        <v>807.33808994213837</v>
      </c>
      <c r="W69" s="205">
        <f t="shared" si="100"/>
        <v>807.33808994213837</v>
      </c>
      <c r="X69" s="205">
        <f t="shared" si="100"/>
        <v>807.33808994213837</v>
      </c>
      <c r="Y69" s="205">
        <f t="shared" si="100"/>
        <v>807.33808994213837</v>
      </c>
      <c r="Z69" s="205">
        <f t="shared" si="100"/>
        <v>807.33808994213837</v>
      </c>
      <c r="AA69" s="205">
        <f t="shared" si="100"/>
        <v>807.33808994213837</v>
      </c>
      <c r="AB69" s="205">
        <f t="shared" si="100"/>
        <v>807.33808994213837</v>
      </c>
      <c r="AC69" s="205">
        <f t="shared" si="100"/>
        <v>807.33808994213837</v>
      </c>
      <c r="AD69" s="205">
        <f t="shared" si="100"/>
        <v>807.33808994213837</v>
      </c>
      <c r="AE69" s="205">
        <f t="shared" si="100"/>
        <v>807.33808994213837</v>
      </c>
      <c r="AF69" s="205">
        <f t="shared" si="100"/>
        <v>807.33808994213837</v>
      </c>
      <c r="AG69" s="205">
        <f t="shared" si="100"/>
        <v>807.33808994213837</v>
      </c>
      <c r="AH69" s="205">
        <f t="shared" si="100"/>
        <v>807.33808994213837</v>
      </c>
      <c r="AI69" s="205">
        <f t="shared" si="100"/>
        <v>807.33808994213837</v>
      </c>
      <c r="AJ69" s="205">
        <f t="shared" si="100"/>
        <v>807.33808994213837</v>
      </c>
      <c r="AK69" s="205">
        <f t="shared" si="100"/>
        <v>807.33808994213837</v>
      </c>
      <c r="AL69" s="205">
        <f t="shared" si="100"/>
        <v>807.33808994213837</v>
      </c>
      <c r="AM69" s="205">
        <f t="shared" si="100"/>
        <v>807.33808994213837</v>
      </c>
      <c r="AN69" s="205">
        <f t="shared" si="100"/>
        <v>807.33808994213837</v>
      </c>
      <c r="AO69" s="205">
        <f t="shared" si="100"/>
        <v>807.33808994213837</v>
      </c>
      <c r="AP69" s="205">
        <f t="shared" si="100"/>
        <v>807.33808994213837</v>
      </c>
      <c r="AQ69" s="205">
        <f t="shared" si="100"/>
        <v>807.33808994213837</v>
      </c>
      <c r="AR69" s="205">
        <f t="shared" si="100"/>
        <v>807.33808994213837</v>
      </c>
      <c r="AS69" s="205">
        <f t="shared" si="100"/>
        <v>807.33808994213837</v>
      </c>
      <c r="AT69" s="205">
        <f t="shared" si="100"/>
        <v>807.33808994213837</v>
      </c>
      <c r="AU69" s="205">
        <f t="shared" si="100"/>
        <v>807.33808994213837</v>
      </c>
      <c r="AV69" s="205">
        <f t="shared" si="100"/>
        <v>807.33808994213837</v>
      </c>
      <c r="AW69" s="205">
        <f t="shared" si="100"/>
        <v>807.33808994213837</v>
      </c>
      <c r="AX69" s="205">
        <f t="shared" si="100"/>
        <v>807.33808994213837</v>
      </c>
      <c r="AY69" s="205">
        <f t="shared" si="100"/>
        <v>807.33808994213837</v>
      </c>
      <c r="AZ69" s="205">
        <f t="shared" si="100"/>
        <v>807.33808994213837</v>
      </c>
      <c r="BA69" s="205">
        <f t="shared" si="100"/>
        <v>807.33808994213837</v>
      </c>
      <c r="BB69" s="205">
        <f t="shared" si="100"/>
        <v>807.33808994213837</v>
      </c>
      <c r="BC69" s="205">
        <f t="shared" si="100"/>
        <v>807.33808994213837</v>
      </c>
      <c r="BD69" s="205">
        <f t="shared" si="100"/>
        <v>807.33808994213837</v>
      </c>
      <c r="BE69" s="205">
        <f t="shared" si="100"/>
        <v>807.33808994213837</v>
      </c>
      <c r="BF69" s="205">
        <f t="shared" si="100"/>
        <v>807.33808994213837</v>
      </c>
      <c r="BG69" s="205">
        <f t="shared" si="100"/>
        <v>807.33808994213837</v>
      </c>
      <c r="BH69" s="205">
        <f t="shared" si="100"/>
        <v>807.33808994213837</v>
      </c>
      <c r="BI69" s="205">
        <f t="shared" si="100"/>
        <v>807.33808994213837</v>
      </c>
      <c r="BJ69" s="205">
        <f t="shared" si="100"/>
        <v>807.33808994213837</v>
      </c>
      <c r="BK69" s="205">
        <f t="shared" si="100"/>
        <v>807.33808994213837</v>
      </c>
      <c r="BL69" s="205">
        <f t="shared" si="100"/>
        <v>807.33808994213837</v>
      </c>
      <c r="BM69" s="205">
        <f t="shared" si="100"/>
        <v>807.33808994213837</v>
      </c>
      <c r="BN69" s="205">
        <f t="shared" si="100"/>
        <v>807.33808994213837</v>
      </c>
      <c r="BO69" s="205">
        <f t="shared" si="100"/>
        <v>807.33808994213837</v>
      </c>
      <c r="BP69" s="205">
        <f t="shared" si="100"/>
        <v>807.33808994213837</v>
      </c>
      <c r="BQ69" s="205">
        <f t="shared" si="100"/>
        <v>807.33808994213837</v>
      </c>
      <c r="BR69" s="205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807.33808994213837</v>
      </c>
      <c r="BS69" s="205">
        <f t="shared" si="101"/>
        <v>807.33808994213837</v>
      </c>
      <c r="BT69" s="205">
        <f t="shared" si="101"/>
        <v>807.33808994213837</v>
      </c>
      <c r="BU69" s="205">
        <f t="shared" si="101"/>
        <v>807.33808994213837</v>
      </c>
      <c r="BV69" s="205">
        <f t="shared" si="101"/>
        <v>807.33808994213837</v>
      </c>
      <c r="BW69" s="205">
        <f t="shared" si="101"/>
        <v>807.33808994213837</v>
      </c>
      <c r="BX69" s="205">
        <f t="shared" si="101"/>
        <v>807.33808994213837</v>
      </c>
      <c r="BY69" s="205">
        <f t="shared" si="101"/>
        <v>807.33808994213837</v>
      </c>
      <c r="BZ69" s="205">
        <f t="shared" si="101"/>
        <v>807.33808994213837</v>
      </c>
      <c r="CA69" s="205">
        <f t="shared" si="101"/>
        <v>807.33808994213837</v>
      </c>
      <c r="CB69" s="205">
        <f t="shared" si="101"/>
        <v>807.33808994213837</v>
      </c>
      <c r="CC69" s="205">
        <f t="shared" si="101"/>
        <v>807.33808994213837</v>
      </c>
      <c r="CD69" s="205">
        <f t="shared" si="101"/>
        <v>807.33808994213837</v>
      </c>
      <c r="CE69" s="205">
        <f t="shared" si="101"/>
        <v>807.33808994213837</v>
      </c>
      <c r="CF69" s="205">
        <f t="shared" si="101"/>
        <v>807.33808994213837</v>
      </c>
      <c r="CG69" s="205">
        <f t="shared" si="101"/>
        <v>807.33808994213837</v>
      </c>
      <c r="CH69" s="205">
        <f t="shared" si="101"/>
        <v>807.33808994213837</v>
      </c>
      <c r="CI69" s="205">
        <f t="shared" si="101"/>
        <v>807.33808994213837</v>
      </c>
      <c r="CJ69" s="205">
        <f t="shared" si="101"/>
        <v>807.33808994213837</v>
      </c>
      <c r="CK69" s="205">
        <f t="shared" si="101"/>
        <v>807.33808994213837</v>
      </c>
      <c r="CL69" s="205">
        <f t="shared" si="101"/>
        <v>807.33808994213837</v>
      </c>
      <c r="CM69" s="205">
        <f t="shared" si="101"/>
        <v>807.33808994213837</v>
      </c>
      <c r="CN69" s="205">
        <f t="shared" si="101"/>
        <v>807.33808994213837</v>
      </c>
      <c r="CO69" s="205">
        <f t="shared" si="101"/>
        <v>807.33808994213837</v>
      </c>
      <c r="CP69" s="205">
        <f t="shared" si="101"/>
        <v>802.85287833134873</v>
      </c>
      <c r="CQ69" s="205">
        <f t="shared" si="101"/>
        <v>793.88245510976935</v>
      </c>
      <c r="CR69" s="205">
        <f t="shared" si="101"/>
        <v>784.91203188819009</v>
      </c>
      <c r="CS69" s="205">
        <f t="shared" si="101"/>
        <v>775.94160866661082</v>
      </c>
      <c r="CT69" s="205">
        <f t="shared" si="101"/>
        <v>766.97118544503144</v>
      </c>
      <c r="CU69" s="205">
        <f t="shared" si="101"/>
        <v>758.00076222345217</v>
      </c>
      <c r="CV69" s="205">
        <f t="shared" si="101"/>
        <v>749.03033900187279</v>
      </c>
      <c r="CW69" s="205">
        <f t="shared" si="101"/>
        <v>740.05991578029352</v>
      </c>
      <c r="CX69" s="205">
        <f t="shared" si="101"/>
        <v>731.08949255871426</v>
      </c>
      <c r="CY69" s="205">
        <f t="shared" si="101"/>
        <v>722.11906933713487</v>
      </c>
      <c r="CZ69" s="205">
        <f t="shared" si="101"/>
        <v>724.99885772634525</v>
      </c>
      <c r="DA69" s="205">
        <f t="shared" si="101"/>
        <v>739.72885772634527</v>
      </c>
    </row>
    <row r="70" spans="1:105" s="205" customFormat="1">
      <c r="A70" s="205" t="str">
        <f>Income!A85</f>
        <v>Cash transfer - official</v>
      </c>
      <c r="F70" s="205">
        <f t="shared" si="100"/>
        <v>22020</v>
      </c>
      <c r="G70" s="205">
        <f t="shared" si="100"/>
        <v>22020</v>
      </c>
      <c r="H70" s="205">
        <f t="shared" si="100"/>
        <v>22020</v>
      </c>
      <c r="I70" s="205">
        <f t="shared" si="100"/>
        <v>22020</v>
      </c>
      <c r="J70" s="205">
        <f t="shared" si="100"/>
        <v>22020</v>
      </c>
      <c r="K70" s="205">
        <f t="shared" si="100"/>
        <v>22020</v>
      </c>
      <c r="L70" s="205">
        <f t="shared" si="100"/>
        <v>22020</v>
      </c>
      <c r="M70" s="205">
        <f t="shared" si="100"/>
        <v>22020</v>
      </c>
      <c r="N70" s="205">
        <f t="shared" si="100"/>
        <v>22020</v>
      </c>
      <c r="O70" s="205">
        <f t="shared" si="100"/>
        <v>22020</v>
      </c>
      <c r="P70" s="205">
        <f t="shared" si="100"/>
        <v>22020</v>
      </c>
      <c r="Q70" s="205">
        <f t="shared" si="100"/>
        <v>22020</v>
      </c>
      <c r="R70" s="205">
        <f t="shared" si="100"/>
        <v>22020</v>
      </c>
      <c r="S70" s="205">
        <f t="shared" si="100"/>
        <v>22020</v>
      </c>
      <c r="T70" s="205">
        <f t="shared" si="100"/>
        <v>22020</v>
      </c>
      <c r="U70" s="205">
        <f t="shared" si="100"/>
        <v>22020</v>
      </c>
      <c r="V70" s="205">
        <f t="shared" si="100"/>
        <v>22020</v>
      </c>
      <c r="W70" s="205">
        <f t="shared" si="100"/>
        <v>22020</v>
      </c>
      <c r="X70" s="205">
        <f t="shared" si="100"/>
        <v>22020</v>
      </c>
      <c r="Y70" s="205">
        <f t="shared" si="100"/>
        <v>22020</v>
      </c>
      <c r="Z70" s="205">
        <f t="shared" si="100"/>
        <v>22020</v>
      </c>
      <c r="AA70" s="205">
        <f t="shared" si="100"/>
        <v>22020</v>
      </c>
      <c r="AB70" s="205">
        <f t="shared" si="100"/>
        <v>22020</v>
      </c>
      <c r="AC70" s="205">
        <f t="shared" si="100"/>
        <v>22020</v>
      </c>
      <c r="AD70" s="205">
        <f t="shared" si="100"/>
        <v>22020</v>
      </c>
      <c r="AE70" s="205">
        <f t="shared" si="100"/>
        <v>22020</v>
      </c>
      <c r="AF70" s="205">
        <f t="shared" si="100"/>
        <v>22020</v>
      </c>
      <c r="AG70" s="205">
        <f t="shared" si="100"/>
        <v>22020</v>
      </c>
      <c r="AH70" s="205">
        <f t="shared" si="100"/>
        <v>22020</v>
      </c>
      <c r="AI70" s="205">
        <f t="shared" si="100"/>
        <v>22020</v>
      </c>
      <c r="AJ70" s="205">
        <f t="shared" si="100"/>
        <v>22020</v>
      </c>
      <c r="AK70" s="205">
        <f t="shared" si="100"/>
        <v>22020</v>
      </c>
      <c r="AL70" s="205">
        <f t="shared" si="100"/>
        <v>22020</v>
      </c>
      <c r="AM70" s="205">
        <f t="shared" si="100"/>
        <v>22020</v>
      </c>
      <c r="AN70" s="205">
        <f t="shared" si="100"/>
        <v>22020</v>
      </c>
      <c r="AO70" s="205">
        <f t="shared" si="100"/>
        <v>22020</v>
      </c>
      <c r="AP70" s="205">
        <f t="shared" si="100"/>
        <v>22020</v>
      </c>
      <c r="AQ70" s="205">
        <f t="shared" si="100"/>
        <v>22020</v>
      </c>
      <c r="AR70" s="205">
        <f t="shared" si="100"/>
        <v>22020</v>
      </c>
      <c r="AS70" s="205">
        <f t="shared" si="100"/>
        <v>22020</v>
      </c>
      <c r="AT70" s="205">
        <f t="shared" si="100"/>
        <v>22020</v>
      </c>
      <c r="AU70" s="205">
        <f t="shared" si="100"/>
        <v>22020</v>
      </c>
      <c r="AV70" s="205">
        <f t="shared" si="100"/>
        <v>22020</v>
      </c>
      <c r="AW70" s="205">
        <f t="shared" si="100"/>
        <v>22020</v>
      </c>
      <c r="AX70" s="205">
        <f t="shared" si="100"/>
        <v>22020</v>
      </c>
      <c r="AY70" s="205">
        <f t="shared" si="100"/>
        <v>22020</v>
      </c>
      <c r="AZ70" s="205">
        <f t="shared" si="100"/>
        <v>22020</v>
      </c>
      <c r="BA70" s="205">
        <f t="shared" si="100"/>
        <v>22020</v>
      </c>
      <c r="BB70" s="205">
        <f t="shared" si="100"/>
        <v>22020</v>
      </c>
      <c r="BC70" s="205">
        <f t="shared" si="100"/>
        <v>22020</v>
      </c>
      <c r="BD70" s="205">
        <f t="shared" si="100"/>
        <v>22020</v>
      </c>
      <c r="BE70" s="205">
        <f t="shared" si="100"/>
        <v>22020</v>
      </c>
      <c r="BF70" s="205">
        <f t="shared" si="100"/>
        <v>22020</v>
      </c>
      <c r="BG70" s="205">
        <f t="shared" si="100"/>
        <v>22020</v>
      </c>
      <c r="BH70" s="205">
        <f t="shared" si="100"/>
        <v>22020</v>
      </c>
      <c r="BI70" s="205">
        <f t="shared" si="100"/>
        <v>22020</v>
      </c>
      <c r="BJ70" s="205">
        <f t="shared" si="100"/>
        <v>22020</v>
      </c>
      <c r="BK70" s="205">
        <f t="shared" si="100"/>
        <v>22020</v>
      </c>
      <c r="BL70" s="205">
        <f t="shared" si="100"/>
        <v>22020</v>
      </c>
      <c r="BM70" s="205">
        <f t="shared" si="100"/>
        <v>22020</v>
      </c>
      <c r="BN70" s="205">
        <f t="shared" si="100"/>
        <v>22020</v>
      </c>
      <c r="BO70" s="205">
        <f t="shared" si="100"/>
        <v>22020</v>
      </c>
      <c r="BP70" s="205">
        <f t="shared" si="100"/>
        <v>22020</v>
      </c>
      <c r="BQ70" s="205">
        <f t="shared" si="100"/>
        <v>22020</v>
      </c>
      <c r="BR70" s="205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22020</v>
      </c>
      <c r="BS70" s="205">
        <f t="shared" si="102"/>
        <v>22020</v>
      </c>
      <c r="BT70" s="205">
        <f t="shared" si="102"/>
        <v>22020</v>
      </c>
      <c r="BU70" s="205">
        <f t="shared" si="102"/>
        <v>22020</v>
      </c>
      <c r="BV70" s="205">
        <f t="shared" si="102"/>
        <v>22020</v>
      </c>
      <c r="BW70" s="205">
        <f t="shared" si="102"/>
        <v>22020</v>
      </c>
      <c r="BX70" s="205">
        <f t="shared" si="102"/>
        <v>22020</v>
      </c>
      <c r="BY70" s="205">
        <f t="shared" si="102"/>
        <v>22020</v>
      </c>
      <c r="BZ70" s="205">
        <f t="shared" si="102"/>
        <v>22020</v>
      </c>
      <c r="CA70" s="205">
        <f t="shared" si="102"/>
        <v>22020</v>
      </c>
      <c r="CB70" s="205">
        <f t="shared" si="102"/>
        <v>22020</v>
      </c>
      <c r="CC70" s="205">
        <f t="shared" si="102"/>
        <v>22020</v>
      </c>
      <c r="CD70" s="205">
        <f t="shared" si="102"/>
        <v>22020</v>
      </c>
      <c r="CE70" s="205">
        <f t="shared" si="102"/>
        <v>22020</v>
      </c>
      <c r="CF70" s="205">
        <f t="shared" si="102"/>
        <v>22020</v>
      </c>
      <c r="CG70" s="205">
        <f t="shared" si="102"/>
        <v>22020</v>
      </c>
      <c r="CH70" s="205">
        <f t="shared" si="102"/>
        <v>22020</v>
      </c>
      <c r="CI70" s="205">
        <f t="shared" si="102"/>
        <v>22020</v>
      </c>
      <c r="CJ70" s="205">
        <f t="shared" si="102"/>
        <v>22020</v>
      </c>
      <c r="CK70" s="205">
        <f t="shared" si="102"/>
        <v>22020</v>
      </c>
      <c r="CL70" s="205">
        <f t="shared" si="102"/>
        <v>22020</v>
      </c>
      <c r="CM70" s="205">
        <f t="shared" si="102"/>
        <v>22020</v>
      </c>
      <c r="CN70" s="205">
        <f t="shared" si="102"/>
        <v>22020</v>
      </c>
      <c r="CO70" s="205">
        <f t="shared" si="102"/>
        <v>22020</v>
      </c>
      <c r="CP70" s="205">
        <f t="shared" si="102"/>
        <v>21192.866666666665</v>
      </c>
      <c r="CQ70" s="205">
        <f t="shared" si="102"/>
        <v>19538.599999999999</v>
      </c>
      <c r="CR70" s="205">
        <f t="shared" si="102"/>
        <v>17884.333333333332</v>
      </c>
      <c r="CS70" s="205">
        <f t="shared" si="102"/>
        <v>16230.066666666666</v>
      </c>
      <c r="CT70" s="205">
        <f t="shared" si="102"/>
        <v>14575.8</v>
      </c>
      <c r="CU70" s="205">
        <f t="shared" si="102"/>
        <v>12921.533333333333</v>
      </c>
      <c r="CV70" s="205">
        <f t="shared" si="102"/>
        <v>11267.266666666665</v>
      </c>
      <c r="CW70" s="205">
        <f t="shared" si="102"/>
        <v>9612.9999999999982</v>
      </c>
      <c r="CX70" s="205">
        <f t="shared" si="102"/>
        <v>7958.7333333333318</v>
      </c>
      <c r="CY70" s="205">
        <f t="shared" si="102"/>
        <v>6304.4666666666653</v>
      </c>
      <c r="CZ70" s="205">
        <f t="shared" si="102"/>
        <v>4913.4183333333331</v>
      </c>
      <c r="DA70" s="205">
        <f t="shared" si="102"/>
        <v>3785.5883333333331</v>
      </c>
    </row>
    <row r="71" spans="1:105" s="205" customFormat="1">
      <c r="A71" s="205" t="str">
        <f>Income!A86</f>
        <v>Cash transfer - gifts</v>
      </c>
      <c r="F71" s="205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5">
        <f t="shared" si="103"/>
        <v>0</v>
      </c>
      <c r="H71" s="205">
        <f t="shared" si="103"/>
        <v>0</v>
      </c>
      <c r="I71" s="205">
        <f t="shared" si="103"/>
        <v>0</v>
      </c>
      <c r="J71" s="205">
        <f t="shared" si="103"/>
        <v>0</v>
      </c>
      <c r="K71" s="205">
        <f t="shared" si="103"/>
        <v>0</v>
      </c>
      <c r="L71" s="205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5">
        <f t="shared" si="103"/>
        <v>0</v>
      </c>
      <c r="N71" s="205">
        <f t="shared" si="103"/>
        <v>0</v>
      </c>
      <c r="O71" s="205">
        <f t="shared" si="103"/>
        <v>0</v>
      </c>
      <c r="P71" s="205">
        <f t="shared" si="103"/>
        <v>0</v>
      </c>
      <c r="Q71" s="205">
        <f t="shared" si="103"/>
        <v>0</v>
      </c>
      <c r="R71" s="205">
        <f t="shared" si="103"/>
        <v>0</v>
      </c>
      <c r="S71" s="205">
        <f t="shared" si="103"/>
        <v>0</v>
      </c>
      <c r="T71" s="205">
        <f t="shared" si="103"/>
        <v>0</v>
      </c>
      <c r="U71" s="205">
        <f t="shared" si="103"/>
        <v>0</v>
      </c>
      <c r="V71" s="205">
        <f t="shared" si="103"/>
        <v>0</v>
      </c>
      <c r="W71" s="205">
        <f t="shared" si="103"/>
        <v>0</v>
      </c>
      <c r="X71" s="205">
        <f t="shared" si="103"/>
        <v>0</v>
      </c>
      <c r="Y71" s="205">
        <f t="shared" si="103"/>
        <v>0</v>
      </c>
      <c r="Z71" s="205">
        <f t="shared" si="103"/>
        <v>0</v>
      </c>
      <c r="AA71" s="205">
        <f t="shared" si="103"/>
        <v>0</v>
      </c>
      <c r="AB71" s="205">
        <f t="shared" si="103"/>
        <v>0</v>
      </c>
      <c r="AC71" s="205">
        <f t="shared" si="103"/>
        <v>0</v>
      </c>
      <c r="AD71" s="205">
        <f t="shared" si="103"/>
        <v>0</v>
      </c>
      <c r="AE71" s="205">
        <f t="shared" si="103"/>
        <v>0</v>
      </c>
      <c r="AF71" s="205">
        <f t="shared" si="103"/>
        <v>0</v>
      </c>
      <c r="AG71" s="205">
        <f t="shared" si="103"/>
        <v>0</v>
      </c>
      <c r="AH71" s="205">
        <f t="shared" si="103"/>
        <v>0</v>
      </c>
      <c r="AI71" s="205">
        <f t="shared" si="103"/>
        <v>0</v>
      </c>
      <c r="AJ71" s="205">
        <f t="shared" si="103"/>
        <v>0</v>
      </c>
      <c r="AK71" s="205">
        <f t="shared" si="103"/>
        <v>0</v>
      </c>
      <c r="AL71" s="205">
        <f t="shared" si="103"/>
        <v>0</v>
      </c>
      <c r="AM71" s="205">
        <f t="shared" si="103"/>
        <v>0</v>
      </c>
      <c r="AN71" s="205">
        <f t="shared" si="103"/>
        <v>0</v>
      </c>
      <c r="AO71" s="205">
        <f t="shared" si="103"/>
        <v>0</v>
      </c>
      <c r="AP71" s="205">
        <f t="shared" si="103"/>
        <v>0</v>
      </c>
      <c r="AQ71" s="205">
        <f t="shared" si="103"/>
        <v>0</v>
      </c>
      <c r="AR71" s="205">
        <f t="shared" si="103"/>
        <v>0</v>
      </c>
      <c r="AS71" s="205">
        <f t="shared" si="103"/>
        <v>0</v>
      </c>
      <c r="AT71" s="205">
        <f t="shared" si="103"/>
        <v>0</v>
      </c>
      <c r="AU71" s="205">
        <f t="shared" si="103"/>
        <v>0</v>
      </c>
      <c r="AV71" s="205">
        <f t="shared" si="103"/>
        <v>0</v>
      </c>
      <c r="AW71" s="205">
        <f t="shared" si="103"/>
        <v>0</v>
      </c>
      <c r="AX71" s="205">
        <f t="shared" si="103"/>
        <v>0</v>
      </c>
      <c r="AY71" s="205">
        <f t="shared" si="103"/>
        <v>0</v>
      </c>
      <c r="AZ71" s="205">
        <f t="shared" si="103"/>
        <v>0</v>
      </c>
      <c r="BA71" s="205">
        <f t="shared" si="103"/>
        <v>0</v>
      </c>
      <c r="BB71" s="205">
        <f t="shared" si="103"/>
        <v>0</v>
      </c>
      <c r="BC71" s="205">
        <f t="shared" si="103"/>
        <v>0</v>
      </c>
      <c r="BD71" s="205">
        <f t="shared" si="103"/>
        <v>0</v>
      </c>
      <c r="BE71" s="205">
        <f t="shared" si="103"/>
        <v>0</v>
      </c>
      <c r="BF71" s="205">
        <f t="shared" si="103"/>
        <v>0</v>
      </c>
      <c r="BG71" s="205">
        <f t="shared" si="103"/>
        <v>0</v>
      </c>
      <c r="BH71" s="205">
        <f t="shared" si="103"/>
        <v>0</v>
      </c>
      <c r="BI71" s="205">
        <f t="shared" si="103"/>
        <v>0</v>
      </c>
      <c r="BJ71" s="205">
        <f t="shared" si="103"/>
        <v>0</v>
      </c>
      <c r="BK71" s="205">
        <f t="shared" si="103"/>
        <v>0</v>
      </c>
      <c r="BL71" s="205">
        <f t="shared" si="103"/>
        <v>0</v>
      </c>
      <c r="BM71" s="205">
        <f t="shared" si="103"/>
        <v>0</v>
      </c>
      <c r="BN71" s="205">
        <f t="shared" si="103"/>
        <v>0</v>
      </c>
      <c r="BO71" s="205">
        <f t="shared" si="103"/>
        <v>0</v>
      </c>
      <c r="BP71" s="205">
        <f t="shared" si="103"/>
        <v>0</v>
      </c>
      <c r="BQ71" s="205">
        <f t="shared" si="103"/>
        <v>0</v>
      </c>
      <c r="BR71" s="205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0</v>
      </c>
      <c r="BS71" s="205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0</v>
      </c>
      <c r="BT71" s="205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0</v>
      </c>
      <c r="BU71" s="205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0</v>
      </c>
      <c r="BV71" s="205">
        <f t="shared" si="104"/>
        <v>0</v>
      </c>
      <c r="BW71" s="205">
        <f t="shared" si="104"/>
        <v>0</v>
      </c>
      <c r="BX71" s="205">
        <f t="shared" si="104"/>
        <v>0</v>
      </c>
      <c r="BY71" s="205">
        <f t="shared" si="104"/>
        <v>0</v>
      </c>
      <c r="BZ71" s="205">
        <f t="shared" si="104"/>
        <v>0</v>
      </c>
      <c r="CA71" s="205">
        <f t="shared" si="104"/>
        <v>0</v>
      </c>
      <c r="CB71" s="205">
        <f t="shared" si="104"/>
        <v>0</v>
      </c>
      <c r="CC71" s="205">
        <f t="shared" si="104"/>
        <v>0</v>
      </c>
      <c r="CD71" s="205">
        <f t="shared" si="104"/>
        <v>0</v>
      </c>
      <c r="CE71" s="205">
        <f t="shared" si="104"/>
        <v>0</v>
      </c>
      <c r="CF71" s="205">
        <f t="shared" si="104"/>
        <v>0</v>
      </c>
      <c r="CG71" s="205">
        <f t="shared" si="104"/>
        <v>0</v>
      </c>
      <c r="CH71" s="205">
        <f t="shared" si="104"/>
        <v>0</v>
      </c>
      <c r="CI71" s="205">
        <f t="shared" si="104"/>
        <v>0</v>
      </c>
      <c r="CJ71" s="205">
        <f t="shared" si="104"/>
        <v>0</v>
      </c>
      <c r="CK71" s="205">
        <f t="shared" si="104"/>
        <v>0</v>
      </c>
      <c r="CL71" s="205">
        <f t="shared" si="104"/>
        <v>0</v>
      </c>
      <c r="CM71" s="205">
        <f t="shared" si="104"/>
        <v>0</v>
      </c>
      <c r="CN71" s="205">
        <f t="shared" si="104"/>
        <v>0</v>
      </c>
      <c r="CO71" s="205">
        <f t="shared" si="104"/>
        <v>0</v>
      </c>
      <c r="CP71" s="205">
        <f t="shared" si="104"/>
        <v>0</v>
      </c>
      <c r="CQ71" s="205">
        <f t="shared" si="104"/>
        <v>0</v>
      </c>
      <c r="CR71" s="205">
        <f t="shared" si="104"/>
        <v>0</v>
      </c>
      <c r="CS71" s="205">
        <f t="shared" si="104"/>
        <v>0</v>
      </c>
      <c r="CT71" s="205">
        <f t="shared" si="104"/>
        <v>0</v>
      </c>
      <c r="CU71" s="205">
        <f t="shared" si="104"/>
        <v>0</v>
      </c>
      <c r="CV71" s="205">
        <f t="shared" si="104"/>
        <v>0</v>
      </c>
      <c r="CW71" s="205">
        <f t="shared" si="104"/>
        <v>0</v>
      </c>
      <c r="CX71" s="205">
        <f t="shared" si="104"/>
        <v>0</v>
      </c>
      <c r="CY71" s="205">
        <f t="shared" si="104"/>
        <v>0</v>
      </c>
      <c r="CZ71" s="205">
        <f t="shared" si="104"/>
        <v>148.16499999999999</v>
      </c>
      <c r="DA71" s="205">
        <f t="shared" si="104"/>
        <v>444.495</v>
      </c>
    </row>
    <row r="72" spans="1:105" s="205" customFormat="1">
      <c r="A72" s="205" t="str">
        <f>Income!A88</f>
        <v>TOTAL</v>
      </c>
      <c r="F72" s="205">
        <f>SUM(F59:F71)</f>
        <v>25120.269275404262</v>
      </c>
      <c r="G72" s="205">
        <f t="shared" ref="G72:BR72" si="105">SUM(G59:G71)</f>
        <v>25120.269275404262</v>
      </c>
      <c r="H72" s="205">
        <f t="shared" si="105"/>
        <v>25120.269275404262</v>
      </c>
      <c r="I72" s="205">
        <f t="shared" si="105"/>
        <v>25120.269275404262</v>
      </c>
      <c r="J72" s="205">
        <f t="shared" si="105"/>
        <v>25120.269275404262</v>
      </c>
      <c r="K72" s="205">
        <f t="shared" si="105"/>
        <v>25120.269275404262</v>
      </c>
      <c r="L72" s="205">
        <f t="shared" si="105"/>
        <v>25120.269275404262</v>
      </c>
      <c r="M72" s="205">
        <f t="shared" si="105"/>
        <v>25120.269275404262</v>
      </c>
      <c r="N72" s="205">
        <f t="shared" si="105"/>
        <v>25120.269275404262</v>
      </c>
      <c r="O72" s="205">
        <f t="shared" si="105"/>
        <v>25120.269275404262</v>
      </c>
      <c r="P72" s="205">
        <f t="shared" si="105"/>
        <v>25120.269275404262</v>
      </c>
      <c r="Q72" s="205">
        <f t="shared" si="105"/>
        <v>25120.269275404262</v>
      </c>
      <c r="R72" s="205">
        <f t="shared" si="105"/>
        <v>25120.269275404262</v>
      </c>
      <c r="S72" s="205">
        <f t="shared" si="105"/>
        <v>25120.269275404262</v>
      </c>
      <c r="T72" s="205">
        <f t="shared" si="105"/>
        <v>25120.269275404262</v>
      </c>
      <c r="U72" s="205">
        <f t="shared" si="105"/>
        <v>25120.269275404262</v>
      </c>
      <c r="V72" s="205">
        <f t="shared" si="105"/>
        <v>25120.269275404262</v>
      </c>
      <c r="W72" s="205">
        <f t="shared" si="105"/>
        <v>25120.269275404262</v>
      </c>
      <c r="X72" s="205">
        <f t="shared" si="105"/>
        <v>25120.269275404262</v>
      </c>
      <c r="Y72" s="205">
        <f t="shared" si="105"/>
        <v>25120.269275404262</v>
      </c>
      <c r="Z72" s="205">
        <f t="shared" si="105"/>
        <v>25120.269275404262</v>
      </c>
      <c r="AA72" s="205">
        <f t="shared" si="105"/>
        <v>25120.269275404262</v>
      </c>
      <c r="AB72" s="205">
        <f t="shared" si="105"/>
        <v>25120.269275404262</v>
      </c>
      <c r="AC72" s="205">
        <f t="shared" si="105"/>
        <v>25120.269275404262</v>
      </c>
      <c r="AD72" s="205">
        <f t="shared" si="105"/>
        <v>25120.269275404262</v>
      </c>
      <c r="AE72" s="205">
        <f t="shared" si="105"/>
        <v>25120.269275404262</v>
      </c>
      <c r="AF72" s="205">
        <f t="shared" si="105"/>
        <v>25202.042999901194</v>
      </c>
      <c r="AG72" s="205">
        <f t="shared" si="105"/>
        <v>25283.816724398126</v>
      </c>
      <c r="AH72" s="205">
        <f t="shared" si="105"/>
        <v>25365.590448895058</v>
      </c>
      <c r="AI72" s="205">
        <f t="shared" si="105"/>
        <v>25447.364173391994</v>
      </c>
      <c r="AJ72" s="205">
        <f t="shared" si="105"/>
        <v>25529.137897888926</v>
      </c>
      <c r="AK72" s="205">
        <f t="shared" si="105"/>
        <v>25610.911622385858</v>
      </c>
      <c r="AL72" s="205">
        <f t="shared" si="105"/>
        <v>25692.68534688279</v>
      </c>
      <c r="AM72" s="205">
        <f t="shared" si="105"/>
        <v>25774.459071379722</v>
      </c>
      <c r="AN72" s="205">
        <f t="shared" si="105"/>
        <v>25856.232795876655</v>
      </c>
      <c r="AO72" s="205">
        <f t="shared" si="105"/>
        <v>25938.006520373587</v>
      </c>
      <c r="AP72" s="205">
        <f t="shared" si="105"/>
        <v>26019.780244870519</v>
      </c>
      <c r="AQ72" s="205">
        <f t="shared" si="105"/>
        <v>26101.553969367451</v>
      </c>
      <c r="AR72" s="205">
        <f t="shared" si="105"/>
        <v>26183.327693864383</v>
      </c>
      <c r="AS72" s="205">
        <f t="shared" si="105"/>
        <v>26265.101418361315</v>
      </c>
      <c r="AT72" s="205">
        <f t="shared" si="105"/>
        <v>26346.875142858247</v>
      </c>
      <c r="AU72" s="205">
        <f t="shared" si="105"/>
        <v>26428.648867355179</v>
      </c>
      <c r="AV72" s="205">
        <f t="shared" si="105"/>
        <v>26510.422591852115</v>
      </c>
      <c r="AW72" s="205">
        <f t="shared" si="105"/>
        <v>26592.196316349047</v>
      </c>
      <c r="AX72" s="205">
        <f t="shared" si="105"/>
        <v>26673.970040845979</v>
      </c>
      <c r="AY72" s="205">
        <f t="shared" si="105"/>
        <v>26755.743765342912</v>
      </c>
      <c r="AZ72" s="205">
        <f t="shared" si="105"/>
        <v>26837.517489839844</v>
      </c>
      <c r="BA72" s="205">
        <f t="shared" si="105"/>
        <v>26919.291214336776</v>
      </c>
      <c r="BB72" s="205">
        <f t="shared" si="105"/>
        <v>27001.064938833708</v>
      </c>
      <c r="BC72" s="205">
        <f t="shared" si="105"/>
        <v>27082.83866333064</v>
      </c>
      <c r="BD72" s="205">
        <f t="shared" si="105"/>
        <v>27164.612387827576</v>
      </c>
      <c r="BE72" s="205">
        <f t="shared" si="105"/>
        <v>27246.386112324508</v>
      </c>
      <c r="BF72" s="205">
        <f t="shared" si="105"/>
        <v>27328.15983682144</v>
      </c>
      <c r="BG72" s="205">
        <f t="shared" si="105"/>
        <v>27409.933561318372</v>
      </c>
      <c r="BH72" s="205">
        <f t="shared" si="105"/>
        <v>27491.707285815304</v>
      </c>
      <c r="BI72" s="205">
        <f t="shared" si="105"/>
        <v>27573.481010312236</v>
      </c>
      <c r="BJ72" s="205">
        <f t="shared" si="105"/>
        <v>27655.254734809168</v>
      </c>
      <c r="BK72" s="205">
        <f t="shared" si="105"/>
        <v>27737.028459306101</v>
      </c>
      <c r="BL72" s="205">
        <f t="shared" si="105"/>
        <v>27818.802183803033</v>
      </c>
      <c r="BM72" s="205">
        <f t="shared" si="105"/>
        <v>27900.575908299965</v>
      </c>
      <c r="BN72" s="205">
        <f t="shared" si="105"/>
        <v>27982.349632796897</v>
      </c>
      <c r="BO72" s="205">
        <f t="shared" si="105"/>
        <v>28064.123357293829</v>
      </c>
      <c r="BP72" s="205">
        <f t="shared" si="105"/>
        <v>28145.897081790765</v>
      </c>
      <c r="BQ72" s="205">
        <f t="shared" si="105"/>
        <v>28227.670806287697</v>
      </c>
      <c r="BR72" s="205">
        <f t="shared" si="105"/>
        <v>28309.444530784629</v>
      </c>
      <c r="BS72" s="205">
        <f t="shared" ref="BS72:DA72" si="106">SUM(BS59:BS71)</f>
        <v>28391.218255281561</v>
      </c>
      <c r="BT72" s="205">
        <f t="shared" si="106"/>
        <v>28773.528710984283</v>
      </c>
      <c r="BU72" s="205">
        <f t="shared" si="106"/>
        <v>29155.839166687005</v>
      </c>
      <c r="BV72" s="205">
        <f t="shared" si="106"/>
        <v>29538.149622389727</v>
      </c>
      <c r="BW72" s="205">
        <f t="shared" si="106"/>
        <v>29920.460078092448</v>
      </c>
      <c r="BX72" s="205">
        <f t="shared" si="106"/>
        <v>30302.77053379517</v>
      </c>
      <c r="BY72" s="205">
        <f t="shared" si="106"/>
        <v>30685.080989497896</v>
      </c>
      <c r="BZ72" s="205">
        <f t="shared" si="106"/>
        <v>31067.391445200617</v>
      </c>
      <c r="CA72" s="205">
        <f t="shared" si="106"/>
        <v>31449.701900903339</v>
      </c>
      <c r="CB72" s="205">
        <f t="shared" si="106"/>
        <v>31832.012356606061</v>
      </c>
      <c r="CC72" s="205">
        <f t="shared" si="106"/>
        <v>32214.322812308783</v>
      </c>
      <c r="CD72" s="205">
        <f t="shared" si="106"/>
        <v>32596.633268011508</v>
      </c>
      <c r="CE72" s="205">
        <f t="shared" si="106"/>
        <v>32978.943723714227</v>
      </c>
      <c r="CF72" s="205">
        <f t="shared" si="106"/>
        <v>33361.254179416952</v>
      </c>
      <c r="CG72" s="205">
        <f t="shared" si="106"/>
        <v>33743.56463511967</v>
      </c>
      <c r="CH72" s="205">
        <f t="shared" si="106"/>
        <v>34125.875090822396</v>
      </c>
      <c r="CI72" s="205">
        <f t="shared" si="106"/>
        <v>34508.185546525114</v>
      </c>
      <c r="CJ72" s="205">
        <f t="shared" si="106"/>
        <v>34890.496002227839</v>
      </c>
      <c r="CK72" s="205">
        <f t="shared" si="106"/>
        <v>35272.806457930565</v>
      </c>
      <c r="CL72" s="205">
        <f t="shared" si="106"/>
        <v>35655.116913633283</v>
      </c>
      <c r="CM72" s="205">
        <f t="shared" si="106"/>
        <v>36037.427369336008</v>
      </c>
      <c r="CN72" s="205">
        <f t="shared" si="106"/>
        <v>36419.737825038726</v>
      </c>
      <c r="CO72" s="205">
        <f t="shared" si="106"/>
        <v>36802.048280741452</v>
      </c>
      <c r="CP72" s="205">
        <f t="shared" si="106"/>
        <v>37969.302506485386</v>
      </c>
      <c r="CQ72" s="205">
        <f t="shared" si="106"/>
        <v>39921.50050227053</v>
      </c>
      <c r="CR72" s="205">
        <f t="shared" si="106"/>
        <v>41873.698498055674</v>
      </c>
      <c r="CS72" s="205">
        <f t="shared" si="106"/>
        <v>43825.896493840817</v>
      </c>
      <c r="CT72" s="205">
        <f t="shared" si="106"/>
        <v>45778.094489625975</v>
      </c>
      <c r="CU72" s="205">
        <f t="shared" si="106"/>
        <v>47730.292485411119</v>
      </c>
      <c r="CV72" s="205">
        <f t="shared" si="106"/>
        <v>49682.490481196262</v>
      </c>
      <c r="CW72" s="205">
        <f t="shared" si="106"/>
        <v>51634.688476981406</v>
      </c>
      <c r="CX72" s="205">
        <f t="shared" si="106"/>
        <v>53586.886472766557</v>
      </c>
      <c r="CY72" s="205">
        <f t="shared" si="106"/>
        <v>55539.0844685517</v>
      </c>
      <c r="CZ72" s="205">
        <f t="shared" si="106"/>
        <v>61405.083966444276</v>
      </c>
      <c r="DA72" s="205">
        <f t="shared" si="106"/>
        <v>71184.884966444253</v>
      </c>
    </row>
    <row r="73" spans="1:105">
      <c r="A73" s="202" t="str">
        <f>Income!A89</f>
        <v>Food Poverty line</v>
      </c>
    </row>
    <row r="74" spans="1:105">
      <c r="A74" s="202" t="str">
        <f>Income!A90</f>
        <v>Lower Bound Poverty line</v>
      </c>
    </row>
    <row r="96" spans="4:15">
      <c r="D96" s="212"/>
      <c r="E96" s="212"/>
      <c r="F96" s="212"/>
      <c r="G96" s="212"/>
      <c r="H96" s="212"/>
      <c r="I96" s="212"/>
      <c r="J96" s="212"/>
      <c r="K96" s="212"/>
      <c r="L96" s="212"/>
      <c r="M96" s="212"/>
      <c r="N96" s="212"/>
      <c r="O96" s="212"/>
    </row>
    <row r="97" spans="1:31">
      <c r="C97" s="211"/>
      <c r="D97" s="213"/>
      <c r="E97" s="213"/>
      <c r="F97" s="213"/>
      <c r="G97" s="213"/>
      <c r="H97" s="213"/>
      <c r="I97" s="213"/>
      <c r="J97" s="213"/>
      <c r="K97" s="213"/>
      <c r="L97" s="213"/>
      <c r="M97" s="213"/>
      <c r="N97" s="213"/>
      <c r="O97" s="213"/>
    </row>
    <row r="98" spans="1:31">
      <c r="C98" s="211"/>
      <c r="D98" s="213"/>
      <c r="E98" s="213"/>
      <c r="F98" s="213"/>
      <c r="G98" s="213"/>
      <c r="H98" s="213"/>
      <c r="I98" s="213"/>
      <c r="J98" s="213"/>
      <c r="K98" s="213"/>
      <c r="L98" s="213"/>
      <c r="M98" s="213"/>
      <c r="N98" s="213"/>
      <c r="O98" s="213"/>
    </row>
    <row r="99" spans="1:31">
      <c r="C99" s="211"/>
      <c r="D99" s="213"/>
      <c r="E99" s="213"/>
      <c r="F99" s="213"/>
      <c r="G99" s="213"/>
      <c r="H99" s="213"/>
      <c r="I99" s="213"/>
      <c r="J99" s="213"/>
      <c r="K99" s="213"/>
      <c r="L99" s="213"/>
      <c r="M99" s="213"/>
      <c r="N99" s="213"/>
      <c r="O99" s="213"/>
    </row>
    <row r="100" spans="1:31">
      <c r="C100" s="211"/>
      <c r="D100" s="213"/>
      <c r="E100" s="213"/>
      <c r="F100" s="213"/>
      <c r="G100" s="213"/>
      <c r="H100" s="213"/>
      <c r="I100" s="213"/>
      <c r="J100" s="213"/>
      <c r="K100" s="213"/>
      <c r="L100" s="213"/>
      <c r="M100" s="213"/>
      <c r="N100" s="213"/>
      <c r="O100" s="213"/>
    </row>
    <row r="101" spans="1:31">
      <c r="C101" s="211"/>
      <c r="D101" s="213"/>
      <c r="E101" s="213"/>
      <c r="F101" s="213"/>
      <c r="G101" s="213"/>
      <c r="H101" s="213"/>
      <c r="I101" s="213"/>
      <c r="J101" s="213"/>
      <c r="K101" s="213"/>
      <c r="L101" s="213"/>
      <c r="M101" s="213"/>
      <c r="N101" s="213"/>
      <c r="O101" s="213"/>
    </row>
    <row r="107" spans="1:31">
      <c r="B107" s="215">
        <f>A23</f>
        <v>0</v>
      </c>
      <c r="C107" s="215">
        <f>B23</f>
        <v>50</v>
      </c>
      <c r="D107" s="215">
        <f>C23</f>
        <v>80</v>
      </c>
      <c r="E107" s="215">
        <f>D23</f>
        <v>95</v>
      </c>
      <c r="F107" s="215">
        <f>E23</f>
        <v>100</v>
      </c>
      <c r="AD107" s="202" t="s">
        <v>117</v>
      </c>
    </row>
    <row r="108" spans="1:31">
      <c r="A108" s="214" t="str">
        <f t="shared" ref="A108:A120" si="107">A42</f>
        <v>Own crops Consumed</v>
      </c>
      <c r="B108" s="213">
        <v>0</v>
      </c>
      <c r="C108" s="213">
        <f>AD42</f>
        <v>0</v>
      </c>
      <c r="D108" s="213">
        <f>BU42</f>
        <v>41.295117942954171</v>
      </c>
      <c r="E108" s="213">
        <f>CR42</f>
        <v>3.7336432318520565</v>
      </c>
      <c r="F108" s="213">
        <f xml:space="preserve"> 0.0529*F107^2 - 5.8907*F107 + 166.43</f>
        <v>106.36000000000007</v>
      </c>
    </row>
    <row r="109" spans="1:31">
      <c r="A109" s="214" t="str">
        <f t="shared" si="107"/>
        <v>Own crops sold</v>
      </c>
      <c r="B109" s="213">
        <f xml:space="preserve"> 0.2249*B107^2 + 18.644*B107 + 340.26</f>
        <v>340.26</v>
      </c>
      <c r="C109" s="213">
        <f>AD43</f>
        <v>340.26</v>
      </c>
      <c r="D109" s="213">
        <f t="shared" ref="D109:D120" si="108">BU43</f>
        <v>123.77777777777777</v>
      </c>
      <c r="E109" s="213">
        <f t="shared" ref="E109:E120" si="109">CR43</f>
        <v>151.14444444444445</v>
      </c>
      <c r="F109" s="213">
        <f xml:space="preserve"> 0.2249*F107^2 - 18.644*F107 + 340.26</f>
        <v>724.86000000000013</v>
      </c>
      <c r="AD109" s="218" t="s">
        <v>120</v>
      </c>
      <c r="AE109" s="202">
        <f>(0.0000001/7+0.00002/6+0.0039/5+0.2271/4+1.2857/3+16.311/2+13342)</f>
        <v>13350.641625014287</v>
      </c>
    </row>
    <row r="110" spans="1:31">
      <c r="A110" s="214" t="str">
        <f t="shared" si="107"/>
        <v>Animal products consumed</v>
      </c>
      <c r="B110" s="213">
        <v>0</v>
      </c>
      <c r="C110" s="213">
        <f t="shared" ref="C110:C120" si="110">AD44</f>
        <v>0</v>
      </c>
      <c r="D110" s="213">
        <f t="shared" si="108"/>
        <v>7.5226428549184057</v>
      </c>
      <c r="E110" s="213">
        <f t="shared" si="109"/>
        <v>64.718341013057355</v>
      </c>
      <c r="F110" s="213">
        <f xml:space="preserve"> -0.005*F107^2 + 0.7378*F107 - 15.349</f>
        <v>8.4310000000000009</v>
      </c>
      <c r="AD110" s="218" t="s">
        <v>118</v>
      </c>
      <c r="AE110" s="202">
        <f>(0.5*(DA72-F72))</f>
        <v>23032.307845519994</v>
      </c>
    </row>
    <row r="111" spans="1:31">
      <c r="A111" s="214" t="str">
        <f t="shared" si="107"/>
        <v>Animal products sold</v>
      </c>
      <c r="B111" s="213">
        <v>0</v>
      </c>
      <c r="C111" s="213">
        <f t="shared" si="110"/>
        <v>0</v>
      </c>
      <c r="D111" s="213">
        <f t="shared" si="108"/>
        <v>0</v>
      </c>
      <c r="E111" s="213">
        <f t="shared" si="109"/>
        <v>0</v>
      </c>
      <c r="F111" s="213">
        <v>0</v>
      </c>
      <c r="AD111" s="218" t="s">
        <v>119</v>
      </c>
      <c r="AE111" s="213">
        <f>AE109/AE110</f>
        <v>0.57964845357913686</v>
      </c>
    </row>
    <row r="112" spans="1:31">
      <c r="A112" s="214" t="str">
        <f t="shared" si="107"/>
        <v>Animals sold</v>
      </c>
      <c r="B112" s="213">
        <v>0</v>
      </c>
      <c r="C112" s="213">
        <f t="shared" si="110"/>
        <v>0</v>
      </c>
      <c r="D112" s="213">
        <f t="shared" si="108"/>
        <v>133.33333333333334</v>
      </c>
      <c r="E112" s="213">
        <f t="shared" si="109"/>
        <v>632.22222222222229</v>
      </c>
      <c r="F112" s="213">
        <v>0</v>
      </c>
    </row>
    <row r="113" spans="1:31">
      <c r="A113" s="214" t="str">
        <f t="shared" si="107"/>
        <v>Wild foods consumed and sold</v>
      </c>
      <c r="B113" s="213">
        <v>0</v>
      </c>
      <c r="C113" s="213">
        <f t="shared" si="110"/>
        <v>0</v>
      </c>
      <c r="D113" s="213">
        <f t="shared" si="108"/>
        <v>0</v>
      </c>
      <c r="E113" s="213">
        <f t="shared" si="109"/>
        <v>7.9386569840387606</v>
      </c>
      <c r="F113" s="213">
        <f xml:space="preserve"> 0.0898*F107^2 - 11.826*F107 + 336.79</f>
        <v>52.189999999999884</v>
      </c>
      <c r="AD113" s="218" t="s">
        <v>121</v>
      </c>
      <c r="AE113" s="202">
        <v>0.57299999999999995</v>
      </c>
    </row>
    <row r="114" spans="1:31">
      <c r="A114" s="214" t="str">
        <f t="shared" si="107"/>
        <v>Labour - casual</v>
      </c>
      <c r="B114" s="213">
        <v>0</v>
      </c>
      <c r="C114" s="213">
        <f t="shared" si="110"/>
        <v>0</v>
      </c>
      <c r="D114" s="213">
        <f t="shared" si="108"/>
        <v>-38.685082872928177</v>
      </c>
      <c r="E114" s="213">
        <f t="shared" si="109"/>
        <v>-75.2</v>
      </c>
      <c r="F114" s="213">
        <v>0</v>
      </c>
      <c r="AD114" s="218" t="s">
        <v>122</v>
      </c>
      <c r="AE114" s="202">
        <v>0.51500000000000001</v>
      </c>
    </row>
    <row r="115" spans="1:31">
      <c r="A115" s="214" t="str">
        <f t="shared" si="107"/>
        <v>Labour - formal emp</v>
      </c>
      <c r="B115" s="213">
        <v>0</v>
      </c>
      <c r="C115" s="213">
        <f t="shared" si="110"/>
        <v>0</v>
      </c>
      <c r="D115" s="213">
        <f t="shared" si="108"/>
        <v>0</v>
      </c>
      <c r="E115" s="213">
        <f t="shared" si="109"/>
        <v>3089.7777777777778</v>
      </c>
      <c r="F115" s="213">
        <f xml:space="preserve"> -2.582*F107^2 + 352.49*F107 - 6757.3</f>
        <v>2671.7</v>
      </c>
    </row>
    <row r="116" spans="1:31">
      <c r="A116" s="214" t="str">
        <f t="shared" si="107"/>
        <v>Self - employment</v>
      </c>
      <c r="B116" s="213">
        <v>0</v>
      </c>
      <c r="C116" s="213">
        <f t="shared" si="110"/>
        <v>0</v>
      </c>
      <c r="D116" s="213">
        <f t="shared" si="108"/>
        <v>19.066666666666666</v>
      </c>
      <c r="E116" s="213">
        <f t="shared" si="109"/>
        <v>-42.9</v>
      </c>
      <c r="F116" s="213">
        <f xml:space="preserve"> 0.025*F107^2 - 2.8902*F107 + 868.55</f>
        <v>829.53</v>
      </c>
    </row>
    <row r="117" spans="1:31">
      <c r="A117" s="214" t="str">
        <f t="shared" si="107"/>
        <v>Small business/petty trading</v>
      </c>
      <c r="B117" s="213">
        <v>0</v>
      </c>
      <c r="C117" s="213">
        <f t="shared" si="110"/>
        <v>0</v>
      </c>
      <c r="D117" s="213">
        <f t="shared" si="108"/>
        <v>96</v>
      </c>
      <c r="E117" s="213">
        <f t="shared" si="109"/>
        <v>-216</v>
      </c>
      <c r="F117" s="213">
        <f xml:space="preserve"> 1.6289*F107^2 - 121.84*F107 + 2098.5</f>
        <v>6203.5</v>
      </c>
    </row>
    <row r="118" spans="1:31">
      <c r="A118" s="214" t="str">
        <f t="shared" si="107"/>
        <v>Food transfer - official</v>
      </c>
      <c r="B118" s="213">
        <f xml:space="preserve"> 0</f>
        <v>0</v>
      </c>
      <c r="C118" s="213">
        <f t="shared" si="110"/>
        <v>0</v>
      </c>
      <c r="D118" s="213">
        <f t="shared" si="108"/>
        <v>0</v>
      </c>
      <c r="E118" s="213">
        <f t="shared" si="109"/>
        <v>-8.9704232215793134</v>
      </c>
      <c r="F118" s="213">
        <f>0.0411*F107^2 - 5.0851*F107 + 112.24</f>
        <v>14.730000000000004</v>
      </c>
    </row>
    <row r="119" spans="1:31">
      <c r="A119" s="214" t="str">
        <f t="shared" si="107"/>
        <v>Cash transfer - official</v>
      </c>
      <c r="B119" s="213">
        <v>0</v>
      </c>
      <c r="C119" s="213">
        <f t="shared" si="110"/>
        <v>0</v>
      </c>
      <c r="D119" s="213">
        <f t="shared" si="108"/>
        <v>0</v>
      </c>
      <c r="E119" s="213">
        <f t="shared" si="109"/>
        <v>-1654.2666666666669</v>
      </c>
      <c r="F119" s="213">
        <f xml:space="preserve"> -0.4727*F107^2 + 44.988*F107 - 899.63</f>
        <v>-1127.83</v>
      </c>
    </row>
    <row r="120" spans="1:31">
      <c r="A120" s="214" t="str">
        <f t="shared" si="107"/>
        <v>Cash transfer - gifts</v>
      </c>
      <c r="B120" s="213">
        <v>0</v>
      </c>
      <c r="C120" s="213">
        <f t="shared" si="110"/>
        <v>0</v>
      </c>
      <c r="D120" s="213">
        <f t="shared" si="108"/>
        <v>0</v>
      </c>
      <c r="E120" s="213">
        <f t="shared" si="109"/>
        <v>0</v>
      </c>
      <c r="F120" s="213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2016-04-27T23:33:17Z</dcterms:modified>
  <cp:category/>
</cp:coreProperties>
</file>