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L580" i="3"/>
  <c r="BV580" i="3"/>
  <c r="K592" i="7"/>
  <c r="J592" i="7"/>
  <c r="I592" i="7"/>
  <c r="H592" i="7"/>
  <c r="K586" i="7"/>
  <c r="J586" i="7"/>
  <c r="I586" i="7"/>
  <c r="H586" i="7"/>
  <c r="K580" i="7"/>
  <c r="J580" i="7"/>
  <c r="I580" i="7"/>
  <c r="H580" i="7"/>
  <c r="K544" i="7"/>
  <c r="J544" i="7"/>
  <c r="I544" i="7"/>
  <c r="H544" i="7"/>
  <c r="H526" i="7"/>
  <c r="K526" i="7"/>
  <c r="J526" i="7"/>
  <c r="I526" i="7"/>
  <c r="K520" i="7"/>
  <c r="J520" i="7"/>
  <c r="I520" i="7"/>
  <c r="H520" i="7"/>
  <c r="K514" i="7"/>
  <c r="J514" i="7"/>
  <c r="I514" i="7"/>
  <c r="H514" i="7"/>
  <c r="I508" i="7"/>
  <c r="J508" i="7"/>
  <c r="K508" i="7"/>
  <c r="H508" i="7"/>
  <c r="H325" i="7"/>
  <c r="H327" i="7"/>
  <c r="H943" i="7"/>
  <c r="I325" i="7"/>
  <c r="I327" i="7"/>
  <c r="I943" i="7"/>
  <c r="E23" i="8"/>
  <c r="J325" i="7"/>
  <c r="J327" i="7"/>
  <c r="J943" i="7"/>
  <c r="F23" i="8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O241" i="7"/>
  <c r="O932" i="7"/>
  <c r="I1075" i="7"/>
  <c r="O248" i="7"/>
  <c r="O933" i="7"/>
  <c r="I1076" i="7"/>
  <c r="O276" i="7"/>
  <c r="O937" i="7"/>
  <c r="I1077" i="7"/>
  <c r="O327" i="7"/>
  <c r="O943" i="7"/>
  <c r="I1078" i="7"/>
  <c r="O337" i="7"/>
  <c r="O944" i="7"/>
  <c r="I1079" i="7"/>
  <c r="O347" i="7"/>
  <c r="O945" i="7"/>
  <c r="I1080" i="7"/>
  <c r="O368" i="7"/>
  <c r="O947" i="7"/>
  <c r="I1081" i="7"/>
  <c r="O379" i="7"/>
  <c r="O948" i="7"/>
  <c r="I1082" i="7"/>
  <c r="I1083" i="7"/>
  <c r="I1084" i="7"/>
  <c r="I1085" i="7"/>
  <c r="I1086" i="7"/>
  <c r="I1087" i="7"/>
  <c r="I1088" i="7"/>
  <c r="O708" i="7"/>
  <c r="O965" i="7"/>
  <c r="I1089" i="7"/>
  <c r="O714" i="7"/>
  <c r="O966" i="7"/>
  <c r="I1090" i="7"/>
  <c r="O720" i="7"/>
  <c r="O967" i="7"/>
  <c r="I1091" i="7"/>
  <c r="O737" i="7"/>
  <c r="O970" i="7"/>
  <c r="I1092" i="7"/>
  <c r="O755" i="7"/>
  <c r="O973" i="7"/>
  <c r="I1093" i="7"/>
  <c r="O760" i="7"/>
  <c r="O975" i="7"/>
  <c r="I1094" i="7"/>
  <c r="O743" i="7"/>
  <c r="O977" i="7"/>
  <c r="I1095" i="7"/>
  <c r="O727" i="7"/>
  <c r="O983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N241" i="7"/>
  <c r="N932" i="7"/>
  <c r="F1075" i="7"/>
  <c r="N248" i="7"/>
  <c r="N933" i="7"/>
  <c r="F1076" i="7"/>
  <c r="N276" i="7"/>
  <c r="N937" i="7"/>
  <c r="F1077" i="7"/>
  <c r="N327" i="7"/>
  <c r="N943" i="7"/>
  <c r="F1078" i="7"/>
  <c r="N337" i="7"/>
  <c r="N944" i="7"/>
  <c r="F1079" i="7"/>
  <c r="N347" i="7"/>
  <c r="N945" i="7"/>
  <c r="F1080" i="7"/>
  <c r="N368" i="7"/>
  <c r="N947" i="7"/>
  <c r="F1081" i="7"/>
  <c r="N379" i="7"/>
  <c r="N948" i="7"/>
  <c r="F1082" i="7"/>
  <c r="F1083" i="7"/>
  <c r="F1084" i="7"/>
  <c r="F1085" i="7"/>
  <c r="F1086" i="7"/>
  <c r="F1087" i="7"/>
  <c r="F1088" i="7"/>
  <c r="N708" i="7"/>
  <c r="N965" i="7"/>
  <c r="F1089" i="7"/>
  <c r="N714" i="7"/>
  <c r="N966" i="7"/>
  <c r="F1090" i="7"/>
  <c r="N720" i="7"/>
  <c r="N967" i="7"/>
  <c r="F1091" i="7"/>
  <c r="N737" i="7"/>
  <c r="N970" i="7"/>
  <c r="F1092" i="7"/>
  <c r="N755" i="7"/>
  <c r="N973" i="7"/>
  <c r="F1093" i="7"/>
  <c r="N760" i="7"/>
  <c r="N975" i="7"/>
  <c r="F1094" i="7"/>
  <c r="N743" i="7"/>
  <c r="N977" i="7"/>
  <c r="F1095" i="7"/>
  <c r="N727" i="7"/>
  <c r="N983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M241" i="7"/>
  <c r="M932" i="7"/>
  <c r="D1075" i="7"/>
  <c r="M248" i="7"/>
  <c r="M933" i="7"/>
  <c r="D1076" i="7"/>
  <c r="M276" i="7"/>
  <c r="M937" i="7"/>
  <c r="D1077" i="7"/>
  <c r="M327" i="7"/>
  <c r="M943" i="7"/>
  <c r="D1078" i="7"/>
  <c r="M337" i="7"/>
  <c r="M944" i="7"/>
  <c r="D1079" i="7"/>
  <c r="M347" i="7"/>
  <c r="M945" i="7"/>
  <c r="D1080" i="7"/>
  <c r="M368" i="7"/>
  <c r="M947" i="7"/>
  <c r="D1081" i="7"/>
  <c r="M379" i="7"/>
  <c r="M948" i="7"/>
  <c r="D1082" i="7"/>
  <c r="D1083" i="7"/>
  <c r="D1084" i="7"/>
  <c r="D1085" i="7"/>
  <c r="D1086" i="7"/>
  <c r="D1087" i="7"/>
  <c r="D1088" i="7"/>
  <c r="M708" i="7"/>
  <c r="M965" i="7"/>
  <c r="D1089" i="7"/>
  <c r="M714" i="7"/>
  <c r="M966" i="7"/>
  <c r="D1090" i="7"/>
  <c r="M720" i="7"/>
  <c r="M967" i="7"/>
  <c r="D1091" i="7"/>
  <c r="M737" i="7"/>
  <c r="M970" i="7"/>
  <c r="D1092" i="7"/>
  <c r="M755" i="7"/>
  <c r="M973" i="7"/>
  <c r="D1093" i="7"/>
  <c r="M760" i="7"/>
  <c r="M975" i="7"/>
  <c r="D1094" i="7"/>
  <c r="M743" i="7"/>
  <c r="M977" i="7"/>
  <c r="D1095" i="7"/>
  <c r="M727" i="7"/>
  <c r="M983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3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K1" i="3"/>
  <c r="BV386" i="3"/>
  <c r="C386" i="7"/>
  <c r="P1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9" i="7"/>
  <c r="H840" i="7"/>
  <c r="I299" i="7"/>
  <c r="I840" i="7"/>
  <c r="J299" i="7"/>
  <c r="J840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I616" i="7"/>
  <c r="K616" i="7"/>
  <c r="K617" i="7"/>
  <c r="J616" i="7"/>
  <c r="J617" i="7"/>
  <c r="I617" i="7"/>
  <c r="H616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I591" i="7"/>
  <c r="K591" i="7"/>
  <c r="J591" i="7"/>
  <c r="H591" i="7"/>
  <c r="D585" i="7"/>
  <c r="C585" i="7"/>
  <c r="E585" i="7"/>
  <c r="F585" i="7"/>
  <c r="I585" i="7"/>
  <c r="K585" i="7"/>
  <c r="B59" i="8"/>
  <c r="G59" i="8"/>
  <c r="D582" i="7"/>
  <c r="C582" i="7"/>
  <c r="E582" i="7"/>
  <c r="F582" i="7"/>
  <c r="I582" i="7"/>
  <c r="K582" i="7"/>
  <c r="K581" i="7"/>
  <c r="J585" i="7"/>
  <c r="J582" i="7"/>
  <c r="J581" i="7"/>
  <c r="I581" i="7"/>
  <c r="H585" i="7"/>
  <c r="H582" i="7"/>
  <c r="H581" i="7"/>
  <c r="B58" i="8"/>
  <c r="G58" i="8"/>
  <c r="D576" i="7"/>
  <c r="I576" i="7"/>
  <c r="K576" i="7"/>
  <c r="K575" i="7"/>
  <c r="D579" i="7"/>
  <c r="J576" i="7"/>
  <c r="J575" i="7"/>
  <c r="I575" i="7"/>
  <c r="H576" i="7"/>
  <c r="H575" i="7"/>
  <c r="I579" i="7"/>
  <c r="K579" i="7"/>
  <c r="J579" i="7"/>
  <c r="H579" i="7"/>
  <c r="D573" i="7"/>
  <c r="C573" i="7"/>
  <c r="E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B55" i="8"/>
  <c r="G55" i="8"/>
  <c r="K558" i="7"/>
  <c r="D561" i="7"/>
  <c r="K562" i="7"/>
  <c r="J558" i="7"/>
  <c r="J562" i="7"/>
  <c r="I558" i="7"/>
  <c r="I562" i="7"/>
  <c r="H558" i="7"/>
  <c r="H562" i="7"/>
  <c r="I561" i="7"/>
  <c r="K561" i="7"/>
  <c r="J561" i="7"/>
  <c r="H561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I543" i="7"/>
  <c r="K543" i="7"/>
  <c r="J543" i="7"/>
  <c r="H543" i="7"/>
  <c r="D537" i="7"/>
  <c r="C537" i="7"/>
  <c r="I537" i="7"/>
  <c r="K537" i="7"/>
  <c r="B46" i="8"/>
  <c r="G46" i="8"/>
  <c r="K534" i="7"/>
  <c r="K538" i="7"/>
  <c r="J537" i="7"/>
  <c r="J534" i="7"/>
  <c r="J538" i="7"/>
  <c r="I534" i="7"/>
  <c r="I538" i="7"/>
  <c r="H537" i="7"/>
  <c r="H534" i="7"/>
  <c r="H538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I525" i="7"/>
  <c r="K525" i="7"/>
  <c r="J525" i="7"/>
  <c r="H525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I519" i="7"/>
  <c r="K519" i="7"/>
  <c r="J519" i="7"/>
  <c r="H519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I513" i="7"/>
  <c r="K513" i="7"/>
  <c r="J513" i="7"/>
  <c r="H513" i="7"/>
  <c r="D507" i="7"/>
  <c r="C507" i="7"/>
  <c r="E507" i="7"/>
  <c r="F507" i="7"/>
  <c r="I507" i="7"/>
  <c r="K507" i="7"/>
  <c r="B61" i="8"/>
  <c r="G61" i="8"/>
  <c r="D504" i="7"/>
  <c r="C504" i="7"/>
  <c r="E504" i="7"/>
  <c r="F504" i="7"/>
  <c r="I504" i="7"/>
  <c r="K504" i="7"/>
  <c r="K503" i="7"/>
  <c r="J507" i="7"/>
  <c r="J504" i="7"/>
  <c r="J503" i="7"/>
  <c r="I503" i="7"/>
  <c r="H507" i="7"/>
  <c r="H504" i="7"/>
  <c r="H503" i="7"/>
  <c r="D501" i="7"/>
  <c r="C501" i="7"/>
  <c r="E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I492" i="7"/>
  <c r="K492" i="7"/>
  <c r="B50" i="8"/>
  <c r="G50" i="8"/>
  <c r="D486" i="7"/>
  <c r="D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64" i="7"/>
  <c r="D857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E664" i="7"/>
  <c r="E857" i="7"/>
  <c r="F664" i="7"/>
  <c r="F857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W580" i="3"/>
  <c r="BX580" i="3"/>
  <c r="BY580" i="3"/>
  <c r="I498" i="7"/>
  <c r="H51" i="8"/>
  <c r="J498" i="7"/>
  <c r="K498" i="7"/>
  <c r="H498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H471" i="7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1" i="7"/>
  <c r="P475" i="7"/>
  <c r="K480" i="7"/>
  <c r="P484" i="7"/>
  <c r="K489" i="7"/>
  <c r="P493" i="7"/>
  <c r="P502" i="7"/>
  <c r="P635" i="7"/>
  <c r="P988" i="7"/>
  <c r="H61" i="8"/>
  <c r="P508" i="7"/>
  <c r="P514" i="7"/>
  <c r="P520" i="7"/>
  <c r="P526" i="7"/>
  <c r="P544" i="7"/>
  <c r="P580" i="7"/>
  <c r="H59" i="8"/>
  <c r="P586" i="7"/>
  <c r="P592" i="7"/>
  <c r="P532" i="7"/>
  <c r="H46" i="8"/>
  <c r="P538" i="7"/>
  <c r="H48" i="8"/>
  <c r="P550" i="7"/>
  <c r="P556" i="7"/>
  <c r="P562" i="7"/>
  <c r="P568" i="7"/>
  <c r="H57" i="8"/>
  <c r="P574" i="7"/>
  <c r="P605" i="7"/>
  <c r="P611" i="7"/>
  <c r="P623" i="7"/>
  <c r="B71" i="8"/>
  <c r="G71" i="8"/>
  <c r="K772" i="7"/>
  <c r="P772" i="7"/>
  <c r="B72" i="8"/>
  <c r="G72" i="8"/>
  <c r="K773" i="7"/>
  <c r="P773" i="7"/>
  <c r="P989" i="7"/>
  <c r="K595" i="7"/>
  <c r="B65" i="8"/>
  <c r="G65" i="8"/>
  <c r="K594" i="7"/>
  <c r="K599" i="7"/>
  <c r="P599" i="7"/>
  <c r="P617" i="7"/>
  <c r="B66" i="8"/>
  <c r="G66" i="8"/>
  <c r="K625" i="7"/>
  <c r="K629" i="7"/>
  <c r="P629" i="7"/>
  <c r="P990" i="7"/>
  <c r="B69" i="8"/>
  <c r="F69" i="8"/>
  <c r="F637" i="7"/>
  <c r="K637" i="7"/>
  <c r="D638" i="7"/>
  <c r="I638" i="7"/>
  <c r="K638" i="7"/>
  <c r="D641" i="7"/>
  <c r="K642" i="7"/>
  <c r="P642" i="7"/>
  <c r="P99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1" i="7"/>
  <c r="O475" i="7"/>
  <c r="J480" i="7"/>
  <c r="O484" i="7"/>
  <c r="J489" i="7"/>
  <c r="O493" i="7"/>
  <c r="O502" i="7"/>
  <c r="O635" i="7"/>
  <c r="O988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J772" i="7"/>
  <c r="O772" i="7"/>
  <c r="J773" i="7"/>
  <c r="O773" i="7"/>
  <c r="O989" i="7"/>
  <c r="J595" i="7"/>
  <c r="J594" i="7"/>
  <c r="J599" i="7"/>
  <c r="O599" i="7"/>
  <c r="O617" i="7"/>
  <c r="J625" i="7"/>
  <c r="J629" i="7"/>
  <c r="O629" i="7"/>
  <c r="O990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724" i="7"/>
  <c r="O969" i="7"/>
  <c r="O732" i="7"/>
  <c r="O972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71" i="7"/>
  <c r="N475" i="7"/>
  <c r="I480" i="7"/>
  <c r="N484" i="7"/>
  <c r="I489" i="7"/>
  <c r="N493" i="7"/>
  <c r="N502" i="7"/>
  <c r="N635" i="7"/>
  <c r="N988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I772" i="7"/>
  <c r="N772" i="7"/>
  <c r="I773" i="7"/>
  <c r="N773" i="7"/>
  <c r="N989" i="7"/>
  <c r="I594" i="7"/>
  <c r="I599" i="7"/>
  <c r="N599" i="7"/>
  <c r="N617" i="7"/>
  <c r="I625" i="7"/>
  <c r="I629" i="7"/>
  <c r="N629" i="7"/>
  <c r="N990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724" i="7"/>
  <c r="N969" i="7"/>
  <c r="N732" i="7"/>
  <c r="N972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M475" i="7"/>
  <c r="H480" i="7"/>
  <c r="M484" i="7"/>
  <c r="H489" i="7"/>
  <c r="M493" i="7"/>
  <c r="M502" i="7"/>
  <c r="M635" i="7"/>
  <c r="M988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H772" i="7"/>
  <c r="M772" i="7"/>
  <c r="H773" i="7"/>
  <c r="M773" i="7"/>
  <c r="M989" i="7"/>
  <c r="H595" i="7"/>
  <c r="H594" i="7"/>
  <c r="H599" i="7"/>
  <c r="M599" i="7"/>
  <c r="M617" i="7"/>
  <c r="H625" i="7"/>
  <c r="H629" i="7"/>
  <c r="M629" i="7"/>
  <c r="M990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724" i="7"/>
  <c r="M969" i="7"/>
  <c r="M732" i="7"/>
  <c r="M972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3" i="7"/>
  <c r="O257" i="7"/>
  <c r="O834" i="7"/>
  <c r="N299" i="7"/>
  <c r="N840" i="7"/>
  <c r="F1064" i="7"/>
  <c r="K787" i="7"/>
  <c r="C1068" i="7"/>
  <c r="DG506" i="3"/>
  <c r="BZ506" i="3"/>
  <c r="M696" i="7"/>
  <c r="M897" i="7"/>
  <c r="C1174" i="7"/>
  <c r="M691" i="7"/>
  <c r="M896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4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N661" i="7"/>
  <c r="N856" i="7"/>
  <c r="D1172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CM447" i="3"/>
  <c r="CL447" i="3"/>
  <c r="BE851" i="3"/>
  <c r="CI447" i="3"/>
  <c r="CH447" i="3"/>
  <c r="P278" i="7"/>
  <c r="P837" i="7"/>
  <c r="P173" i="7"/>
  <c r="P827" i="7"/>
  <c r="CD447" i="3"/>
  <c r="M1174" i="7"/>
  <c r="N309" i="7"/>
  <c r="N841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O655" i="7"/>
  <c r="O855" i="7"/>
  <c r="E1171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N649" i="7"/>
  <c r="N854" i="7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P649" i="7"/>
  <c r="P854" i="7"/>
  <c r="M661" i="7"/>
  <c r="M856" i="7"/>
  <c r="C1172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O649" i="7"/>
  <c r="O854" i="7"/>
  <c r="P655" i="7"/>
  <c r="P855" i="7"/>
  <c r="F1171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M649" i="7"/>
  <c r="M854" i="7"/>
  <c r="P661" i="7"/>
  <c r="P856" i="7"/>
  <c r="F1172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M655" i="7"/>
  <c r="M855" i="7"/>
  <c r="C1171" i="7"/>
  <c r="O661" i="7"/>
  <c r="O856" i="7"/>
  <c r="E1172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O309" i="7"/>
  <c r="O841" i="7"/>
  <c r="M309" i="7"/>
  <c r="M84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N172" i="7"/>
  <c r="N826" i="7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<sst xmlns="http://schemas.openxmlformats.org/spreadsheetml/2006/main" count="4564" uniqueCount="959">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</sst>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9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26808"/>
        <c:axId val="1840530136"/>
      </c:lineChart>
      <c:catAx>
        <c:axId val="1840526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30136"/>
        <c:crosses val="autoZero"/>
        <c:auto val="1"/>
        <c:lblAlgn val="ctr"/>
        <c:lblOffset val="100"/>
        <c:noMultiLvlLbl val="1"/>
      </c:catAx>
      <c:valAx>
        <c:axId val="184053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26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67160"/>
        <c:axId val="1840570488"/>
      </c:lineChart>
      <c:catAx>
        <c:axId val="1840567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70488"/>
        <c:crosses val="autoZero"/>
        <c:auto val="1"/>
        <c:lblAlgn val="ctr"/>
        <c:lblOffset val="100"/>
        <c:noMultiLvlLbl val="1"/>
      </c:catAx>
      <c:valAx>
        <c:axId val="184057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67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612456"/>
        <c:axId val="1840615784"/>
      </c:barChart>
      <c:catAx>
        <c:axId val="1840612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0615784"/>
        <c:crosses val="autoZero"/>
        <c:auto val="1"/>
        <c:lblAlgn val="ctr"/>
        <c:lblOffset val="100"/>
        <c:noMultiLvlLbl val="1"/>
      </c:catAx>
      <c:valAx>
        <c:axId val="1840615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612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882664"/>
        <c:axId val="1842886120"/>
      </c:barChart>
      <c:catAx>
        <c:axId val="18428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88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997736"/>
        <c:axId val="1843001080"/>
      </c:barChart>
      <c:catAx>
        <c:axId val="18429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01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01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9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083752"/>
        <c:axId val="1843087128"/>
      </c:barChart>
      <c:catAx>
        <c:axId val="18430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8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159784"/>
        <c:axId val="1843163128"/>
      </c:barChart>
      <c:catAx>
        <c:axId val="184315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6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16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5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246008"/>
        <c:axId val="1843249384"/>
      </c:barChart>
      <c:catAx>
        <c:axId val="184324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24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2" t="s">
        <v>48</v>
      </c>
      <c r="DD4" s="1552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49" t="s">
        <v>51</v>
      </c>
      <c r="DR4" s="1549"/>
      <c r="DS4" s="1549"/>
      <c r="DT4" s="1549"/>
      <c r="DU4" s="1549"/>
      <c r="DV4" s="1549"/>
      <c r="DW4" s="1549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0"/>
      <c r="W270" s="1550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1"/>
      <c r="AH270" s="1551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0"/>
      <c r="W310" s="1550"/>
      <c r="X310" s="1417"/>
      <c r="Y310" s="1417"/>
      <c r="Z310" s="1417"/>
      <c r="AA310"/>
      <c r="AB310"/>
      <c r="AC310"/>
      <c r="AD310"/>
      <c r="AE310"/>
      <c r="AF310"/>
      <c r="AG310" s="1551"/>
      <c r="AH310" s="1551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AU979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3" t="s">
        <v>51</v>
      </c>
      <c r="DM4" s="1553"/>
      <c r="DN4" s="1553"/>
      <c r="DO4" s="1553"/>
      <c r="DP4" s="1553"/>
      <c r="DQ4" s="1553"/>
      <c r="DR4" s="1553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4" t="s">
        <v>48</v>
      </c>
      <c r="CE6" s="1554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5" t="s">
        <v>48</v>
      </c>
      <c r="CQ6" s="1555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6" t="s">
        <v>49</v>
      </c>
      <c r="DF6" s="1556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1.2763309464508096E-2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V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5.7735780821917817E-3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2.5031133250311335E-2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0.37119831631382316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8.8324273972602729E-2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6.1524582814445818E-2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1.3034869240348693E-2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1.7737850062266497E-2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7.0388293897882939E-2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7.8209215442092153E-2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4.4492353673723532E-3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7.3226998754669977E-3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4.0842590286425898E-3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8.8202615193026142E-3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8.6899128268991277E-4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3.545484433374844E-3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2.3317932752179324E-4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5.7735780821917817E-3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6.0134196762141955E-2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4.4188206724782061E-2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6408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4358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7" t="s">
        <v>51</v>
      </c>
      <c r="DR4" s="1557"/>
      <c r="DS4" s="1557"/>
      <c r="DT4" s="1557"/>
      <c r="DU4" s="1557"/>
      <c r="DV4" s="1557"/>
      <c r="DW4" s="1557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58" t="s">
        <v>48</v>
      </c>
      <c r="CE5" s="15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9" t="s">
        <v>49</v>
      </c>
      <c r="CT5" s="1559"/>
      <c r="CU5" s="1555" t="s">
        <v>48</v>
      </c>
      <c r="CV5" s="1555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6" t="s">
        <v>49</v>
      </c>
      <c r="DK5" s="1556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M32" sqref="M32:P4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0.32414752863072965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8.8592743117031636E-2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0.22788340498132004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1.7839467954544844E-2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40380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316.40000000000009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1260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2832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566.40000000000009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36022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1016.9660712933364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6408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5327.2616878327717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6720.2043834605647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847.5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980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-300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562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9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2.5031133250311335E-2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1.2763335408883355E-2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IF(H178="","",H178*C179*9839/$P$1/365/H$46)</f>
        <v/>
      </c>
      <c r="I180" s="1131" t="str">
        <f>IF(I178="","",I178*D179*9839/$P$1/365/I$46)</f>
        <v/>
      </c>
      <c r="J180" s="1131" t="str">
        <f>IF(J178="","",J178*E179*9839/$P$1/365/J$46)</f>
        <v/>
      </c>
      <c r="K180" s="1131" t="str">
        <f>IF(K178="","",K178*F179*9839/$P$1/365/K$46)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1.0500311332503114E-2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IF(H181="","",H181*C182*1450/$P$1/365/H$46)</f>
        <v/>
      </c>
      <c r="I183" s="1131" t="str">
        <f>IF(I181="","",I181*D182*1450/$P$1/365/I$46)</f>
        <v/>
      </c>
      <c r="J183" s="1131" t="str">
        <f>IF(J181="","",J181*E182*1450/$P$1/365/J$46)</f>
        <v/>
      </c>
      <c r="K183" s="1131" t="str">
        <f>IF(K181="","",K181*F182*1450/$P$1/365/K$46)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0.18138020547945205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3.6332525529265254E-2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6.6622665006226651E-4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1.2274501867995018E-2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1.3695516811955168E-2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4.19288293897883E-2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0.1677153175591532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1.0118306351183063E-3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-2.4476587795765879E-3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1.3903860523038604E-3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708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0.37119831631382316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3288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8.8324273972602729E-2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81.418726434618691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6.1524582814445818E-2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4.174377647644506E-2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-1.9780806338000757E-2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IF(SUM($D474)=0,IF(SUM($C474)=0,IF(SUM($E474)=0,IF(SUM($F474)=0,'[2]Exp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3">IF(D474="","",D471*D474)</f>
        <v>720</v>
      </c>
      <c r="E475" s="1127">
        <f t="shared" si="23"/>
        <v>720</v>
      </c>
      <c r="F475" s="1127">
        <f t="shared" si="23"/>
        <v>1080</v>
      </c>
      <c r="G475" s="1158"/>
      <c r="H475" s="1548">
        <f t="shared" ref="H475" si="24">IF(H$46=0,"",H469*H470*H474)</f>
        <v>37.995405669488719</v>
      </c>
      <c r="I475" s="1548">
        <f>IF(I$46=0,"",I469*I470*I474)</f>
        <v>48.851235860771219</v>
      </c>
      <c r="J475" s="1548">
        <f t="shared" ref="J475:K475" si="25">IF(J$46=0,"",J469*J470*J474)</f>
        <v>37.995405669488719</v>
      </c>
      <c r="K475" s="1548">
        <f t="shared" si="25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63.061391839835352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1.3034869240348693E-2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6.8499749728887149E-3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-6.1848942674599785E-3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IF(SUM($D483)=0,IF(SUM($C483)=0,IF(SUM($E483)=0,IF(SUM($F483)=0,'[2]Exp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6">IF(H$46=0,"",H478*H479*H483)</f>
        <v>166.76234730978683</v>
      </c>
      <c r="I484" s="1548">
        <f>IF(I$46=0,"",I478*I479*I483)</f>
        <v>214.40873225544021</v>
      </c>
      <c r="J484" s="1548">
        <f t="shared" si="26"/>
        <v>166.76234730978683</v>
      </c>
      <c r="K484" s="1548">
        <f t="shared" si="26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51.547602151208302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432.99985807014968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1.7737850062266497E-2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0.13465275627564996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IF(SUM($D492)=0,IF(SUM($C492)=0,IF(SUM($E492)=0,IF(SUM($F492)=0,'[2]Exp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7">IF(H$46=0,"",H487*H488*H492)</f>
        <v>4811.1095341127748</v>
      </c>
      <c r="I493" s="1548">
        <f>IF(I$46=0,"",I487*I488*I492)</f>
        <v>6185.7122581449958</v>
      </c>
      <c r="J493" s="1548">
        <f t="shared" ref="J493:K493" si="28">IF(J$46=0,"",J487*J488*J492)</f>
        <v>4811.1095341127748</v>
      </c>
      <c r="K493" s="1548">
        <f t="shared" si="28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12.280457977514487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103.15584701112169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4.0039884208984376E-2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4.0039884208984376E-2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IF(SUM($D501)=0,IF(SUM($C501)=0,IF(SUM($E501)=0,IF(SUM($F501)=0,'[2]Exp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29">IF(D501="","",D496*D497*D501)</f>
        <v/>
      </c>
      <c r="E502" s="1127">
        <f t="shared" si="29"/>
        <v>1296</v>
      </c>
      <c r="F502" s="1127" t="str">
        <f t="shared" si="29"/>
        <v/>
      </c>
      <c r="G502" s="1111"/>
      <c r="H502" s="1548">
        <f t="shared" ref="H502:K502" si="30">IF(H$46=0,"",H496*H497*H501)</f>
        <v>1031.5584701112168</v>
      </c>
      <c r="I502" s="1548">
        <f>IF(I$46=0,"",I496*I497*I501)</f>
        <v>1326.2894615715645</v>
      </c>
      <c r="J502" s="1548">
        <f t="shared" si="30"/>
        <v>1031.5584701112168</v>
      </c>
      <c r="K502" s="1548">
        <f t="shared" si="30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2.0254077046125731E-2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2.0254077046125731E-2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IF(SUM($D507)=0,IF(SUM($C507)=0,IF(SUM($E507)=0,IF(SUM($F507)=0,'[2]Exp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1">IF(I$46=0,"",I503*I504*I507)</f>
        <v>762.8725799408171</v>
      </c>
      <c r="J508" s="1383">
        <f t="shared" si="31"/>
        <v>593.34533995396873</v>
      </c>
      <c r="K508" s="1383">
        <f t="shared" si="31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7.0388293897882939E-2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-5.7053284574150973E-2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IF(SUM($D513)=0,IF(SUM($C513)=0,IF(SUM($E513)=0,IF(SUM($F513)=0,'[2]Exp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2">IF(I$46=0,"",I509*I510*I513)</f>
        <v>159.13736804283803</v>
      </c>
      <c r="J514" s="1383">
        <f t="shared" ref="J514" si="33">IF(J$46=0,"",J509*J510*J513)</f>
        <v>123.7735084777629</v>
      </c>
      <c r="K514" s="1383">
        <f t="shared" ref="K514" si="34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7.8209215442092153E-2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-8.9861552587628402E-3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IF(SUM($D519)=0,IF(SUM($C519)=0,IF(SUM($E519)=0,IF(SUM($F519)=0,'[2]Exp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5">IF(I$46=0,"",I515*I516*I519)</f>
        <v>531.0606413223793</v>
      </c>
      <c r="J520" s="1383">
        <f t="shared" ref="J520" si="36">IF(J$46=0,"",J515*J516*J519)</f>
        <v>413.04716547296158</v>
      </c>
      <c r="K520" s="1383">
        <f t="shared" ref="K520" si="37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4.4492353673723532E-3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4.1863769079100461E-3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-2.628584594623071E-4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IF(SUM($D525)=0,IF(SUM($C525)=0,IF(SUM($E525)=0,IF(SUM($F525)=0,'[2]Exp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38">IF(I$46=0,"",I521*I522*I525)</f>
        <v>316.14929868016935</v>
      </c>
      <c r="J526" s="1383">
        <f t="shared" ref="J526" si="39">IF(J$46=0,"",J521*J522*J525)</f>
        <v>245.89389897346504</v>
      </c>
      <c r="K526" s="1383">
        <f t="shared" ref="K526" si="40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63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1">IF(SUM(D528)=0,"",D528*D529/D$46/365/$P$1)</f>
        <v>7.3226998754669977E-3</v>
      </c>
      <c r="E530" s="1382">
        <f t="shared" si="41"/>
        <v>1.2651271659847002E-2</v>
      </c>
      <c r="F530" s="1382">
        <f t="shared" si="41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-6.7120575906298632E-4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IF(SUM($D531)=0,IF(SUM($C531)=0,IF(SUM($E531)=0,IF(SUM($F531)=0,'[2]Exp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2">IF(D531="","",D528*D531)</f>
        <v>576</v>
      </c>
      <c r="E532" s="1383">
        <f t="shared" si="42"/>
        <v>430</v>
      </c>
      <c r="F532" s="1383">
        <f t="shared" si="42"/>
        <v>817</v>
      </c>
      <c r="G532" s="1084"/>
      <c r="H532" s="1383">
        <f>IF(H$46=0,"",IF($D531="",H528*H531,H528*$D531))</f>
        <v>406.93588632962496</v>
      </c>
      <c r="I532" s="1383">
        <f t="shared" ref="I532:K532" si="43">IF(I$46=0,"",IF($D531="",I528*I531,I528*$D531))</f>
        <v>523.20328242380344</v>
      </c>
      <c r="J532" s="1383">
        <f t="shared" si="43"/>
        <v>406.93588632962496</v>
      </c>
      <c r="K532" s="1383">
        <f t="shared" si="43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63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4">IF(SUM(D534)=0,"",D534*D535/D$46/365/$P$1)</f>
        <v/>
      </c>
      <c r="E536" s="1382" t="str">
        <f t="shared" si="44"/>
        <v/>
      </c>
      <c r="F536" s="1382" t="str">
        <f t="shared" si="44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IF(SUM($D537)=0,IF(SUM($C537)=0,IF(SUM($E537)=0,IF(SUM($F537)=0,'[2]Exp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5">IF(D537="","",D534*D537)</f>
        <v/>
      </c>
      <c r="E538" s="1383" t="str">
        <f t="shared" si="45"/>
        <v/>
      </c>
      <c r="F538" s="1383" t="str">
        <f t="shared" si="45"/>
        <v/>
      </c>
      <c r="G538" s="1084"/>
      <c r="H538" s="1383">
        <f>IF(H$46=0,"",IF($D537="",H534*H537,H534*$D537))</f>
        <v>1629.4585664774706</v>
      </c>
      <c r="I538" s="1383">
        <f t="shared" ref="I538:K538" si="46">IF(I$46=0,"",IF($D537="",I534*I537,I534*$D537))</f>
        <v>2095.0181568996049</v>
      </c>
      <c r="J538" s="1383">
        <f t="shared" si="46"/>
        <v>1629.4585664774706</v>
      </c>
      <c r="K538" s="1383">
        <f t="shared" si="46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4.0842590286425898E-3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6.4006192180146495E-3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IF(SUM($D543)=0,IF(SUM($C543)=0,IF(SUM($E543)=0,IF(SUM($F543)=0,'[2]Exp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7">IF(I$46=0,"",I539*I540*I543)</f>
        <v>1540.2859867301665</v>
      </c>
      <c r="J544" s="1383">
        <f t="shared" ref="J544" si="48">IF(J$46=0,"",J539*J540*J543)</f>
        <v>1198.0002119012406</v>
      </c>
      <c r="K544" s="1383">
        <f t="shared" ref="K544" si="49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63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0">IF(SUM(D546)=0,"",D546*D547/D$46/365/$P$1)</f>
        <v/>
      </c>
      <c r="E548" s="1382">
        <f t="shared" si="50"/>
        <v>2.510585305105853E-2</v>
      </c>
      <c r="F548" s="1382">
        <f t="shared" si="50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4.7146460909842768E-3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4.7146460909842768E-3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IF(SUM($D549)=0,IF(SUM($C549)=0,IF(SUM($E549)=0,IF(SUM($F549)=0,'[2]Exp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1">IF(D549="","",D546*D549)</f>
        <v/>
      </c>
      <c r="E550" s="1383">
        <f t="shared" si="51"/>
        <v>1824</v>
      </c>
      <c r="F550" s="1383">
        <f t="shared" si="51"/>
        <v>1480</v>
      </c>
      <c r="G550" s="1084"/>
      <c r="H550" s="1383">
        <f>IF(H$46=0,"",IF($D549="",H546*H549,H546*$D549))</f>
        <v>342.53026385784347</v>
      </c>
      <c r="I550" s="1383">
        <f t="shared" ref="I550:K550" si="52">IF(I$46=0,"",IF($D549="",I546*I549,I546*$D549))</f>
        <v>440.39605353151296</v>
      </c>
      <c r="J550" s="1383">
        <f t="shared" si="52"/>
        <v>342.53026385784347</v>
      </c>
      <c r="K550" s="1383">
        <f t="shared" si="52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63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3">IF(SUM(D552)=0,"",D552*D553/D$46/365/$P$1)</f>
        <v>8.8202615193026142E-3</v>
      </c>
      <c r="E554" s="1382">
        <f t="shared" si="53"/>
        <v>7.4298754669987538E-3</v>
      </c>
      <c r="F554" s="1382">
        <f t="shared" si="53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2.3294279928963196E-3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-6.490833526406295E-3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IF(SUM($D555)=0,IF(SUM($C555)=0,IF(SUM($E555)=0,IF(SUM($F555)=0,'[2]Exp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4">IF(D555="","",D552*D555)</f>
        <v>696</v>
      </c>
      <c r="E556" s="1383">
        <f t="shared" si="54"/>
        <v>456</v>
      </c>
      <c r="F556" s="1383">
        <f t="shared" si="54"/>
        <v>456</v>
      </c>
      <c r="G556" s="1084"/>
      <c r="H556" s="1383">
        <f>IF(H$46=0,"",IF($D555="",H552*H555,H552*$D555))</f>
        <v>142.96594464857128</v>
      </c>
      <c r="I556" s="1383">
        <f t="shared" ref="I556:K556" si="55">IF(I$46=0,"",IF($D555="",I552*I555,I552*$D555))</f>
        <v>183.81335740530596</v>
      </c>
      <c r="J556" s="1383">
        <f t="shared" si="55"/>
        <v>142.96594464857128</v>
      </c>
      <c r="K556" s="1383">
        <f t="shared" si="55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63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6">IF(SUM(D558)=0,"",D558*D559/D$46/365/$P$1)</f>
        <v>8.6899128268991277E-4</v>
      </c>
      <c r="E560" s="1382">
        <f t="shared" si="56"/>
        <v>1.1172745063156022E-3</v>
      </c>
      <c r="F560" s="1382">
        <f t="shared" si="56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1.1905204609130788E-3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3.2152917822316602E-4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IF(SUM($D561)=0,IF(SUM($C561)=0,IF(SUM($E561)=0,IF(SUM($F561)=0,'[2]Exp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7">IF(D561="","",D558*D561)</f>
        <v>210</v>
      </c>
      <c r="E562" s="1383">
        <f t="shared" si="57"/>
        <v>240</v>
      </c>
      <c r="F562" s="1383">
        <f t="shared" si="57"/>
        <v>720</v>
      </c>
      <c r="G562" s="1084"/>
      <c r="H562" s="1383">
        <f>IF(H$46=0,"",IF($D561="",H558*H561,H558*$D561))</f>
        <v>223.76711844629273</v>
      </c>
      <c r="I562" s="1383">
        <f t="shared" ref="I562:K562" si="58">IF(I$46=0,"",IF($D561="",I558*I561,I558*$D561))</f>
        <v>287.70058085951922</v>
      </c>
      <c r="J562" s="1383">
        <f t="shared" si="58"/>
        <v>223.76711844629273</v>
      </c>
      <c r="K562" s="1383">
        <f t="shared" si="58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63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59">IF(SUM(D564)=0,"",D564*D565/D$46/365/$P$1)</f>
        <v>3.545484433374844E-3</v>
      </c>
      <c r="E566" s="1382">
        <f t="shared" si="59"/>
        <v>2.7708407756626935E-3</v>
      </c>
      <c r="F566" s="1382">
        <f t="shared" si="59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-1.002328802815314E-3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IF(SUM($D567)=0,IF(SUM($C567)=0,IF(SUM($E567)=0,IF(SUM($F567)=0,'[2]Exp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0">IF(D567="","",D564*D567)</f>
        <v>306</v>
      </c>
      <c r="E568" s="1383">
        <f t="shared" si="60"/>
        <v>186</v>
      </c>
      <c r="F568" s="1383">
        <f t="shared" si="60"/>
        <v>528</v>
      </c>
      <c r="G568" s="1084"/>
      <c r="H568" s="1383">
        <f>IF(H$46=0,"",IF($D567="",H564*H567,H564*$D567))</f>
        <v>170.71603371757811</v>
      </c>
      <c r="I568" s="1383">
        <f t="shared" ref="I568:K568" si="61">IF(I$46=0,"",IF($D567="",I564*I567,I564*$D567))</f>
        <v>219.49204335117184</v>
      </c>
      <c r="J568" s="1383">
        <f t="shared" si="61"/>
        <v>170.71603371757811</v>
      </c>
      <c r="K568" s="1383">
        <f t="shared" si="61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63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2">IF(SUM(D570)=0,"",D570*D571/D$46/365/$P$1)</f>
        <v/>
      </c>
      <c r="E572" s="1382">
        <f t="shared" si="62"/>
        <v>8.4242497776196405E-3</v>
      </c>
      <c r="F572" s="1382">
        <f t="shared" si="62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6.4452444981512973E-3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6.4452444981512973E-3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IF(SUM($D573)=0,IF(SUM($C573)=0,IF(SUM($E573)=0,IF(SUM($F573)=0,'[2]Exp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3">IF(D573="","",D570*D573)</f>
        <v/>
      </c>
      <c r="E574" s="1383">
        <f t="shared" si="63"/>
        <v>273</v>
      </c>
      <c r="F574" s="1383">
        <f t="shared" si="63"/>
        <v>477</v>
      </c>
      <c r="G574" s="1084"/>
      <c r="H574" s="1383">
        <f>IF(H$46=0,"",IF($D573="",H570*H573,H570*$D573))</f>
        <v>208.86747122216542</v>
      </c>
      <c r="I574" s="1383">
        <f t="shared" ref="I574:K574" si="64">IF(I$46=0,"",IF($D573="",I570*I573,I570*$D573))</f>
        <v>268.54389157135557</v>
      </c>
      <c r="J574" s="1383">
        <f t="shared" si="64"/>
        <v>208.86747122216542</v>
      </c>
      <c r="K574" s="1383">
        <f t="shared" si="64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7.4742179899703673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2.3317932752179324E-4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1.509653797130786E-3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IF(SUM($D579)=0,IF(SUM($C579)=0,IF(SUM($E579)=0,IF(SUM($F579)=0,'[2]Exp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5">IF(I$46=0,"",I575*I576*I579)</f>
        <v>366.23668150854797</v>
      </c>
      <c r="J580" s="1383">
        <f t="shared" ref="J580" si="66">IF(J$46=0,"",J575*J576*J579)</f>
        <v>284.85075228442616</v>
      </c>
      <c r="K580" s="1383">
        <f t="shared" ref="K580" si="67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IF(SUM($D585)=0,IF(SUM($C585)=0,IF(SUM($E585)=0,IF(SUM($F585)=0,'[2]Exp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68">IF(I$46=0,"",I581*I582*I585)</f>
        <v>2729.8835591221446</v>
      </c>
      <c r="J586" s="1383">
        <f t="shared" ref="J586" si="69">IF(J$46=0,"",J581*J582*J585)</f>
        <v>2123.2427682061125</v>
      </c>
      <c r="K586" s="1383">
        <f t="shared" ref="K586" si="70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5.7735780821917817E-3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-3.9266595262854934E-3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IF(SUM($D591)=0,IF(SUM($C591)=0,IF(SUM($E591)=0,IF(SUM($F591)=0,'[2]Exp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1">IF(I$46=0,"",I587*I588*I591)</f>
        <v>49.903074076380094</v>
      </c>
      <c r="J592" s="1383">
        <f t="shared" ref="J592" si="72">IF(J$46=0,"",J587*J588*J591)</f>
        <v>38.813502059406744</v>
      </c>
      <c r="K592" s="1383">
        <f t="shared" ref="K592" si="73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62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IF(SUM($D604)=0,IF(SUM($C604)=0,IF(SUM($E604)=0,IF(SUM($F604)=0,'[2]Exp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4">IF(I$46=0,"",IF($D604="",I601*I604,I601*$D604))</f>
        <v>250.53788434532191</v>
      </c>
      <c r="J605" s="1383">
        <f t="shared" si="74"/>
        <v>194.86279893525037</v>
      </c>
      <c r="K605" s="1383">
        <f t="shared" si="74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62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IF(SUM($D610)=0,IF(SUM($C610)=0,IF(SUM($E610)=0,IF(SUM($F610)=0,'[2]Exp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5">IF(I$46=0,"",IF($D610="",I607*I610,I607*$D610))</f>
        <v>290.29122614183149</v>
      </c>
      <c r="J611" s="1383">
        <f t="shared" si="75"/>
        <v>225.78206477698006</v>
      </c>
      <c r="K611" s="1383">
        <f t="shared" si="75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62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IF(SUM($D616)=0,IF(SUM($C616)=0,IF(SUM($E616)=0,IF(SUM($F616)=0,'[2]Exp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6">IF(I$46=0,"",IF($D616="",I613*I616,I613*$D616))</f>
        <v>0</v>
      </c>
      <c r="J617" s="1127">
        <f t="shared" si="76"/>
        <v>0</v>
      </c>
      <c r="K617" s="1127">
        <f t="shared" si="76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62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IF(SUM($D622)=0,IF(SUM($C622)=0,IF(SUM($E622)=0,IF(SUM($F622)=0,'[2]Exp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7">IF(I$46=0,"",IF($D622="",I619*I622,I619*$D622))</f>
        <v>1494.6787175076952</v>
      </c>
      <c r="J623" s="1383">
        <f t="shared" si="77"/>
        <v>1162.5278913948739</v>
      </c>
      <c r="K623" s="1383">
        <f t="shared" si="77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62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62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6.0134196762141955E-2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-6.0134196762141955E-2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IF(SUM($D634)=0,IF(SUM($C634)=0,IF(SUM($E634)=0,IF(SUM($F634)=0,'[2]Exp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78">IF(I$46=0,"",IF($D634="",I631*I634,I631*$D634))</f>
        <v>0</v>
      </c>
      <c r="J635" s="1127">
        <f t="shared" si="78"/>
        <v>0</v>
      </c>
      <c r="K635" s="1127">
        <f t="shared" si="78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-4.4188206724782061E-2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79">IF(C646&gt;0,C646,"")</f>
        <v/>
      </c>
      <c r="I646" s="1180" t="str">
        <f t="shared" si="79"/>
        <v/>
      </c>
      <c r="J646" s="1180" t="str">
        <f t="shared" si="79"/>
        <v/>
      </c>
      <c r="K646" s="1180" t="str">
        <f t="shared" si="79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79"/>
        <v/>
      </c>
      <c r="I647" s="1180" t="str">
        <f t="shared" si="79"/>
        <v/>
      </c>
      <c r="J647" s="1180" t="str">
        <f t="shared" si="79"/>
        <v/>
      </c>
      <c r="K647" s="1180" t="str">
        <f t="shared" si="79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IF(C646="","",((C645*C646*C647*C648)*3630)/C$46/365/$P$1)</f>
        <v/>
      </c>
      <c r="D649" s="1131" t="str">
        <f>IF(D646="","",((D645*D646*D647*D648)*3630*4.1868)/D$46/365/$P$1)</f>
        <v/>
      </c>
      <c r="E649" s="1131" t="str">
        <f>IF(E646="","",((E645*E646*E647*E648)*3630)/E$46/365/$P$1)</f>
        <v/>
      </c>
      <c r="F649" s="1131" t="str">
        <f>IF(F646="","",((F645*F646*F647*F648)*3630)/F$46/365/$P$1)</f>
        <v/>
      </c>
      <c r="G649" s="1106"/>
      <c r="H649" s="1131" t="str">
        <f>IF(H646="","",((H645*H646*H647*C648)*3630)/H$46/365/$P$1)</f>
        <v/>
      </c>
      <c r="I649" s="1131" t="str">
        <f>IF(I646="","",((I645*I646*I647*D648)*3630)/I$46/365/$P$1)</f>
        <v/>
      </c>
      <c r="J649" s="1131" t="str">
        <f>IF(J646="","",((J645*J646*J647*E648)*3630)/J$46/365/$P$1)</f>
        <v/>
      </c>
      <c r="K649" s="1131" t="str">
        <f>IF(K646="","",((K645*K646*K647*F648)*3630)/K$46/365/$P$1)</f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0">IF(C652&gt;0,C652,"")</f>
        <v/>
      </c>
      <c r="I652" s="1180" t="str">
        <f t="shared" si="80"/>
        <v/>
      </c>
      <c r="J652" s="1180" t="str">
        <f t="shared" si="80"/>
        <v/>
      </c>
      <c r="K652" s="1180" t="str">
        <f t="shared" si="80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0"/>
        <v/>
      </c>
      <c r="I653" s="1180" t="str">
        <f t="shared" si="80"/>
        <v/>
      </c>
      <c r="J653" s="1180" t="str">
        <f t="shared" si="80"/>
        <v/>
      </c>
      <c r="K653" s="1180" t="str">
        <f t="shared" si="80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IF(C652="","",((C651*C652*C653*C654)*3630)/C$46/365/$P$1)</f>
        <v/>
      </c>
      <c r="D655" s="1131" t="str">
        <f>IF(D652="","",((D651*D652*D653*D654)*3630*4.1868)/D$46/365/$P$1)</f>
        <v/>
      </c>
      <c r="E655" s="1131" t="str">
        <f>IF(E652="","",((E651*E652*E653*E654)*3630)/E$46/365/$P$1)</f>
        <v/>
      </c>
      <c r="F655" s="1131" t="str">
        <f>IF(F652="","",((F651*F652*F653*F654)*3630)/F$46/365/$P$1)</f>
        <v/>
      </c>
      <c r="G655" s="1106"/>
      <c r="H655" s="1131" t="str">
        <f>IF(H652="","",((H651*H652*H653*C654)*3630)/H$46/365/$P$1)</f>
        <v/>
      </c>
      <c r="I655" s="1131" t="str">
        <f>IF(I652="","",((I651*I652*I653*D654)*3630)/I$46/365/$P$1)</f>
        <v/>
      </c>
      <c r="J655" s="1131" t="str">
        <f>IF(J652="","",((J651*J652*J653*E654)*3630)/J$46/365/$P$1)</f>
        <v/>
      </c>
      <c r="K655" s="1131" t="str">
        <f>IF(K652="","",((K651*K652*K653*F654)*3630)/K$46/365/$P$1)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1">IF(C658&gt;0,C658,"")</f>
        <v/>
      </c>
      <c r="I658" s="1180" t="str">
        <f t="shared" si="81"/>
        <v/>
      </c>
      <c r="J658" s="1180" t="str">
        <f t="shared" si="81"/>
        <v/>
      </c>
      <c r="K658" s="1180" t="str">
        <f t="shared" si="81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1"/>
        <v/>
      </c>
      <c r="I659" s="1180" t="str">
        <f t="shared" si="81"/>
        <v/>
      </c>
      <c r="J659" s="1180" t="str">
        <f t="shared" si="81"/>
        <v/>
      </c>
      <c r="K659" s="1180" t="str">
        <f t="shared" si="81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IF(C658="","",((C657*C658*C659*C660)*3630)/C$46/365/$P$1)</f>
        <v/>
      </c>
      <c r="D661" s="1131" t="str">
        <f>IF(D658="","",((D657*D658*D659*D660)*3630*4.1868)/D$46/365/$P$1)</f>
        <v/>
      </c>
      <c r="E661" s="1131" t="str">
        <f>IF(E658="","",((E657*E658*E659*E660)*3630)/E$46/365/$P$1)</f>
        <v/>
      </c>
      <c r="F661" s="1131" t="str">
        <f>IF(F658="","",((F657*F658*F659*F660)*3630)/F$46/365/$P$1)</f>
        <v/>
      </c>
      <c r="G661" s="1106"/>
      <c r="H661" s="1131" t="str">
        <f>IF(H658="","",((H657*H658*H659*C660)*3630)/H$46/365/$P$1)</f>
        <v/>
      </c>
      <c r="I661" s="1131" t="str">
        <f>IF(I658="","",((I657*I658*I659*D660)*3630)/I$46/365/$P$1)</f>
        <v/>
      </c>
      <c r="J661" s="1131" t="str">
        <f>IF(J658="","",((J657*J658*J659*E660)*3630)/J$46/365/$P$1)</f>
        <v/>
      </c>
      <c r="K661" s="1131" t="str">
        <f>IF(K658="","",((K657*K658*K659*F660)*3630)/K$46/365/$P$1)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0.1322751322751323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82">IF(C705&gt;0,C705,"")</f>
        <v/>
      </c>
      <c r="I705" s="1180" t="str">
        <f t="shared" si="82"/>
        <v/>
      </c>
      <c r="J705" s="1180" t="str">
        <f t="shared" si="82"/>
        <v/>
      </c>
      <c r="K705" s="1180" t="str">
        <f t="shared" si="82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82"/>
        <v/>
      </c>
      <c r="I706" s="1180" t="str">
        <f t="shared" si="82"/>
        <v/>
      </c>
      <c r="J706" s="1180" t="str">
        <f t="shared" si="82"/>
        <v/>
      </c>
      <c r="K706" s="1180" t="str">
        <f t="shared" si="82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1260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1260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83">IF(C711&gt;0,C711,"")</f>
        <v/>
      </c>
      <c r="I711" s="1180" t="str">
        <f t="shared" si="83"/>
        <v/>
      </c>
      <c r="J711" s="1180" t="str">
        <f t="shared" si="83"/>
        <v/>
      </c>
      <c r="K711" s="1180" t="str">
        <f t="shared" si="83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83"/>
        <v/>
      </c>
      <c r="I712" s="1180" t="str">
        <f t="shared" si="83"/>
        <v/>
      </c>
      <c r="J712" s="1180" t="str">
        <f t="shared" si="83"/>
        <v/>
      </c>
      <c r="K712" s="1180" t="str">
        <f t="shared" si="83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84">IF(C717&gt;0,C717,"")</f>
        <v/>
      </c>
      <c r="I717" s="1180" t="str">
        <f t="shared" si="84"/>
        <v/>
      </c>
      <c r="J717" s="1180" t="str">
        <f t="shared" si="84"/>
        <v/>
      </c>
      <c r="K717" s="1180" t="str">
        <f t="shared" si="84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84"/>
        <v/>
      </c>
      <c r="I718" s="1180" t="str">
        <f t="shared" si="84"/>
        <v/>
      </c>
      <c r="J718" s="1180" t="str">
        <f t="shared" si="84"/>
        <v/>
      </c>
      <c r="K718" s="1180" t="str">
        <f t="shared" si="84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85">IF(C722&gt;0,C722,"")</f>
        <v/>
      </c>
      <c r="I722" s="1180" t="str">
        <f t="shared" si="85"/>
        <v/>
      </c>
      <c r="J722" s="1180" t="str">
        <f t="shared" si="85"/>
        <v/>
      </c>
      <c r="K722" s="1180" t="str">
        <f t="shared" si="85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85"/>
        <v/>
      </c>
      <c r="I723" s="1180" t="str">
        <f t="shared" si="85"/>
        <v/>
      </c>
      <c r="J723" s="1180" t="str">
        <f t="shared" si="85"/>
        <v/>
      </c>
      <c r="K723" s="1180" t="str">
        <f t="shared" si="85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86">IF(C729&gt;0,C729,"")</f>
        <v/>
      </c>
      <c r="I729" s="1180" t="str">
        <f t="shared" si="86"/>
        <v/>
      </c>
      <c r="J729" s="1180" t="str">
        <f t="shared" si="86"/>
        <v/>
      </c>
      <c r="K729" s="1180" t="str">
        <f t="shared" si="86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86"/>
        <v/>
      </c>
      <c r="I730" s="1180" t="str">
        <f t="shared" si="86"/>
        <v/>
      </c>
      <c r="J730" s="1180" t="str">
        <f t="shared" si="86"/>
        <v/>
      </c>
      <c r="K730" s="1180" t="str">
        <f t="shared" si="86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87">IF(C734&gt;0,C734,"")</f>
        <v/>
      </c>
      <c r="I734" s="1180" t="str">
        <f t="shared" si="87"/>
        <v/>
      </c>
      <c r="J734" s="1180">
        <f t="shared" si="87"/>
        <v>1</v>
      </c>
      <c r="K734" s="1180">
        <f t="shared" si="87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87"/>
        <v/>
      </c>
      <c r="I735" s="1180" t="str">
        <f t="shared" si="87"/>
        <v/>
      </c>
      <c r="J735" s="1180">
        <f t="shared" si="87"/>
        <v>12</v>
      </c>
      <c r="K735" s="1180">
        <f t="shared" si="87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88">IF(C740&gt;0,C740,"")</f>
        <v/>
      </c>
      <c r="I740" s="1180" t="str">
        <f t="shared" si="88"/>
        <v/>
      </c>
      <c r="J740" s="1180" t="str">
        <f t="shared" si="88"/>
        <v/>
      </c>
      <c r="K740" s="1180" t="str">
        <f t="shared" si="88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88"/>
        <v/>
      </c>
      <c r="I741" s="1180" t="str">
        <f t="shared" si="88"/>
        <v/>
      </c>
      <c r="J741" s="1180" t="str">
        <f t="shared" si="88"/>
        <v/>
      </c>
      <c r="K741" s="1180" t="str">
        <f t="shared" si="88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89">IF(C746&gt;0,C746,"")</f>
        <v/>
      </c>
      <c r="I746" s="1180" t="str">
        <f t="shared" si="89"/>
        <v/>
      </c>
      <c r="J746" s="1180" t="str">
        <f t="shared" si="89"/>
        <v/>
      </c>
      <c r="K746" s="1180" t="str">
        <f t="shared" si="89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89"/>
        <v/>
      </c>
      <c r="I747" s="1180" t="str">
        <f t="shared" si="89"/>
        <v/>
      </c>
      <c r="J747" s="1180" t="str">
        <f t="shared" si="89"/>
        <v/>
      </c>
      <c r="K747" s="1180" t="str">
        <f t="shared" si="89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90">IF(C752&gt;0,C752,"")</f>
        <v/>
      </c>
      <c r="I752" s="1180" t="str">
        <f t="shared" si="90"/>
        <v/>
      </c>
      <c r="J752" s="1180" t="str">
        <f t="shared" si="90"/>
        <v/>
      </c>
      <c r="K752" s="1180" t="str">
        <f t="shared" si="90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90"/>
        <v/>
      </c>
      <c r="I753" s="1180" t="str">
        <f t="shared" si="90"/>
        <v/>
      </c>
      <c r="J753" s="1180" t="str">
        <f t="shared" si="90"/>
        <v/>
      </c>
      <c r="K753" s="1180" t="str">
        <f t="shared" si="90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2832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3398.4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566.40000000000009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91">IF(C757&gt;0,C757,"")</f>
        <v/>
      </c>
      <c r="I757" s="1180" t="str">
        <f t="shared" si="91"/>
        <v/>
      </c>
      <c r="J757" s="1180" t="str">
        <f t="shared" si="91"/>
        <v/>
      </c>
      <c r="K757" s="1180" t="str">
        <f t="shared" si="91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91"/>
        <v/>
      </c>
      <c r="I758" s="1180" t="str">
        <f t="shared" si="91"/>
        <v/>
      </c>
      <c r="J758" s="1180" t="str">
        <f t="shared" si="91"/>
        <v/>
      </c>
      <c r="K758" s="1180" t="str">
        <f t="shared" si="91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91"/>
        <v/>
      </c>
      <c r="I759" s="1180" t="str">
        <f t="shared" si="91"/>
        <v/>
      </c>
      <c r="J759" s="1180" t="str">
        <f t="shared" si="91"/>
        <v/>
      </c>
      <c r="K759" s="1180" t="str">
        <f t="shared" si="91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92">IF(C763&gt;0,C763,"")</f>
        <v/>
      </c>
      <c r="I763" s="1180" t="str">
        <f t="shared" si="92"/>
        <v/>
      </c>
      <c r="J763" s="1180" t="str">
        <f t="shared" si="92"/>
        <v/>
      </c>
      <c r="K763" s="1180" t="str">
        <f t="shared" si="92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92"/>
        <v/>
      </c>
      <c r="I764" s="1180" t="str">
        <f t="shared" si="92"/>
        <v/>
      </c>
      <c r="J764" s="1180" t="str">
        <f t="shared" si="92"/>
        <v/>
      </c>
      <c r="K764" s="1180" t="str">
        <f t="shared" si="92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93">IF(H772="","",SUM(H772)-SUM(C772))</f>
        <v>100</v>
      </c>
      <c r="N772" s="1388">
        <f t="shared" si="93"/>
        <v>160</v>
      </c>
      <c r="O772" s="1388">
        <f t="shared" si="93"/>
        <v>40</v>
      </c>
      <c r="P772" s="1388">
        <f t="shared" si="93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93"/>
        <v>45</v>
      </c>
      <c r="N773" s="1388">
        <f t="shared" si="93"/>
        <v>75</v>
      </c>
      <c r="O773" s="1388">
        <f t="shared" si="93"/>
        <v>33</v>
      </c>
      <c r="P773" s="1388">
        <f t="shared" si="93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93"/>
        <v>340</v>
      </c>
      <c r="N774" s="1388">
        <f t="shared" si="93"/>
        <v>540</v>
      </c>
      <c r="O774" s="1388">
        <f t="shared" si="93"/>
        <v>220</v>
      </c>
      <c r="P774" s="1388">
        <f t="shared" si="93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93"/>
        <v>-500</v>
      </c>
      <c r="N775" s="1388">
        <f t="shared" si="93"/>
        <v>-1500</v>
      </c>
      <c r="O775" s="1388">
        <f t="shared" si="93"/>
        <v>-1700</v>
      </c>
      <c r="P775" s="1388">
        <f t="shared" si="93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93"/>
        <v>0</v>
      </c>
      <c r="N776" s="1388">
        <f t="shared" si="93"/>
        <v>0</v>
      </c>
      <c r="O776" s="1388">
        <f t="shared" si="93"/>
        <v>0</v>
      </c>
      <c r="P776" s="1388">
        <f t="shared" si="93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94">IF(PRODUCT(SUM($C780),SUM($D780),SUM($E780),SUM($F780))=0,"",I778*I779*D780)</f>
        <v/>
      </c>
      <c r="J781" s="1104" t="str">
        <f t="shared" si="94"/>
        <v/>
      </c>
      <c r="K781" s="1104" t="str">
        <f t="shared" si="94"/>
        <v/>
      </c>
      <c r="L781" s="1390"/>
      <c r="M781" s="1388" t="str">
        <f t="shared" ref="M781:P785" si="95">IF(H781="","",SUM(H781)-SUM(C781))</f>
        <v/>
      </c>
      <c r="N781" s="1388" t="str">
        <f t="shared" si="95"/>
        <v/>
      </c>
      <c r="O781" s="1388" t="str">
        <f t="shared" si="95"/>
        <v/>
      </c>
      <c r="P781" s="1388" t="str">
        <f t="shared" si="95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95"/>
        <v>1400</v>
      </c>
      <c r="N782" s="1388">
        <f t="shared" si="95"/>
        <v>1800</v>
      </c>
      <c r="O782" s="1388">
        <f t="shared" si="95"/>
        <v>1400</v>
      </c>
      <c r="P782" s="1388">
        <f t="shared" si="95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95"/>
        <v>0</v>
      </c>
      <c r="N783" s="1388">
        <f t="shared" si="95"/>
        <v>0</v>
      </c>
      <c r="O783" s="1388">
        <f t="shared" si="95"/>
        <v>0</v>
      </c>
      <c r="P783" s="1388">
        <f t="shared" si="95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95"/>
        <v>0</v>
      </c>
      <c r="N784" s="1388">
        <f t="shared" si="95"/>
        <v>0</v>
      </c>
      <c r="O784" s="1388">
        <f t="shared" si="95"/>
        <v>0</v>
      </c>
      <c r="P784" s="1388">
        <f t="shared" si="95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95"/>
        <v>0</v>
      </c>
      <c r="N785" s="1388">
        <f t="shared" si="95"/>
        <v>0</v>
      </c>
      <c r="O785" s="1388">
        <f t="shared" si="95"/>
        <v>0</v>
      </c>
      <c r="P785" s="1388">
        <f t="shared" si="95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96">IF(H790="","",SUM(H790)-SUM(C790))</f>
        <v/>
      </c>
      <c r="N790" s="1388" t="str">
        <f t="shared" ref="N790:P810" si="97">IF(I790="","",SUM(I790)-SUM(D790))</f>
        <v/>
      </c>
      <c r="O790" s="1388" t="str">
        <f t="shared" si="97"/>
        <v/>
      </c>
      <c r="P790" s="1388" t="str">
        <f t="shared" si="97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96"/>
        <v>0</v>
      </c>
      <c r="N791" s="1388">
        <f t="shared" si="97"/>
        <v>0</v>
      </c>
      <c r="O791" s="1388">
        <f t="shared" si="97"/>
        <v>0</v>
      </c>
      <c r="P791" s="1388">
        <f t="shared" si="97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96"/>
        <v>0</v>
      </c>
      <c r="N792" s="1388">
        <f t="shared" si="97"/>
        <v>0</v>
      </c>
      <c r="O792" s="1388">
        <f t="shared" si="97"/>
        <v>0</v>
      </c>
      <c r="P792" s="1388">
        <f t="shared" si="97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96"/>
        <v>0</v>
      </c>
      <c r="N793" s="1388">
        <f t="shared" si="97"/>
        <v>0</v>
      </c>
      <c r="O793" s="1388">
        <f t="shared" si="97"/>
        <v>0</v>
      </c>
      <c r="P793" s="1388">
        <f t="shared" si="97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96"/>
        <v>0</v>
      </c>
      <c r="N794" s="1388">
        <f t="shared" si="97"/>
        <v>0</v>
      </c>
      <c r="O794" s="1388">
        <f t="shared" si="97"/>
        <v>0</v>
      </c>
      <c r="P794" s="1388">
        <f t="shared" si="97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96"/>
        <v>0</v>
      </c>
      <c r="N795" s="1388">
        <f t="shared" si="97"/>
        <v>0</v>
      </c>
      <c r="O795" s="1388">
        <f t="shared" si="97"/>
        <v>0</v>
      </c>
      <c r="P795" s="1388">
        <f t="shared" si="97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96"/>
        <v>0</v>
      </c>
      <c r="N796" s="1388">
        <f t="shared" si="97"/>
        <v>0</v>
      </c>
      <c r="O796" s="1388">
        <f t="shared" si="97"/>
        <v>0</v>
      </c>
      <c r="P796" s="1388">
        <f t="shared" si="97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96"/>
        <v>0</v>
      </c>
      <c r="N797" s="1388">
        <f t="shared" si="97"/>
        <v>0</v>
      </c>
      <c r="O797" s="1388">
        <f t="shared" si="97"/>
        <v>0</v>
      </c>
      <c r="P797" s="1388">
        <f t="shared" si="97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96"/>
        <v>0</v>
      </c>
      <c r="N798" s="1388">
        <f t="shared" si="97"/>
        <v>0</v>
      </c>
      <c r="O798" s="1388">
        <f t="shared" si="97"/>
        <v>0</v>
      </c>
      <c r="P798" s="1388">
        <f t="shared" si="97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96"/>
        <v>150</v>
      </c>
      <c r="N799" s="1388">
        <f t="shared" si="97"/>
        <v>350</v>
      </c>
      <c r="O799" s="1388">
        <f t="shared" si="97"/>
        <v>-1200</v>
      </c>
      <c r="P799" s="1388">
        <f t="shared" si="97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96"/>
        <v>490</v>
      </c>
      <c r="N800" s="1388">
        <f t="shared" si="97"/>
        <v>630</v>
      </c>
      <c r="O800" s="1388">
        <f t="shared" si="97"/>
        <v>-310</v>
      </c>
      <c r="P800" s="1388">
        <f t="shared" si="97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96"/>
        <v>100</v>
      </c>
      <c r="N801" s="1388">
        <f t="shared" si="97"/>
        <v>-300</v>
      </c>
      <c r="O801" s="1388">
        <f t="shared" si="97"/>
        <v>-3900</v>
      </c>
      <c r="P801" s="1388">
        <f t="shared" si="97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96"/>
        <v>210</v>
      </c>
      <c r="N802" s="1388">
        <f t="shared" si="97"/>
        <v>250</v>
      </c>
      <c r="O802" s="1388">
        <f t="shared" si="97"/>
        <v>-1980</v>
      </c>
      <c r="P802" s="1388">
        <f t="shared" si="97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96"/>
        <v>376</v>
      </c>
      <c r="N803" s="1388">
        <f t="shared" si="97"/>
        <v>312</v>
      </c>
      <c r="O803" s="1388">
        <f t="shared" si="97"/>
        <v>-1884</v>
      </c>
      <c r="P803" s="1388">
        <f t="shared" si="97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96"/>
        <v>0</v>
      </c>
      <c r="N804" s="1388">
        <f t="shared" si="97"/>
        <v>0</v>
      </c>
      <c r="O804" s="1388">
        <f t="shared" si="97"/>
        <v>0</v>
      </c>
      <c r="P804" s="1388">
        <f t="shared" si="97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96"/>
        <v>-180</v>
      </c>
      <c r="N805" s="1388">
        <f t="shared" si="97"/>
        <v>-120</v>
      </c>
      <c r="O805" s="1388">
        <f t="shared" si="97"/>
        <v>-2160</v>
      </c>
      <c r="P805" s="1388">
        <f t="shared" si="97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96"/>
        <v>2.5</v>
      </c>
      <c r="N806" s="1388">
        <f t="shared" si="97"/>
        <v>7.5</v>
      </c>
      <c r="O806" s="1388">
        <f t="shared" si="97"/>
        <v>-7.5</v>
      </c>
      <c r="P806" s="1388">
        <f t="shared" si="97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96"/>
        <v>4317.8333333333339</v>
      </c>
      <c r="N807" s="1388">
        <f t="shared" si="97"/>
        <v>5551.5000000000018</v>
      </c>
      <c r="O807" s="1388">
        <f t="shared" si="97"/>
        <v>4317.8333333333339</v>
      </c>
      <c r="P807" s="1388">
        <f t="shared" si="97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96"/>
        <v>24276</v>
      </c>
      <c r="N808" s="1388">
        <f t="shared" si="97"/>
        <v>31212</v>
      </c>
      <c r="O808" s="1388">
        <f t="shared" si="97"/>
        <v>24276</v>
      </c>
      <c r="P808" s="1388">
        <f t="shared" si="97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96"/>
        <v>0</v>
      </c>
      <c r="N809" s="1388">
        <f t="shared" si="97"/>
        <v>0</v>
      </c>
      <c r="O809" s="1388">
        <f t="shared" si="97"/>
        <v>0</v>
      </c>
      <c r="P809" s="1388">
        <f t="shared" si="97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96"/>
        <v>-9000</v>
      </c>
      <c r="N810" s="1388">
        <f t="shared" si="97"/>
        <v>-13000</v>
      </c>
      <c r="O810" s="1388">
        <f t="shared" si="97"/>
        <v>-13000</v>
      </c>
      <c r="P810" s="1388">
        <f t="shared" si="97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4358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4358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98">IF(H811="","",SUM(H811)-SUM(C811))</f>
        <v>0</v>
      </c>
      <c r="N811" s="1190">
        <f t="shared" ref="N811" si="99">IF(I811="","",SUM(I811)-SUM(D811))</f>
        <v>0</v>
      </c>
      <c r="O811" s="1190">
        <f t="shared" ref="O811" si="100">IF(J811="","",SUM(J811)-SUM(E811))</f>
        <v>0</v>
      </c>
      <c r="P811" s="1190">
        <f t="shared" ref="P811" si="101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48358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25968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2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03">IF(MAX(C821:F821,H821:K821)&gt;0,S820+1,S820)</f>
        <v>0</v>
      </c>
      <c r="T821" s="46" t="str">
        <f t="shared" si="102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2.5031133250311335E-2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03"/>
        <v>1</v>
      </c>
      <c r="T822" s="46">
        <f t="shared" si="102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03"/>
        <v>1</v>
      </c>
      <c r="T823" s="46" t="str">
        <f t="shared" si="102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03"/>
        <v>1</v>
      </c>
      <c r="T824" s="46" t="str">
        <f t="shared" si="102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03"/>
        <v>1</v>
      </c>
      <c r="T825" s="46" t="str">
        <f t="shared" si="102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03"/>
        <v>1</v>
      </c>
      <c r="T826" s="46" t="str">
        <f t="shared" si="102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03"/>
        <v>1</v>
      </c>
      <c r="T827" s="46" t="str">
        <f t="shared" si="102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2.3263646741386469E-2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03"/>
        <v>2</v>
      </c>
      <c r="T828" s="46">
        <f t="shared" si="102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03"/>
        <v>2</v>
      </c>
      <c r="T829" s="46" t="str">
        <f t="shared" si="10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03"/>
        <v>3</v>
      </c>
      <c r="T830" s="46">
        <f t="shared" si="10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03"/>
        <v>3</v>
      </c>
      <c r="T831" s="46" t="str">
        <f t="shared" si="102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0.18138020547945205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03"/>
        <v>4</v>
      </c>
      <c r="T832" s="46">
        <f t="shared" si="102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03"/>
        <v>5</v>
      </c>
      <c r="T833" s="46">
        <f t="shared" si="102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03"/>
        <v>5</v>
      </c>
      <c r="T834" s="46" t="str">
        <f t="shared" si="10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03"/>
        <v>5</v>
      </c>
      <c r="T835" s="46" t="str">
        <f t="shared" si="10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03"/>
        <v>5</v>
      </c>
      <c r="T836" s="46" t="str">
        <f t="shared" si="10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3.6332525529265254E-2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03"/>
        <v>6</v>
      </c>
      <c r="T837" s="46">
        <f t="shared" si="10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03"/>
        <v>6</v>
      </c>
      <c r="T838" s="46" t="str">
        <f t="shared" si="102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03"/>
        <v>6</v>
      </c>
      <c r="T839" s="46" t="str">
        <f t="shared" si="102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03"/>
        <v>6</v>
      </c>
      <c r="T840" s="46" t="str">
        <f t="shared" si="102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03"/>
        <v>6</v>
      </c>
      <c r="T841" s="46" t="str">
        <f t="shared" si="10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6.6622665006226651E-4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03"/>
        <v>7</v>
      </c>
      <c r="T842" s="46">
        <f t="shared" si="102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1.2274501867995018E-2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03"/>
        <v>8</v>
      </c>
      <c r="T843" s="46">
        <f t="shared" si="102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1.3695516811955168E-2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03"/>
        <v>9</v>
      </c>
      <c r="T844" s="46">
        <f t="shared" si="102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4.19288293897883E-2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0.20964414694894148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0.1677153175591532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03"/>
        <v>10</v>
      </c>
      <c r="T845" s="46">
        <f t="shared" si="102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03"/>
        <v>10</v>
      </c>
      <c r="T846" s="46" t="str">
        <f t="shared" si="102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1.0118306351183063E-3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03"/>
        <v>11</v>
      </c>
      <c r="T847" s="46">
        <f t="shared" si="102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-2.4476587795765879E-3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03"/>
        <v>12</v>
      </c>
      <c r="T848" s="46">
        <f t="shared" si="102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1.3903860523038604E-3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03"/>
        <v>13</v>
      </c>
      <c r="T849" s="46">
        <f t="shared" si="102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03"/>
        <v>13</v>
      </c>
      <c r="T850" s="46" t="str">
        <f t="shared" si="102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03"/>
        <v>14</v>
      </c>
      <c r="T851" s="46">
        <f t="shared" si="102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03"/>
        <v>15</v>
      </c>
      <c r="T852" s="46">
        <f t="shared" si="102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03"/>
        <v>15</v>
      </c>
      <c r="T853" s="46" t="str">
        <f t="shared" si="102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03"/>
        <v>15</v>
      </c>
      <c r="T854" s="46" t="str">
        <f t="shared" si="102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03"/>
        <v>15</v>
      </c>
      <c r="T855" s="46" t="str">
        <f t="shared" si="102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03"/>
        <v>15</v>
      </c>
      <c r="T856" s="46" t="str">
        <f t="shared" si="102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03"/>
        <v>15</v>
      </c>
      <c r="T857" s="46" t="str">
        <f t="shared" si="102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04">SUM(D$455)</f>
        <v>0.37119831631382316</v>
      </c>
      <c r="E859" s="1115">
        <f t="shared" si="104"/>
        <v>0.23593113325031134</v>
      </c>
      <c r="F859" s="1115">
        <f t="shared" si="104"/>
        <v>0.31457484433374844</v>
      </c>
      <c r="G859" s="940"/>
      <c r="H859" s="1115">
        <f>SUM(H$455)</f>
        <v>0</v>
      </c>
      <c r="I859" s="1115">
        <f t="shared" ref="I859:K859" si="105">SUM(I$455)</f>
        <v>0</v>
      </c>
      <c r="J859" s="1115">
        <f t="shared" si="105"/>
        <v>0</v>
      </c>
      <c r="K859" s="1115">
        <f t="shared" si="105"/>
        <v>0</v>
      </c>
      <c r="L859" s="940"/>
      <c r="M859" s="1115">
        <f>SUM(M$455)</f>
        <v>0</v>
      </c>
      <c r="N859" s="1115">
        <f t="shared" ref="N859:P859" si="106">SUM(N$455)</f>
        <v>0</v>
      </c>
      <c r="O859" s="1115">
        <f t="shared" si="106"/>
        <v>0</v>
      </c>
      <c r="P859" s="1115">
        <f t="shared" si="106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07">SUM(D$464)</f>
        <v>8.8324273972602729E-2</v>
      </c>
      <c r="E860" s="1115">
        <f t="shared" si="107"/>
        <v>4.0557064579256355E-2</v>
      </c>
      <c r="F860" s="1115">
        <f t="shared" si="107"/>
        <v>6.3088767123287662E-2</v>
      </c>
      <c r="G860" s="940"/>
      <c r="H860" s="1115">
        <f>SUM(H$464)</f>
        <v>0</v>
      </c>
      <c r="I860" s="1115">
        <f t="shared" ref="I860:K860" si="108">SUM(I$464)</f>
        <v>0</v>
      </c>
      <c r="J860" s="1115">
        <f t="shared" si="108"/>
        <v>0</v>
      </c>
      <c r="K860" s="1115">
        <f t="shared" si="108"/>
        <v>0</v>
      </c>
      <c r="L860" s="940"/>
      <c r="M860" s="1115">
        <f>SUM(M$464)</f>
        <v>0</v>
      </c>
      <c r="N860" s="1115">
        <f t="shared" ref="N860:P860" si="109">SUM(N$464)</f>
        <v>0</v>
      </c>
      <c r="O860" s="1115">
        <f t="shared" si="109"/>
        <v>0</v>
      </c>
      <c r="P860" s="1115">
        <f t="shared" si="109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10">SUM(D$473)</f>
        <v>6.1524582814445818E-2</v>
      </c>
      <c r="E861" s="1115">
        <f t="shared" si="110"/>
        <v>7.9103035047144624E-2</v>
      </c>
      <c r="F861" s="1115">
        <f t="shared" si="110"/>
        <v>6.1524582814445818E-2</v>
      </c>
      <c r="G861" s="940"/>
      <c r="H861" s="1115">
        <f>SUM(H$473)</f>
        <v>4.1743776476445053E-2</v>
      </c>
      <c r="I861" s="1115">
        <f t="shared" ref="I861:K861" si="111">SUM(I$473)</f>
        <v>4.174377647644506E-2</v>
      </c>
      <c r="J861" s="1115">
        <f t="shared" si="111"/>
        <v>4.1743776476445053E-2</v>
      </c>
      <c r="K861" s="1115">
        <f t="shared" si="111"/>
        <v>4.174377647644506E-2</v>
      </c>
      <c r="L861" s="940"/>
      <c r="M861" s="1115">
        <f>SUM(M$473)</f>
        <v>-3.735925857069957E-2</v>
      </c>
      <c r="N861" s="1115">
        <f t="shared" ref="N861:P861" si="112">SUM(N$473)</f>
        <v>-1.9780806338000757E-2</v>
      </c>
      <c r="O861" s="1115">
        <f t="shared" si="112"/>
        <v>-3.735925857069957E-2</v>
      </c>
      <c r="P861" s="1115">
        <f t="shared" si="112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13">SUM(D$482)</f>
        <v>1.3034869240348693E-2</v>
      </c>
      <c r="E862" s="1115">
        <f t="shared" si="113"/>
        <v>1.5362524461839529E-2</v>
      </c>
      <c r="F862" s="1115">
        <f t="shared" si="113"/>
        <v>1.086239103362391E-2</v>
      </c>
      <c r="G862" s="940"/>
      <c r="H862" s="1115">
        <f>SUM(H$482)</f>
        <v>6.8499749728887158E-3</v>
      </c>
      <c r="I862" s="1115">
        <f t="shared" ref="I862:K862" si="114">SUM(I$482)</f>
        <v>6.8499749728887149E-3</v>
      </c>
      <c r="J862" s="1115">
        <f t="shared" si="114"/>
        <v>6.8499749728887158E-3</v>
      </c>
      <c r="K862" s="1115">
        <f t="shared" si="114"/>
        <v>6.8499749728887149E-3</v>
      </c>
      <c r="L862" s="940"/>
      <c r="M862" s="1115">
        <f>SUM(M$482)</f>
        <v>-8.5125494889508133E-3</v>
      </c>
      <c r="N862" s="1115">
        <f t="shared" ref="N862:P862" si="115">SUM(N$482)</f>
        <v>-6.1848942674599785E-3</v>
      </c>
      <c r="O862" s="1115">
        <f t="shared" si="115"/>
        <v>-8.5125494889508133E-3</v>
      </c>
      <c r="P862" s="1115">
        <f t="shared" si="115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16">SUM(D$491)</f>
        <v>1.7737850062266497E-2</v>
      </c>
      <c r="E863" s="1115">
        <f t="shared" si="116"/>
        <v>6.4616453798256535E-2</v>
      </c>
      <c r="F863" s="1115">
        <f t="shared" si="116"/>
        <v>7.0951400249065988E-2</v>
      </c>
      <c r="G863" s="940"/>
      <c r="H863" s="1115">
        <f>SUM(H$491)</f>
        <v>0.15239060633791646</v>
      </c>
      <c r="I863" s="1115">
        <f t="shared" ref="I863:K863" si="117">SUM(I$491)</f>
        <v>0.15239060633791646</v>
      </c>
      <c r="J863" s="1115">
        <f t="shared" si="117"/>
        <v>0.15239060633791646</v>
      </c>
      <c r="K863" s="1115">
        <f t="shared" si="117"/>
        <v>0.15239060633791646</v>
      </c>
      <c r="L863" s="940"/>
      <c r="M863" s="1115">
        <f>SUM(M$491)</f>
        <v>9.9177056151116966E-2</v>
      </c>
      <c r="N863" s="1115">
        <f t="shared" ref="N863:P863" si="118">SUM(N$491)</f>
        <v>0.13465275627564996</v>
      </c>
      <c r="O863" s="1115">
        <f t="shared" si="118"/>
        <v>8.7774152539659922E-2</v>
      </c>
      <c r="P863" s="1115">
        <f t="shared" si="118"/>
        <v>8.1439206088850469E-2</v>
      </c>
      <c r="Q863" s="1025" t="str">
        <f>$Q$493</f>
        <v>fpl</v>
      </c>
      <c r="R863" s="44" t="str">
        <f t="shared" ref="R863:R887" si="119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20">SUM(D$500)</f>
        <v>0</v>
      </c>
      <c r="E864" s="1115">
        <f t="shared" si="120"/>
        <v>5.0304167372353673E-2</v>
      </c>
      <c r="F864" s="1115">
        <f t="shared" si="120"/>
        <v>0</v>
      </c>
      <c r="G864" s="940"/>
      <c r="H864" s="1115">
        <f>SUM(H$500)</f>
        <v>4.0039884208984369E-2</v>
      </c>
      <c r="I864" s="1115">
        <f t="shared" ref="I864:K864" si="121">SUM(I$500)</f>
        <v>4.0039884208984376E-2</v>
      </c>
      <c r="J864" s="1115">
        <f t="shared" si="121"/>
        <v>4.0039884208984369E-2</v>
      </c>
      <c r="K864" s="1115">
        <f t="shared" si="121"/>
        <v>4.0039884208984376E-2</v>
      </c>
      <c r="L864" s="940"/>
      <c r="M864" s="1115">
        <f>SUM(M$500)</f>
        <v>4.0039884208984369E-2</v>
      </c>
      <c r="N864" s="1115">
        <f t="shared" ref="N864:P864" si="122">SUM(N$500)</f>
        <v>4.0039884208984376E-2</v>
      </c>
      <c r="O864" s="1115">
        <f t="shared" si="122"/>
        <v>-1.0264283163369303E-2</v>
      </c>
      <c r="P864" s="1115">
        <f t="shared" si="122"/>
        <v>4.0039884208984376E-2</v>
      </c>
      <c r="Q864" s="1025" t="str">
        <f>$Q$502</f>
        <v>fpl</v>
      </c>
      <c r="R864" s="44" t="str">
        <f t="shared" si="119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23">SUM(D$506)</f>
        <v>0</v>
      </c>
      <c r="E865" s="1115">
        <f t="shared" si="123"/>
        <v>0</v>
      </c>
      <c r="F865" s="1115">
        <f t="shared" si="123"/>
        <v>0</v>
      </c>
      <c r="G865" s="940"/>
      <c r="H865" s="1115">
        <f>SUM(H$506)</f>
        <v>2.0254077046125727E-2</v>
      </c>
      <c r="I865" s="1115">
        <f t="shared" ref="I865:K865" si="124">SUM(I$506)</f>
        <v>2.0254077046125731E-2</v>
      </c>
      <c r="J865" s="1115">
        <f t="shared" si="124"/>
        <v>2.0254077046125727E-2</v>
      </c>
      <c r="K865" s="1115">
        <f t="shared" si="124"/>
        <v>2.0254077046125731E-2</v>
      </c>
      <c r="L865" s="940"/>
      <c r="M865" s="1115">
        <f>SUM(M$506)</f>
        <v>2.0254077046125727E-2</v>
      </c>
      <c r="N865" s="1115">
        <f t="shared" ref="N865:P865" si="125">SUM(N$506)</f>
        <v>2.0254077046125731E-2</v>
      </c>
      <c r="O865" s="1115">
        <f t="shared" si="125"/>
        <v>2.0254077046125727E-2</v>
      </c>
      <c r="P865" s="1115">
        <f t="shared" si="125"/>
        <v>2.0254077046125731E-2</v>
      </c>
      <c r="Q865" s="1025" t="str">
        <f>$Q$508</f>
        <v>fpl</v>
      </c>
      <c r="R865" s="44" t="str">
        <f t="shared" si="119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26">SUM(D$512)</f>
        <v>7.0388293897882939E-2</v>
      </c>
      <c r="E866" s="1115">
        <f t="shared" si="126"/>
        <v>9.0499235011563775E-2</v>
      </c>
      <c r="F866" s="1115">
        <f t="shared" si="126"/>
        <v>7.0388293897882939E-2</v>
      </c>
      <c r="G866" s="940"/>
      <c r="H866" s="1115">
        <f>SUM(H$512)</f>
        <v>1.3335009323731963E-2</v>
      </c>
      <c r="I866" s="1115">
        <f t="shared" ref="I866:K866" si="127">SUM(I$512)</f>
        <v>1.3335009323731963E-2</v>
      </c>
      <c r="J866" s="1115">
        <f t="shared" si="127"/>
        <v>1.3335009323731963E-2</v>
      </c>
      <c r="K866" s="1115">
        <f t="shared" si="127"/>
        <v>1.3335009323731963E-2</v>
      </c>
      <c r="L866" s="940"/>
      <c r="M866" s="1115">
        <f>SUM(M$512)</f>
        <v>-5.9064378685519059E-2</v>
      </c>
      <c r="N866" s="1115">
        <f t="shared" ref="N866:P866" si="128">SUM(N$512)</f>
        <v>-5.7053284574150973E-2</v>
      </c>
      <c r="O866" s="1115">
        <f t="shared" si="128"/>
        <v>-7.7164225687831808E-2</v>
      </c>
      <c r="P866" s="1115">
        <f t="shared" si="128"/>
        <v>-5.7053284574150973E-2</v>
      </c>
      <c r="Q866" s="1199" t="str">
        <f>$Q$514</f>
        <v>fpl</v>
      </c>
      <c r="R866" s="44" t="str">
        <f t="shared" si="119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29">SUM(D$518)</f>
        <v>7.8209215442092153E-2</v>
      </c>
      <c r="E867" s="1115">
        <f t="shared" si="129"/>
        <v>0.10055470556840419</v>
      </c>
      <c r="F867" s="1115">
        <f t="shared" si="129"/>
        <v>7.8209215442092153E-2</v>
      </c>
      <c r="G867" s="940"/>
      <c r="H867" s="1115">
        <f>SUM(H$518)</f>
        <v>6.9223060183329299E-2</v>
      </c>
      <c r="I867" s="1115">
        <f t="shared" ref="I867:K867" si="130">SUM(I$518)</f>
        <v>6.9223060183329313E-2</v>
      </c>
      <c r="J867" s="1115">
        <f t="shared" si="130"/>
        <v>6.9223060183329299E-2</v>
      </c>
      <c r="K867" s="1115">
        <f t="shared" si="130"/>
        <v>6.9223060183329313E-2</v>
      </c>
      <c r="L867" s="940"/>
      <c r="M867" s="1115">
        <f>SUM(M$518)</f>
        <v>-1.1220704271394058E-2</v>
      </c>
      <c r="N867" s="1115">
        <f t="shared" ref="N867:P867" si="131">SUM(N$518)</f>
        <v>-8.9861552587628402E-3</v>
      </c>
      <c r="O867" s="1115">
        <f t="shared" si="131"/>
        <v>-3.1331645385074894E-2</v>
      </c>
      <c r="P867" s="1115">
        <f t="shared" si="131"/>
        <v>-8.9861552587628402E-3</v>
      </c>
      <c r="Q867" s="1025" t="str">
        <f>$Q$520</f>
        <v>fpl</v>
      </c>
      <c r="R867" s="44" t="str">
        <f t="shared" si="119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32">SUM(D$524)</f>
        <v>4.4492353673723532E-3</v>
      </c>
      <c r="E868" s="1115">
        <f t="shared" si="132"/>
        <v>5.9587973670165448E-3</v>
      </c>
      <c r="F868" s="1115">
        <f t="shared" si="132"/>
        <v>4.0784657534246567E-3</v>
      </c>
      <c r="G868" s="940"/>
      <c r="H868" s="1115">
        <f>SUM(H$524)</f>
        <v>4.1863769079100444E-3</v>
      </c>
      <c r="I868" s="1115">
        <f t="shared" ref="I868:K868" si="133">SUM(I$524)</f>
        <v>4.1863769079100461E-3</v>
      </c>
      <c r="J868" s="1115">
        <f t="shared" si="133"/>
        <v>4.1863769079100444E-3</v>
      </c>
      <c r="K868" s="1115">
        <f t="shared" si="133"/>
        <v>4.1863769079100461E-3</v>
      </c>
      <c r="L868" s="940"/>
      <c r="M868" s="1115">
        <f>SUM(M$524)</f>
        <v>-1.0573647750645142E-3</v>
      </c>
      <c r="N868" s="1115">
        <f t="shared" ref="N868:P868" si="134">SUM(N$524)</f>
        <v>-2.628584594623071E-4</v>
      </c>
      <c r="O868" s="1115">
        <f t="shared" si="134"/>
        <v>-1.7724204591065005E-3</v>
      </c>
      <c r="P868" s="1115">
        <f t="shared" si="134"/>
        <v>1.0791115448538936E-4</v>
      </c>
      <c r="Q868" s="1025" t="str">
        <f>$Q$526</f>
        <v>fpl</v>
      </c>
      <c r="R868" s="44" t="str">
        <f t="shared" si="119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35">SUM(D$530)</f>
        <v>7.3226998754669977E-3</v>
      </c>
      <c r="E869" s="1115">
        <f t="shared" si="135"/>
        <v>1.2651271659847002E-2</v>
      </c>
      <c r="F869" s="1115">
        <f t="shared" si="135"/>
        <v>9.839877957658779E-3</v>
      </c>
      <c r="G869" s="940"/>
      <c r="H869" s="1115">
        <f>SUM(H$530)</f>
        <v>6.6514941164040105E-3</v>
      </c>
      <c r="I869" s="1115">
        <f t="shared" ref="I869:K869" si="136">SUM(I$530)</f>
        <v>6.6514941164040114E-3</v>
      </c>
      <c r="J869" s="1115">
        <f t="shared" si="136"/>
        <v>6.6514941164040105E-3</v>
      </c>
      <c r="K869" s="1115">
        <f t="shared" si="136"/>
        <v>6.6514941164040114E-3</v>
      </c>
      <c r="L869" s="940"/>
      <c r="M869" s="1115">
        <f>SUM(M$530)</f>
        <v>-2.7634057234821284E-3</v>
      </c>
      <c r="N869" s="1115">
        <f t="shared" ref="N869:P869" si="137">SUM(N$530)</f>
        <v>-6.7120575906298632E-4</v>
      </c>
      <c r="O869" s="1115">
        <f t="shared" si="137"/>
        <v>-5.9997775434429915E-3</v>
      </c>
      <c r="P869" s="1115">
        <f t="shared" si="137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38">SUM(D$536)</f>
        <v>0</v>
      </c>
      <c r="E870" s="1115">
        <f t="shared" si="138"/>
        <v>0</v>
      </c>
      <c r="F870" s="1115">
        <f t="shared" si="138"/>
        <v>0</v>
      </c>
      <c r="G870" s="940"/>
      <c r="H870" s="1115">
        <f>SUM(H$536)</f>
        <v>6.5236465135985258E-2</v>
      </c>
      <c r="I870" s="1115">
        <f t="shared" ref="I870:K870" si="139">SUM(I$536)</f>
        <v>6.5236465135985258E-2</v>
      </c>
      <c r="J870" s="1115">
        <f t="shared" si="139"/>
        <v>6.5236465135985258E-2</v>
      </c>
      <c r="K870" s="1115">
        <f t="shared" si="139"/>
        <v>6.5236465135985258E-2</v>
      </c>
      <c r="L870" s="940"/>
      <c r="M870" s="1115">
        <f>SUM(M$536)</f>
        <v>4.3617203438778354E-2</v>
      </c>
      <c r="N870" s="1115">
        <f t="shared" ref="N870:P870" si="140">SUM(N$536)</f>
        <v>6.5236465135985258E-2</v>
      </c>
      <c r="O870" s="1115">
        <f t="shared" si="140"/>
        <v>6.5236465135985258E-2</v>
      </c>
      <c r="P870" s="1115">
        <f t="shared" si="140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41">SUM(D$542)</f>
        <v>4.0842590286425898E-3</v>
      </c>
      <c r="E871" s="1115">
        <f t="shared" si="141"/>
        <v>1.7503967265611098E-2</v>
      </c>
      <c r="F871" s="1115">
        <f t="shared" si="141"/>
        <v>1.3614196762141966E-2</v>
      </c>
      <c r="G871" s="940"/>
      <c r="H871" s="1115">
        <f>SUM(H$542)</f>
        <v>1.0484878246657239E-2</v>
      </c>
      <c r="I871" s="1115">
        <f t="shared" ref="I871:K871" si="142">SUM(I$542)</f>
        <v>1.0484878246657239E-2</v>
      </c>
      <c r="J871" s="1115">
        <f t="shared" si="142"/>
        <v>1.0484878246657239E-2</v>
      </c>
      <c r="K871" s="1115">
        <f t="shared" si="142"/>
        <v>1.0484878246657239E-2</v>
      </c>
      <c r="L871" s="940"/>
      <c r="M871" s="1115">
        <f>SUM(M$542)</f>
        <v>1.0484878246657239E-2</v>
      </c>
      <c r="N871" s="1115">
        <f t="shared" ref="N871:P871" si="143">SUM(N$542)</f>
        <v>6.4006192180146495E-3</v>
      </c>
      <c r="O871" s="1115">
        <f t="shared" si="143"/>
        <v>-7.0190890189538585E-3</v>
      </c>
      <c r="P871" s="1115">
        <f t="shared" si="143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44">SUM(D$548)</f>
        <v>0</v>
      </c>
      <c r="E872" s="1115">
        <f t="shared" si="144"/>
        <v>2.510585305105853E-2</v>
      </c>
      <c r="F872" s="1115">
        <f t="shared" si="144"/>
        <v>1.5051888750518888E-2</v>
      </c>
      <c r="G872" s="940"/>
      <c r="H872" s="1115">
        <f>SUM(H$548)</f>
        <v>4.7146460909842777E-3</v>
      </c>
      <c r="I872" s="1115">
        <f t="shared" ref="I872:K872" si="145">SUM(I$548)</f>
        <v>4.7146460909842768E-3</v>
      </c>
      <c r="J872" s="1115">
        <f t="shared" si="145"/>
        <v>4.7146460909842777E-3</v>
      </c>
      <c r="K872" s="1115">
        <f t="shared" si="145"/>
        <v>4.7146460909842768E-3</v>
      </c>
      <c r="L872" s="940"/>
      <c r="M872" s="1115">
        <f>SUM(M$548)</f>
        <v>4.7146460909842777E-3</v>
      </c>
      <c r="N872" s="1115">
        <f t="shared" ref="N872:P872" si="146">SUM(N$548)</f>
        <v>4.7146460909842768E-3</v>
      </c>
      <c r="O872" s="1115">
        <f t="shared" si="146"/>
        <v>-2.0391206960074251E-2</v>
      </c>
      <c r="P872" s="1115">
        <f t="shared" si="146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47">SUM(D$554)</f>
        <v>8.8202615193026142E-3</v>
      </c>
      <c r="E873" s="1115">
        <f t="shared" si="147"/>
        <v>7.4298754669987538E-3</v>
      </c>
      <c r="F873" s="1115">
        <f t="shared" si="147"/>
        <v>5.778792029887919E-3</v>
      </c>
      <c r="G873" s="940"/>
      <c r="H873" s="1115">
        <f>SUM(H$554)</f>
        <v>2.3294279928963196E-3</v>
      </c>
      <c r="I873" s="1115">
        <f t="shared" ref="I873:K873" si="148">SUM(I$554)</f>
        <v>2.3294279928963196E-3</v>
      </c>
      <c r="J873" s="1115">
        <f t="shared" si="148"/>
        <v>2.3294279928963196E-3</v>
      </c>
      <c r="K873" s="1115">
        <f t="shared" si="148"/>
        <v>2.3294279928963196E-3</v>
      </c>
      <c r="L873" s="940"/>
      <c r="M873" s="1115">
        <f>SUM(M$554)</f>
        <v>-1.0379569516443653E-2</v>
      </c>
      <c r="N873" s="1115">
        <f t="shared" ref="N873:P873" si="149">SUM(N$554)</f>
        <v>-6.490833526406295E-3</v>
      </c>
      <c r="O873" s="1115">
        <f t="shared" si="149"/>
        <v>-5.1004474741024337E-3</v>
      </c>
      <c r="P873" s="1115">
        <f t="shared" si="149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50">SUM(D$560)</f>
        <v>8.6899128268991277E-4</v>
      </c>
      <c r="E874" s="1115">
        <f t="shared" si="150"/>
        <v>1.1172745063156022E-3</v>
      </c>
      <c r="F874" s="1115">
        <f t="shared" si="150"/>
        <v>1.7379825653798255E-3</v>
      </c>
      <c r="G874" s="940"/>
      <c r="H874" s="1115">
        <f>SUM(H$560)</f>
        <v>1.190520460913079E-3</v>
      </c>
      <c r="I874" s="1115">
        <f t="shared" ref="I874:K874" si="151">SUM(I$560)</f>
        <v>1.1905204609130788E-3</v>
      </c>
      <c r="J874" s="1115">
        <f t="shared" si="151"/>
        <v>1.190520460913079E-3</v>
      </c>
      <c r="K874" s="1115">
        <f t="shared" si="151"/>
        <v>1.1905204609130788E-3</v>
      </c>
      <c r="L874" s="940"/>
      <c r="M874" s="1115">
        <f>SUM(M$560)</f>
        <v>-1.0440285517181254E-3</v>
      </c>
      <c r="N874" s="1115">
        <f t="shared" ref="N874:P874" si="152">SUM(N$560)</f>
        <v>3.2152917822316602E-4</v>
      </c>
      <c r="O874" s="1115">
        <f t="shared" si="152"/>
        <v>7.3245954597476797E-5</v>
      </c>
      <c r="P874" s="1115">
        <f t="shared" si="152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53">SUM(D$566)</f>
        <v>3.545484433374844E-3</v>
      </c>
      <c r="E875" s="1115">
        <f t="shared" si="153"/>
        <v>2.7708407756626935E-3</v>
      </c>
      <c r="F875" s="1115">
        <f t="shared" si="153"/>
        <v>4.58827397260274E-3</v>
      </c>
      <c r="G875" s="940"/>
      <c r="H875" s="1115">
        <f>SUM(H$566)</f>
        <v>2.5431556305595304E-3</v>
      </c>
      <c r="I875" s="1115">
        <f t="shared" ref="I875:K875" si="154">SUM(I$566)</f>
        <v>2.54315563055953E-3</v>
      </c>
      <c r="J875" s="1115">
        <f t="shared" si="154"/>
        <v>2.5431556305595304E-3</v>
      </c>
      <c r="K875" s="1115">
        <f t="shared" si="154"/>
        <v>2.54315563055953E-3</v>
      </c>
      <c r="L875" s="940"/>
      <c r="M875" s="1115">
        <f>SUM(M$566)</f>
        <v>-2.8197619997553593E-3</v>
      </c>
      <c r="N875" s="1115">
        <f t="shared" ref="N875:P875" si="155">SUM(N$566)</f>
        <v>-1.002328802815314E-3</v>
      </c>
      <c r="O875" s="1115">
        <f t="shared" si="155"/>
        <v>-2.2768514510316303E-4</v>
      </c>
      <c r="P875" s="1115">
        <f t="shared" si="155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56">SUM(D$572)</f>
        <v>0</v>
      </c>
      <c r="E876" s="1115">
        <f t="shared" si="156"/>
        <v>8.4242497776196405E-3</v>
      </c>
      <c r="F876" s="1115">
        <f t="shared" si="156"/>
        <v>8.9042640099626404E-3</v>
      </c>
      <c r="G876" s="940"/>
      <c r="H876" s="1115">
        <f>SUM(H$572)</f>
        <v>6.4452444981512964E-3</v>
      </c>
      <c r="I876" s="1115">
        <f t="shared" ref="I876:K876" si="157">SUM(I$572)</f>
        <v>6.4452444981512973E-3</v>
      </c>
      <c r="J876" s="1115">
        <f t="shared" si="157"/>
        <v>6.4452444981512964E-3</v>
      </c>
      <c r="K876" s="1115">
        <f t="shared" si="157"/>
        <v>6.4452444981512973E-3</v>
      </c>
      <c r="L876" s="940"/>
      <c r="M876" s="1115">
        <f>SUM(M$572)</f>
        <v>6.4452444981512964E-3</v>
      </c>
      <c r="N876" s="1115">
        <f t="shared" ref="N876:P876" si="158">SUM(N$572)</f>
        <v>6.4452444981512973E-3</v>
      </c>
      <c r="O876" s="1115">
        <f t="shared" si="158"/>
        <v>-1.9790052794683441E-3</v>
      </c>
      <c r="P876" s="1115">
        <f t="shared" si="158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59">SUM(D$578)</f>
        <v>2.3317932752179324E-4</v>
      </c>
      <c r="E877" s="1115">
        <f t="shared" si="159"/>
        <v>3.4263084860345131E-4</v>
      </c>
      <c r="F877" s="1115">
        <f t="shared" si="159"/>
        <v>3.9973599003735995E-4</v>
      </c>
      <c r="G877" s="940"/>
      <c r="H877" s="1115">
        <f>SUM(H$578)</f>
        <v>1.7428331246525793E-3</v>
      </c>
      <c r="I877" s="1115">
        <f t="shared" ref="I877:K877" si="160">SUM(I$578)</f>
        <v>1.7428331246525793E-3</v>
      </c>
      <c r="J877" s="1115">
        <f t="shared" si="160"/>
        <v>1.7428331246525793E-3</v>
      </c>
      <c r="K877" s="1115">
        <f t="shared" si="160"/>
        <v>1.7428331246525793E-3</v>
      </c>
      <c r="L877" s="940"/>
      <c r="M877" s="1115">
        <f>SUM(M$578)</f>
        <v>1.4430311321245593E-3</v>
      </c>
      <c r="N877" s="1115">
        <f t="shared" ref="N877:P877" si="161">SUM(N$578)</f>
        <v>1.509653797130786E-3</v>
      </c>
      <c r="O877" s="1115">
        <f t="shared" si="161"/>
        <v>1.4002022760491281E-3</v>
      </c>
      <c r="P877" s="1115">
        <f t="shared" si="161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62">SUM(D$584)</f>
        <v>0</v>
      </c>
      <c r="E878" s="1115">
        <f t="shared" si="162"/>
        <v>0</v>
      </c>
      <c r="F878" s="1115">
        <f t="shared" si="162"/>
        <v>0</v>
      </c>
      <c r="G878" s="940"/>
      <c r="H878" s="1115">
        <f>SUM(H$584)</f>
        <v>1.8095648906604107E-2</v>
      </c>
      <c r="I878" s="1115">
        <f t="shared" ref="I878:K878" si="163">SUM(I$584)</f>
        <v>1.8095648906604107E-2</v>
      </c>
      <c r="J878" s="1115">
        <f t="shared" si="163"/>
        <v>1.8095648906604107E-2</v>
      </c>
      <c r="K878" s="1115">
        <f t="shared" si="163"/>
        <v>1.8095648906604107E-2</v>
      </c>
      <c r="L878" s="940"/>
      <c r="M878" s="1115">
        <f>SUM(M$584)</f>
        <v>1.8095648906604107E-2</v>
      </c>
      <c r="N878" s="1115">
        <f t="shared" ref="N878:P878" si="164">SUM(N$584)</f>
        <v>1.8095648906604107E-2</v>
      </c>
      <c r="O878" s="1115">
        <f t="shared" si="164"/>
        <v>1.8095648906604107E-2</v>
      </c>
      <c r="P878" s="1115">
        <f t="shared" si="164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65">SUM(D$590)</f>
        <v>5.7735780821917817E-3</v>
      </c>
      <c r="E879" s="1115">
        <f t="shared" si="165"/>
        <v>7.4231718199608615E-3</v>
      </c>
      <c r="F879" s="1115">
        <f t="shared" si="165"/>
        <v>5.7735780821917817E-3</v>
      </c>
      <c r="G879" s="940"/>
      <c r="H879" s="1115">
        <f>SUM(H$590)</f>
        <v>1.8469185559062884E-3</v>
      </c>
      <c r="I879" s="1115">
        <f t="shared" ref="I879:K879" si="166">SUM(I$590)</f>
        <v>1.8469185559062884E-3</v>
      </c>
      <c r="J879" s="1115">
        <f t="shared" si="166"/>
        <v>1.8469185559062884E-3</v>
      </c>
      <c r="K879" s="1115">
        <f t="shared" si="166"/>
        <v>1.8469185559062884E-3</v>
      </c>
      <c r="L879" s="940"/>
      <c r="M879" s="1115">
        <f>SUM(M$590)</f>
        <v>-5.5762532640545731E-3</v>
      </c>
      <c r="N879" s="1115">
        <f t="shared" ref="N879:P879" si="167">SUM(N$590)</f>
        <v>-3.9266595262854934E-3</v>
      </c>
      <c r="O879" s="1115">
        <f t="shared" si="167"/>
        <v>-5.5762532640545731E-3</v>
      </c>
      <c r="P879" s="1115">
        <f t="shared" si="167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68">SUM(D$597)</f>
        <v>0</v>
      </c>
      <c r="E880" s="1115">
        <f t="shared" si="168"/>
        <v>0</v>
      </c>
      <c r="F880" s="1115">
        <f t="shared" si="168"/>
        <v>0</v>
      </c>
      <c r="G880" s="940"/>
      <c r="H880" s="1115">
        <f>SUM(H$597)</f>
        <v>0</v>
      </c>
      <c r="I880" s="1115">
        <f t="shared" ref="I880:K880" si="169">SUM(I$597)</f>
        <v>0</v>
      </c>
      <c r="J880" s="1115">
        <f t="shared" si="169"/>
        <v>0</v>
      </c>
      <c r="K880" s="1115">
        <f t="shared" si="169"/>
        <v>0</v>
      </c>
      <c r="L880" s="940"/>
      <c r="M880" s="1115">
        <f>SUM(M$597)</f>
        <v>0</v>
      </c>
      <c r="N880" s="1115">
        <f t="shared" ref="N880:P880" si="170">SUM(N$597)</f>
        <v>0</v>
      </c>
      <c r="O880" s="1115">
        <f t="shared" si="170"/>
        <v>0</v>
      </c>
      <c r="P880" s="1115">
        <f t="shared" si="170"/>
        <v>0</v>
      </c>
      <c r="Q880" s="1025" t="str">
        <f>$Q$599</f>
        <v>des</v>
      </c>
      <c r="R880" s="44" t="str">
        <f t="shared" si="119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71">SUM(D$603)</f>
        <v>0</v>
      </c>
      <c r="E881" s="1115">
        <f t="shared" si="171"/>
        <v>0</v>
      </c>
      <c r="F881" s="1115">
        <f t="shared" si="171"/>
        <v>0</v>
      </c>
      <c r="G881" s="940"/>
      <c r="H881" s="1115">
        <f>SUM(H$603)</f>
        <v>1.6008841220431971E-3</v>
      </c>
      <c r="I881" s="1115">
        <f t="shared" ref="I881:K881" si="172">SUM(I$603)</f>
        <v>1.6008841220431971E-3</v>
      </c>
      <c r="J881" s="1115">
        <f t="shared" si="172"/>
        <v>1.6008841220431971E-3</v>
      </c>
      <c r="K881" s="1115">
        <f t="shared" si="172"/>
        <v>1.6008841220431971E-3</v>
      </c>
      <c r="L881" s="940"/>
      <c r="M881" s="1115">
        <f>SUM(M$603)</f>
        <v>1.6008841220431971E-3</v>
      </c>
      <c r="N881" s="1115">
        <f t="shared" ref="N881:P881" si="173">SUM(N$603)</f>
        <v>1.6008841220431971E-3</v>
      </c>
      <c r="O881" s="1115">
        <f t="shared" si="173"/>
        <v>1.6008841220431971E-3</v>
      </c>
      <c r="P881" s="1115">
        <f t="shared" si="173"/>
        <v>1.6008841220431971E-3</v>
      </c>
      <c r="Q881" s="1025" t="str">
        <f>$Q$605</f>
        <v>fpl</v>
      </c>
      <c r="R881" s="44" t="str">
        <f t="shared" si="119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74">SUM(D$609)</f>
        <v>0</v>
      </c>
      <c r="E882" s="1115">
        <f t="shared" si="174"/>
        <v>0</v>
      </c>
      <c r="F882" s="1115">
        <f t="shared" si="174"/>
        <v>0</v>
      </c>
      <c r="G882" s="940"/>
      <c r="H882" s="1115">
        <f>SUM(H$609)</f>
        <v>7.37994481039518E-3</v>
      </c>
      <c r="I882" s="1115">
        <f t="shared" ref="I882:K882" si="175">SUM(I$609)</f>
        <v>7.37994481039518E-3</v>
      </c>
      <c r="J882" s="1115">
        <f t="shared" si="175"/>
        <v>7.37994481039518E-3</v>
      </c>
      <c r="K882" s="1115">
        <f t="shared" si="175"/>
        <v>7.37994481039518E-3</v>
      </c>
      <c r="L882" s="940"/>
      <c r="M882" s="1115">
        <f>SUM(M$609)</f>
        <v>7.37994481039518E-3</v>
      </c>
      <c r="N882" s="1115">
        <f t="shared" ref="N882:P882" si="176">SUM(N$609)</f>
        <v>7.37994481039518E-3</v>
      </c>
      <c r="O882" s="1115">
        <f t="shared" si="176"/>
        <v>7.37994481039518E-3</v>
      </c>
      <c r="P882" s="1115">
        <f t="shared" si="176"/>
        <v>7.37994481039518E-3</v>
      </c>
      <c r="Q882" s="1025" t="str">
        <f>$Q$611</f>
        <v>fpl</v>
      </c>
      <c r="R882" s="44" t="str">
        <f t="shared" si="119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77">SUM(D$615)</f>
        <v>0</v>
      </c>
      <c r="E883" s="1115">
        <f t="shared" si="177"/>
        <v>3.7503180928660385E-3</v>
      </c>
      <c r="F883" s="1115">
        <f t="shared" si="177"/>
        <v>4.298610211706101E-3</v>
      </c>
      <c r="G883" s="940"/>
      <c r="H883" s="1115">
        <f>SUM(H$615)</f>
        <v>0</v>
      </c>
      <c r="I883" s="1115">
        <f t="shared" ref="I883:K883" si="178">SUM(I$615)</f>
        <v>0</v>
      </c>
      <c r="J883" s="1115">
        <f t="shared" si="178"/>
        <v>0</v>
      </c>
      <c r="K883" s="1115">
        <f t="shared" si="178"/>
        <v>0</v>
      </c>
      <c r="L883" s="940"/>
      <c r="M883" s="1115">
        <f>SUM(M$615)</f>
        <v>0</v>
      </c>
      <c r="N883" s="1115">
        <f t="shared" ref="N883:P883" si="179">SUM(N$615)</f>
        <v>0</v>
      </c>
      <c r="O883" s="1115">
        <f t="shared" si="179"/>
        <v>-3.7503180928660385E-3</v>
      </c>
      <c r="P883" s="1115">
        <f t="shared" si="179"/>
        <v>-4.298610211706101E-3</v>
      </c>
      <c r="Q883" s="1025" t="str">
        <f>$Q$617</f>
        <v>des</v>
      </c>
      <c r="R883" s="44" t="str">
        <f t="shared" si="119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80">SUM(D$621)</f>
        <v>0</v>
      </c>
      <c r="E884" s="1115">
        <f t="shared" si="180"/>
        <v>3.6032102828678168E-3</v>
      </c>
      <c r="F884" s="1115">
        <f t="shared" si="180"/>
        <v>5.2313275217932744E-3</v>
      </c>
      <c r="G884" s="940"/>
      <c r="H884" s="1115">
        <f>SUM(H$621)</f>
        <v>8.4622877826154557E-3</v>
      </c>
      <c r="I884" s="1115">
        <f t="shared" ref="I884:K884" si="181">SUM(I$621)</f>
        <v>8.4622877826154574E-3</v>
      </c>
      <c r="J884" s="1115">
        <f t="shared" si="181"/>
        <v>8.4622877826154557E-3</v>
      </c>
      <c r="K884" s="1115">
        <f t="shared" si="181"/>
        <v>8.4622877826154574E-3</v>
      </c>
      <c r="L884" s="940"/>
      <c r="M884" s="1115">
        <f>SUM(M$621)</f>
        <v>8.4622877826154557E-3</v>
      </c>
      <c r="N884" s="1115">
        <f t="shared" ref="N884:P884" si="182">SUM(N$621)</f>
        <v>8.4622877826154574E-3</v>
      </c>
      <c r="O884" s="1115">
        <f t="shared" si="182"/>
        <v>4.8590774997476389E-3</v>
      </c>
      <c r="P884" s="1115">
        <f t="shared" si="182"/>
        <v>3.230960260822183E-3</v>
      </c>
      <c r="Q884" s="1025" t="str">
        <f>$Q$623</f>
        <v>fpl</v>
      </c>
      <c r="R884" s="44" t="str">
        <f t="shared" si="119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83">SUM(D$627)</f>
        <v>0</v>
      </c>
      <c r="E885" s="1115">
        <f t="shared" si="183"/>
        <v>0</v>
      </c>
      <c r="F885" s="1115">
        <f t="shared" si="183"/>
        <v>0</v>
      </c>
      <c r="G885" s="940"/>
      <c r="H885" s="1115">
        <f>SUM(H$627)</f>
        <v>0</v>
      </c>
      <c r="I885" s="1115">
        <f t="shared" ref="I885:K885" si="184">SUM(I$627)</f>
        <v>0</v>
      </c>
      <c r="J885" s="1115">
        <f t="shared" si="184"/>
        <v>0</v>
      </c>
      <c r="K885" s="1115">
        <f t="shared" si="184"/>
        <v>0</v>
      </c>
      <c r="L885" s="940"/>
      <c r="M885" s="1115">
        <f>SUM(M$627)</f>
        <v>0</v>
      </c>
      <c r="N885" s="1115">
        <f t="shared" ref="N885:P885" si="185">SUM(N$627)</f>
        <v>0</v>
      </c>
      <c r="O885" s="1115">
        <f t="shared" si="185"/>
        <v>0</v>
      </c>
      <c r="P885" s="1115">
        <f t="shared" si="185"/>
        <v>0</v>
      </c>
      <c r="Q885" s="1025" t="str">
        <f>$Q$629</f>
        <v>des</v>
      </c>
      <c r="R885" s="44" t="str">
        <f t="shared" si="119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186">SUM(D$633)</f>
        <v>6.0134196762141955E-2</v>
      </c>
      <c r="E886" s="1115">
        <f t="shared" si="186"/>
        <v>2.5771798612346561E-2</v>
      </c>
      <c r="F886" s="1115">
        <f t="shared" si="186"/>
        <v>5.5123013698630138E-2</v>
      </c>
      <c r="G886" s="940"/>
      <c r="H886" s="1115">
        <f>SUM(H$633)</f>
        <v>0</v>
      </c>
      <c r="I886" s="1115">
        <f t="shared" ref="I886:K886" si="187">SUM(I$633)</f>
        <v>0</v>
      </c>
      <c r="J886" s="1115">
        <f t="shared" si="187"/>
        <v>0</v>
      </c>
      <c r="K886" s="1115">
        <f t="shared" si="187"/>
        <v>0</v>
      </c>
      <c r="L886" s="940"/>
      <c r="M886" s="1115">
        <f>SUM(M$633)</f>
        <v>-3.8657697918519834E-2</v>
      </c>
      <c r="N886" s="1115">
        <f t="shared" ref="N886:P886" si="188">SUM(N$633)</f>
        <v>-6.0134196762141955E-2</v>
      </c>
      <c r="O886" s="1115">
        <f t="shared" si="188"/>
        <v>-2.5771798612346561E-2</v>
      </c>
      <c r="P886" s="1115">
        <f t="shared" si="188"/>
        <v>-5.5123013698630138E-2</v>
      </c>
      <c r="Q886" s="1025" t="str">
        <f>$Q$635</f>
        <v>des</v>
      </c>
      <c r="R886" s="44" t="str">
        <f t="shared" si="119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189">SUM(D$640)</f>
        <v>4.4188206724782061E-2</v>
      </c>
      <c r="E887" s="1115">
        <f t="shared" si="189"/>
        <v>3.676503469133606E-2</v>
      </c>
      <c r="F887" s="1115">
        <f t="shared" si="189"/>
        <v>4.5288349522623492E-2</v>
      </c>
      <c r="G887" s="940"/>
      <c r="H887" s="1115">
        <f>SUM(H$640)</f>
        <v>0</v>
      </c>
      <c r="I887" s="1115">
        <f t="shared" ref="I887:K887" si="190">SUM(I$640)</f>
        <v>0</v>
      </c>
      <c r="J887" s="1115">
        <f t="shared" si="190"/>
        <v>0</v>
      </c>
      <c r="K887" s="1115">
        <f t="shared" si="190"/>
        <v>0</v>
      </c>
      <c r="L887" s="940"/>
      <c r="M887" s="1115">
        <f>SUM(M$640)</f>
        <v>-1.5150242305639565E-2</v>
      </c>
      <c r="N887" s="1115">
        <f t="shared" ref="N887:P887" si="191">SUM(N$640)</f>
        <v>-4.4188206724782061E-2</v>
      </c>
      <c r="O887" s="1115">
        <f t="shared" si="191"/>
        <v>-3.676503469133606E-2</v>
      </c>
      <c r="P887" s="1115">
        <f t="shared" si="191"/>
        <v>-4.5288349522623492E-2</v>
      </c>
      <c r="Q887" s="1025" t="str">
        <f>$Q$642</f>
        <v>dis</v>
      </c>
      <c r="R887" s="44" t="str">
        <f t="shared" si="119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0.1322751322751323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1.3333064367168097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0.74639126188104088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0.3241475286307296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2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193">IF(MAX(C905:F905,H905:K905)&gt;0,S904+1,S904)</f>
        <v>0</v>
      </c>
      <c r="T905" s="46" t="str">
        <f t="shared" si="192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193"/>
        <v>0</v>
      </c>
      <c r="T906" s="46" t="str">
        <f t="shared" si="192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193"/>
        <v>0</v>
      </c>
      <c r="T907" s="46" t="str">
        <f t="shared" si="192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193"/>
        <v>0</v>
      </c>
      <c r="T908" s="46" t="str">
        <f t="shared" si="192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193"/>
        <v>0</v>
      </c>
      <c r="T909" s="46" t="str">
        <f t="shared" si="192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193"/>
        <v>0</v>
      </c>
      <c r="T910" s="46" t="str">
        <f t="shared" si="192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193"/>
        <v>0</v>
      </c>
      <c r="T911" s="46" t="str">
        <f t="shared" si="192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193"/>
        <v>0</v>
      </c>
      <c r="T912" s="46" t="str">
        <f t="shared" si="192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193"/>
        <v>0</v>
      </c>
      <c r="T913" s="46" t="str">
        <f t="shared" si="192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193"/>
        <v>0</v>
      </c>
      <c r="T914" s="46" t="str">
        <f t="shared" si="192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193"/>
        <v>0</v>
      </c>
      <c r="T915" s="46" t="str">
        <f t="shared" si="192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193"/>
        <v>0</v>
      </c>
      <c r="T916" s="46" t="str">
        <f t="shared" si="192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193"/>
        <v>0</v>
      </c>
      <c r="T917" s="46" t="str">
        <f t="shared" si="192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193"/>
        <v>0</v>
      </c>
      <c r="T918" s="46" t="str">
        <f t="shared" si="192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193"/>
        <v>0</v>
      </c>
      <c r="T919" s="46" t="str">
        <f t="shared" si="192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193"/>
        <v>0</v>
      </c>
      <c r="T920" s="46" t="str">
        <f t="shared" si="192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193"/>
        <v>0</v>
      </c>
      <c r="T921" s="46" t="str">
        <f t="shared" si="192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193"/>
        <v>0</v>
      </c>
      <c r="T922" s="46" t="str">
        <f t="shared" si="192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193"/>
        <v>0</v>
      </c>
      <c r="T923" s="46" t="str">
        <f t="shared" si="192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193"/>
        <v>1</v>
      </c>
      <c r="T924" s="46">
        <f t="shared" si="192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193"/>
        <v>1</v>
      </c>
      <c r="T925" s="46" t="str">
        <f t="shared" si="192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193"/>
        <v>2</v>
      </c>
      <c r="T926" s="46">
        <f t="shared" si="192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193"/>
        <v>2</v>
      </c>
      <c r="T927" s="46" t="str">
        <f t="shared" si="192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193"/>
        <v>2</v>
      </c>
      <c r="T928" s="46" t="str">
        <f t="shared" si="192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193"/>
        <v>3</v>
      </c>
      <c r="T929" s="46">
        <f t="shared" si="192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193"/>
        <v>3</v>
      </c>
      <c r="T930" s="46" t="str">
        <f t="shared" si="192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193"/>
        <v>3</v>
      </c>
      <c r="T931" s="46" t="str">
        <f t="shared" si="192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193"/>
        <v>4</v>
      </c>
      <c r="T932" s="46">
        <f t="shared" si="192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193"/>
        <v>5</v>
      </c>
      <c r="T933" s="46">
        <f t="shared" si="192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193"/>
        <v>5</v>
      </c>
      <c r="T934" s="46" t="str">
        <f t="shared" si="192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193"/>
        <v>5</v>
      </c>
      <c r="T935" s="46" t="str">
        <f t="shared" si="192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193"/>
        <v>5</v>
      </c>
      <c r="T936" s="46" t="str">
        <f t="shared" si="192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193"/>
        <v>6</v>
      </c>
      <c r="T937" s="46">
        <f t="shared" si="192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193"/>
        <v>6</v>
      </c>
      <c r="T938" s="46" t="str">
        <f t="shared" si="192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193"/>
        <v>6</v>
      </c>
      <c r="T939" s="46" t="str">
        <f t="shared" si="192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193"/>
        <v>6</v>
      </c>
      <c r="T940" s="46" t="str">
        <f t="shared" si="192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193"/>
        <v>6</v>
      </c>
      <c r="T941" s="46" t="str">
        <f t="shared" si="192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193"/>
        <v>6</v>
      </c>
      <c r="T942" s="46" t="str">
        <f t="shared" si="192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193"/>
        <v>7</v>
      </c>
      <c r="T943" s="46">
        <f t="shared" si="192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193"/>
        <v>8</v>
      </c>
      <c r="T944" s="46">
        <f t="shared" si="192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193"/>
        <v>9</v>
      </c>
      <c r="T945" s="46">
        <f t="shared" si="192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193"/>
        <v>9</v>
      </c>
      <c r="T946" s="46" t="str">
        <f t="shared" si="192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193"/>
        <v>10</v>
      </c>
      <c r="T947" s="46">
        <f t="shared" si="192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193"/>
        <v>11</v>
      </c>
      <c r="T948" s="46">
        <f t="shared" si="192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193"/>
        <v>12</v>
      </c>
      <c r="T949" s="46">
        <f t="shared" si="192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193"/>
        <v>12</v>
      </c>
      <c r="T950" s="46" t="str">
        <f t="shared" si="192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193"/>
        <v>12</v>
      </c>
      <c r="T951" s="46" t="str">
        <f t="shared" si="192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193"/>
        <v>12</v>
      </c>
      <c r="T952" s="46" t="str">
        <f t="shared" si="192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193"/>
        <v>12</v>
      </c>
      <c r="T953" s="46" t="str">
        <f t="shared" si="192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193"/>
        <v>13</v>
      </c>
      <c r="T954" s="46">
        <f t="shared" si="192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193"/>
        <v>14</v>
      </c>
      <c r="T955" s="46">
        <f t="shared" si="192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193"/>
        <v>15</v>
      </c>
      <c r="T956" s="46">
        <f t="shared" si="192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193"/>
        <v>16</v>
      </c>
      <c r="T957" s="46">
        <f t="shared" si="192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193"/>
        <v>16</v>
      </c>
      <c r="T958" s="46" t="str">
        <f t="shared" si="192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193"/>
        <v>16</v>
      </c>
      <c r="T959" s="46" t="str">
        <f t="shared" si="192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193"/>
        <v>16</v>
      </c>
      <c r="T960" s="46" t="str">
        <f t="shared" si="192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193"/>
        <v>16</v>
      </c>
      <c r="T961" s="46" t="str">
        <f t="shared" si="192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193"/>
        <v>16</v>
      </c>
      <c r="T962" s="46" t="str">
        <f t="shared" si="192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193"/>
        <v>17</v>
      </c>
      <c r="T963" s="46">
        <f t="shared" si="192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193"/>
        <v>17</v>
      </c>
      <c r="T964" s="46" t="str">
        <f t="shared" si="192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1260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1260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193"/>
        <v>18</v>
      </c>
      <c r="T965" s="46">
        <f t="shared" si="192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193"/>
        <v>19</v>
      </c>
      <c r="T966" s="46">
        <f t="shared" si="192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193"/>
        <v>20</v>
      </c>
      <c r="T967" s="46">
        <f t="shared" si="192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193"/>
        <v>20</v>
      </c>
      <c r="T968" s="46" t="str">
        <f t="shared" ref="T968:T983" si="194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195">IF(MAX(C969:F969,H969:K969)&gt;0,S968+1,S968)</f>
        <v>20</v>
      </c>
      <c r="T969" s="46" t="str">
        <f t="shared" si="194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195"/>
        <v>21</v>
      </c>
      <c r="T970" s="46">
        <f t="shared" si="194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195"/>
        <v>21</v>
      </c>
      <c r="T971" s="46" t="str">
        <f t="shared" si="194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195"/>
        <v>21</v>
      </c>
      <c r="T972" s="46" t="str">
        <f t="shared" si="194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2832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3398.4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566.40000000000009</v>
      </c>
      <c r="O973" s="1102">
        <f>SUM($O$755)</f>
        <v>0</v>
      </c>
      <c r="P973" s="1102">
        <f>SUM($P$755)</f>
        <v>0</v>
      </c>
      <c r="R973" s="44"/>
      <c r="S973" s="46">
        <f t="shared" si="195"/>
        <v>22</v>
      </c>
      <c r="T973" s="46">
        <f t="shared" si="194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195"/>
        <v>22</v>
      </c>
      <c r="T974" s="46" t="str">
        <f t="shared" si="194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195"/>
        <v>23</v>
      </c>
      <c r="T975" s="46">
        <f t="shared" si="194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195"/>
        <v>23</v>
      </c>
      <c r="T976" s="46" t="str">
        <f t="shared" si="194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195"/>
        <v>24</v>
      </c>
      <c r="T977" s="46">
        <f t="shared" si="194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195"/>
        <v>24</v>
      </c>
      <c r="T978" s="46" t="str">
        <f t="shared" si="194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195"/>
        <v>24</v>
      </c>
      <c r="T979" s="46" t="str">
        <f t="shared" si="194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195"/>
        <v>24</v>
      </c>
      <c r="T980" s="46" t="str">
        <f t="shared" si="194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195"/>
        <v>24</v>
      </c>
      <c r="T981" s="46" t="str">
        <f t="shared" si="194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195"/>
        <v>24</v>
      </c>
      <c r="T982" s="46" t="str">
        <f t="shared" si="194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195"/>
        <v>25</v>
      </c>
      <c r="T983" s="46">
        <f t="shared" si="194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40380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15508.4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316.40000000000009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196">SUM(D457,D466,D475,D484,D493,D502,D635)</f>
        <v>6408</v>
      </c>
      <c r="E988" s="789">
        <f t="shared" si="196"/>
        <v>6532</v>
      </c>
      <c r="F988" s="789">
        <f t="shared" si="196"/>
        <v>9576</v>
      </c>
      <c r="G988" s="1187"/>
      <c r="H988" s="789">
        <f>SUM(H457,H466,H475,H484,H493,H502,H635)</f>
        <v>6047.4257572032666</v>
      </c>
      <c r="I988" s="789">
        <f t="shared" ref="I988:K988" si="197">SUM(I457,I466,I475,I484,I493,I502,I635)</f>
        <v>7775.2616878327717</v>
      </c>
      <c r="J988" s="789">
        <f t="shared" si="197"/>
        <v>6047.4257572032666</v>
      </c>
      <c r="K988" s="789">
        <f t="shared" si="197"/>
        <v>7775.2616878327717</v>
      </c>
      <c r="L988" s="1187"/>
      <c r="M988" s="789">
        <f>SUM(M457,M466,M475,M484,M493,M502,M635)</f>
        <v>2772.4257572032675</v>
      </c>
      <c r="N988" s="789">
        <f t="shared" ref="N988:P988" si="198">SUM(N457,N466,N475,N484,N493,N502,N635)</f>
        <v>5327.2616878327717</v>
      </c>
      <c r="O988" s="789">
        <f t="shared" si="198"/>
        <v>1720.4257572032673</v>
      </c>
      <c r="P988" s="789">
        <f t="shared" si="198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199">SUM(D508,D514,D520,D526,D532,D538,D544,D550,D556,D562,D568,D574,D580,D586,D592,D605,D611,D623,D772:D773)</f>
        <v>4629</v>
      </c>
      <c r="E989" s="789">
        <f t="shared" si="199"/>
        <v>8446</v>
      </c>
      <c r="F989" s="789">
        <f t="shared" si="199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00">SUM(I508,I514,I520,I526,I532,I538,I544,I550,I556,I562,I568,I574,I580,I586,I592,I605,I611,I623,I772:I773)</f>
        <v>13004.204383460565</v>
      </c>
      <c r="J989" s="789">
        <f t="shared" si="200"/>
        <v>10114.381187135994</v>
      </c>
      <c r="K989" s="789">
        <f t="shared" si="200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01">SUM(N508,N514,N520,N526,N532,N538,N544,N550,N556,N562,N568,N574,N580,N586,N592,N605,N611,N623,N772:N773)</f>
        <v>8375.2043834605647</v>
      </c>
      <c r="O989" s="789">
        <f t="shared" si="201"/>
        <v>1668.3811871359953</v>
      </c>
      <c r="P989" s="789">
        <f t="shared" si="201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02">SUM(D599,D617,D629)</f>
        <v>935</v>
      </c>
      <c r="E990" s="789">
        <f t="shared" si="202"/>
        <v>874</v>
      </c>
      <c r="F990" s="789">
        <f t="shared" si="202"/>
        <v>1624</v>
      </c>
      <c r="G990" s="1187"/>
      <c r="H990" s="789">
        <f>SUM(H599,H617,H629)</f>
        <v>0</v>
      </c>
      <c r="I990" s="789">
        <f t="shared" ref="I990:K990" si="203">SUM(I599,I617,I629)</f>
        <v>0</v>
      </c>
      <c r="J990" s="789">
        <f t="shared" si="203"/>
        <v>0</v>
      </c>
      <c r="K990" s="789">
        <f t="shared" si="203"/>
        <v>0</v>
      </c>
      <c r="L990" s="1187"/>
      <c r="M990" s="789">
        <f>SUM(M599,M617,M629)</f>
        <v>-952</v>
      </c>
      <c r="N990" s="789">
        <f t="shared" ref="N990:P990" si="204">SUM(N599,N617,N629)</f>
        <v>-935</v>
      </c>
      <c r="O990" s="789">
        <f t="shared" si="204"/>
        <v>-874</v>
      </c>
      <c r="P990" s="789">
        <f t="shared" si="204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05">SUM(C642)</f>
        <v>984</v>
      </c>
      <c r="D991" s="789">
        <f t="shared" si="205"/>
        <v>720</v>
      </c>
      <c r="E991" s="789">
        <f t="shared" si="205"/>
        <v>852</v>
      </c>
      <c r="F991" s="789">
        <f t="shared" si="205"/>
        <v>1554</v>
      </c>
      <c r="G991" s="1187"/>
      <c r="H991" s="789">
        <f t="shared" ref="H991:K991" si="206">SUM(H642)</f>
        <v>0</v>
      </c>
      <c r="I991" s="789">
        <f t="shared" si="206"/>
        <v>0</v>
      </c>
      <c r="J991" s="789">
        <f t="shared" si="206"/>
        <v>0</v>
      </c>
      <c r="K991" s="789">
        <f t="shared" si="206"/>
        <v>0</v>
      </c>
      <c r="L991" s="1187"/>
      <c r="M991" s="789">
        <f t="shared" ref="M991:P991" si="207">SUM(M642)</f>
        <v>-984</v>
      </c>
      <c r="N991" s="789">
        <f t="shared" si="207"/>
        <v>-720</v>
      </c>
      <c r="O991" s="789">
        <f t="shared" si="207"/>
        <v>-852</v>
      </c>
      <c r="P991" s="789">
        <f t="shared" si="207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08">SUM(D774,D775,D776,D782:D783,D806)</f>
        <v>3120</v>
      </c>
      <c r="E992" s="789">
        <f t="shared" si="208"/>
        <v>3240</v>
      </c>
      <c r="F992" s="789">
        <f t="shared" si="208"/>
        <v>6380</v>
      </c>
      <c r="G992" s="1183"/>
      <c r="H992" s="789">
        <f>SUM(H774,H775,H776,H782:H783,H806)</f>
        <v>3252.5</v>
      </c>
      <c r="I992" s="789">
        <f t="shared" ref="I992:K992" si="209">SUM(I774,I775,I776,I782:I783,I806)</f>
        <v>3967.5</v>
      </c>
      <c r="J992" s="789">
        <f t="shared" si="209"/>
        <v>3152.5</v>
      </c>
      <c r="K992" s="789">
        <f t="shared" si="209"/>
        <v>4467.5</v>
      </c>
      <c r="L992" s="1183"/>
      <c r="M992" s="789">
        <f>SUM(M774,M775,M776,M782:M783,M806)</f>
        <v>1242.5</v>
      </c>
      <c r="N992" s="789">
        <f t="shared" ref="N992:P992" si="210">SUM(N774,N775,N776,N782:N783,N806)</f>
        <v>847.5</v>
      </c>
      <c r="O992" s="789">
        <f t="shared" si="210"/>
        <v>-87.5</v>
      </c>
      <c r="P992" s="789">
        <f t="shared" si="210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11">SUM(C781,C790)</f>
        <v>0</v>
      </c>
      <c r="D993" s="789">
        <f t="shared" si="211"/>
        <v>1200</v>
      </c>
      <c r="E993" s="789">
        <f t="shared" si="211"/>
        <v>0</v>
      </c>
      <c r="F993" s="789">
        <f t="shared" si="211"/>
        <v>0</v>
      </c>
      <c r="G993" s="1183"/>
      <c r="H993" s="789">
        <f t="shared" ref="H993:K993" si="212">SUM(H781,H790)</f>
        <v>0</v>
      </c>
      <c r="I993" s="789">
        <f t="shared" si="212"/>
        <v>0</v>
      </c>
      <c r="J993" s="789">
        <f t="shared" si="212"/>
        <v>0</v>
      </c>
      <c r="K993" s="789">
        <f t="shared" si="212"/>
        <v>0</v>
      </c>
      <c r="L993" s="1183"/>
      <c r="M993" s="789">
        <f t="shared" ref="M993:P993" si="213">SUM(M781,M790)</f>
        <v>0</v>
      </c>
      <c r="N993" s="789">
        <f t="shared" si="213"/>
        <v>0</v>
      </c>
      <c r="O993" s="789">
        <f t="shared" si="213"/>
        <v>0</v>
      </c>
      <c r="P993" s="789">
        <f t="shared" si="213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14">SUM(C784:C785,C791:C798)</f>
        <v>310</v>
      </c>
      <c r="D994" s="789">
        <f t="shared" si="214"/>
        <v>1000</v>
      </c>
      <c r="E994" s="789">
        <f t="shared" si="214"/>
        <v>10150</v>
      </c>
      <c r="F994" s="789">
        <f t="shared" si="214"/>
        <v>33000</v>
      </c>
      <c r="G994" s="1183"/>
      <c r="H994" s="789">
        <f t="shared" ref="H994:K994" si="215">SUM(H784:H785,H791:H798)</f>
        <v>310</v>
      </c>
      <c r="I994" s="789">
        <f t="shared" si="215"/>
        <v>1000</v>
      </c>
      <c r="J994" s="789">
        <f t="shared" si="215"/>
        <v>10150</v>
      </c>
      <c r="K994" s="789">
        <f t="shared" si="215"/>
        <v>31500</v>
      </c>
      <c r="L994" s="1183"/>
      <c r="M994" s="789">
        <f t="shared" ref="M994:P994" si="216">SUM(M784:M785,M791:M798)</f>
        <v>0</v>
      </c>
      <c r="N994" s="789">
        <f t="shared" si="216"/>
        <v>0</v>
      </c>
      <c r="O994" s="789">
        <f t="shared" si="216"/>
        <v>0</v>
      </c>
      <c r="P994" s="789">
        <f t="shared" si="216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17">SUM(C799,C800)</f>
        <v>900</v>
      </c>
      <c r="D995" s="789">
        <f t="shared" si="217"/>
        <v>1000</v>
      </c>
      <c r="E995" s="789">
        <f t="shared" si="217"/>
        <v>3050</v>
      </c>
      <c r="F995" s="789">
        <f t="shared" si="217"/>
        <v>23000</v>
      </c>
      <c r="G995" s="1183"/>
      <c r="H995" s="789">
        <f t="shared" ref="H995:K995" si="218">SUM(H799,H800)</f>
        <v>1540</v>
      </c>
      <c r="I995" s="789">
        <f t="shared" si="218"/>
        <v>1980</v>
      </c>
      <c r="J995" s="789">
        <f t="shared" si="218"/>
        <v>1540</v>
      </c>
      <c r="K995" s="789">
        <f t="shared" si="218"/>
        <v>1980</v>
      </c>
      <c r="L995" s="1183"/>
      <c r="M995" s="789">
        <f t="shared" ref="M995:P995" si="219">SUM(M799,M800)</f>
        <v>640</v>
      </c>
      <c r="N995" s="789">
        <f t="shared" si="219"/>
        <v>980</v>
      </c>
      <c r="O995" s="789">
        <f t="shared" si="219"/>
        <v>-1510</v>
      </c>
      <c r="P995" s="789">
        <f t="shared" si="219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20">SUM(C801)</f>
        <v>2000</v>
      </c>
      <c r="D996" s="789">
        <f t="shared" si="220"/>
        <v>3000</v>
      </c>
      <c r="E996" s="789">
        <f t="shared" si="220"/>
        <v>6000</v>
      </c>
      <c r="F996" s="789">
        <f t="shared" si="220"/>
        <v>8000</v>
      </c>
      <c r="G996" s="1187"/>
      <c r="H996" s="789">
        <f t="shared" ref="H996:K996" si="221">SUM(H801)</f>
        <v>2100</v>
      </c>
      <c r="I996" s="789">
        <f t="shared" si="221"/>
        <v>2700</v>
      </c>
      <c r="J996" s="789">
        <f t="shared" si="221"/>
        <v>2100</v>
      </c>
      <c r="K996" s="789">
        <f t="shared" si="221"/>
        <v>2700</v>
      </c>
      <c r="L996" s="1187"/>
      <c r="M996" s="789">
        <f t="shared" ref="M996:P996" si="222">SUM(M801)</f>
        <v>100</v>
      </c>
      <c r="N996" s="789">
        <f t="shared" si="222"/>
        <v>-300</v>
      </c>
      <c r="O996" s="789">
        <f t="shared" si="222"/>
        <v>-3900</v>
      </c>
      <c r="P996" s="789">
        <f t="shared" si="222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23">SUM(D804)</f>
        <v>120</v>
      </c>
      <c r="E997" s="789">
        <f t="shared" si="223"/>
        <v>200</v>
      </c>
      <c r="F997" s="789">
        <f t="shared" si="223"/>
        <v>100</v>
      </c>
      <c r="G997" s="1187"/>
      <c r="H997" s="789">
        <f>SUM(H804)</f>
        <v>120</v>
      </c>
      <c r="I997" s="789">
        <f t="shared" ref="I997:K997" si="224">SUM(I804)</f>
        <v>120</v>
      </c>
      <c r="J997" s="789">
        <f t="shared" si="224"/>
        <v>200</v>
      </c>
      <c r="K997" s="789">
        <f t="shared" si="224"/>
        <v>100</v>
      </c>
      <c r="L997" s="1187"/>
      <c r="M997" s="789">
        <f>SUM(M804)</f>
        <v>0</v>
      </c>
      <c r="N997" s="789">
        <f t="shared" ref="N997:P997" si="225">SUM(N804)</f>
        <v>0</v>
      </c>
      <c r="O997" s="789">
        <f t="shared" si="225"/>
        <v>0</v>
      </c>
      <c r="P997" s="789">
        <f t="shared" si="225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26">SUM(D802,D803)</f>
        <v>770</v>
      </c>
      <c r="E998" s="789">
        <f t="shared" si="226"/>
        <v>4900</v>
      </c>
      <c r="F998" s="789">
        <f t="shared" si="226"/>
        <v>8400</v>
      </c>
      <c r="G998" s="1187"/>
      <c r="H998" s="789">
        <f>SUM(H802,H803)</f>
        <v>1036</v>
      </c>
      <c r="I998" s="789">
        <f t="shared" ref="I998:K998" si="227">SUM(I802,I803)</f>
        <v>1332</v>
      </c>
      <c r="J998" s="789">
        <f t="shared" si="227"/>
        <v>1036</v>
      </c>
      <c r="K998" s="789">
        <f t="shared" si="227"/>
        <v>1332</v>
      </c>
      <c r="L998" s="1187"/>
      <c r="M998" s="789">
        <f>SUM(M802,M803)</f>
        <v>586</v>
      </c>
      <c r="N998" s="789">
        <f t="shared" ref="N998:P998" si="228">SUM(N802,N803)</f>
        <v>562</v>
      </c>
      <c r="O998" s="789">
        <f t="shared" si="228"/>
        <v>-3864</v>
      </c>
      <c r="P998" s="789">
        <f t="shared" si="228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29">SUM(D805,D809:D810)</f>
        <v>13120</v>
      </c>
      <c r="E999" s="789">
        <f t="shared" si="229"/>
        <v>15160</v>
      </c>
      <c r="F999" s="789">
        <f t="shared" si="229"/>
        <v>15000</v>
      </c>
      <c r="G999" s="1187"/>
      <c r="H999" s="789">
        <f>SUM(H805,H809:H810)</f>
        <v>0</v>
      </c>
      <c r="I999" s="789">
        <f t="shared" ref="I999:K999" si="230">SUM(I805,I809:I810)</f>
        <v>0</v>
      </c>
      <c r="J999" s="789">
        <f t="shared" si="230"/>
        <v>0</v>
      </c>
      <c r="K999" s="789">
        <f t="shared" si="230"/>
        <v>0</v>
      </c>
      <c r="L999" s="1187"/>
      <c r="M999" s="789">
        <f>SUM(M805,M809:M810)</f>
        <v>-9180</v>
      </c>
      <c r="N999" s="789">
        <f t="shared" ref="N999:P999" si="231">SUM(N805,N809:N810)</f>
        <v>-13120</v>
      </c>
      <c r="O999" s="789">
        <f t="shared" si="231"/>
        <v>-15160</v>
      </c>
      <c r="P999" s="789">
        <f t="shared" si="231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32">SUM(C807)</f>
        <v>0</v>
      </c>
      <c r="D1000" s="789">
        <f t="shared" si="232"/>
        <v>0</v>
      </c>
      <c r="E1000" s="789">
        <f t="shared" si="232"/>
        <v>0</v>
      </c>
      <c r="F1000" s="789">
        <f t="shared" si="232"/>
        <v>0</v>
      </c>
      <c r="G1000" s="1187"/>
      <c r="H1000" s="789">
        <f t="shared" ref="H1000:K1000" si="233">SUM(H807)</f>
        <v>4317.8333333333339</v>
      </c>
      <c r="I1000" s="789">
        <f t="shared" si="233"/>
        <v>5551.5000000000018</v>
      </c>
      <c r="J1000" s="789">
        <f t="shared" si="233"/>
        <v>4317.8333333333339</v>
      </c>
      <c r="K1000" s="789">
        <f t="shared" si="233"/>
        <v>5551.5000000000018</v>
      </c>
      <c r="L1000" s="1187"/>
      <c r="M1000" s="789">
        <f t="shared" ref="M1000:P1000" si="234">SUM(M807)</f>
        <v>4317.8333333333339</v>
      </c>
      <c r="N1000" s="789">
        <f t="shared" si="234"/>
        <v>5551.5000000000018</v>
      </c>
      <c r="O1000" s="789">
        <f t="shared" si="234"/>
        <v>4317.8333333333339</v>
      </c>
      <c r="P1000" s="789">
        <f t="shared" si="234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32"/>
        <v>0</v>
      </c>
      <c r="D1001" s="789">
        <f t="shared" si="232"/>
        <v>0</v>
      </c>
      <c r="E1001" s="789">
        <f t="shared" si="232"/>
        <v>0</v>
      </c>
      <c r="F1001" s="789">
        <f t="shared" si="232"/>
        <v>0</v>
      </c>
      <c r="G1001" s="1187"/>
      <c r="H1001" s="789">
        <f t="shared" ref="H1001:K1001" si="235">SUM(H808)</f>
        <v>24276</v>
      </c>
      <c r="I1001" s="789">
        <f t="shared" si="235"/>
        <v>31212</v>
      </c>
      <c r="J1001" s="789">
        <f t="shared" si="235"/>
        <v>24276</v>
      </c>
      <c r="K1001" s="789">
        <f t="shared" si="235"/>
        <v>31212</v>
      </c>
      <c r="L1001" s="1187"/>
      <c r="M1001" s="789">
        <f t="shared" ref="M1001:P1001" si="236">SUM(M808)</f>
        <v>24276</v>
      </c>
      <c r="N1001" s="789">
        <f t="shared" si="236"/>
        <v>31212</v>
      </c>
      <c r="O1001" s="789">
        <f t="shared" si="236"/>
        <v>24276</v>
      </c>
      <c r="P1001" s="789">
        <f t="shared" si="236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37">C985-SUM(C988:C999)</f>
        <v>6746</v>
      </c>
      <c r="D1002" s="789">
        <f t="shared" si="237"/>
        <v>4358</v>
      </c>
      <c r="E1002" s="789">
        <f t="shared" si="237"/>
        <v>79473</v>
      </c>
      <c r="F1002" s="789">
        <f t="shared" si="237"/>
        <v>114250</v>
      </c>
      <c r="G1002" s="1187"/>
      <c r="H1002" s="789">
        <f t="shared" ref="H1002:K1002" si="238">H985-SUM(H988:H999)</f>
        <v>-1550.3069443392596</v>
      </c>
      <c r="I1002" s="789">
        <f t="shared" si="238"/>
        <v>-16370.566071293337</v>
      </c>
      <c r="J1002" s="789">
        <f t="shared" si="238"/>
        <v>78409.69305566074</v>
      </c>
      <c r="K1002" s="789">
        <f t="shared" si="238"/>
        <v>107441.03392870666</v>
      </c>
      <c r="L1002" s="1187"/>
      <c r="M1002" s="789">
        <f t="shared" ref="M1002:P1002" si="239">M985-SUM(M988:M999)</f>
        <v>1541.6930556607367</v>
      </c>
      <c r="N1002" s="789">
        <f t="shared" si="239"/>
        <v>-700.56607129333634</v>
      </c>
      <c r="O1002" s="789">
        <f t="shared" si="239"/>
        <v>4646.6930556607367</v>
      </c>
      <c r="P1002" s="789">
        <f t="shared" si="239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40380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52271.9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37079.9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1260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69300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294600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0.19507572229140721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6889.3990649765783</v>
      </c>
      <c r="D1022" s="1107">
        <f>IF(OR(D454=0,D454="",D450=0,D450=""),0,365*$P$1*D456*D46/D454/D450)</f>
        <v>8857.7987978270285</v>
      </c>
      <c r="E1022" s="1107">
        <f>IF(E46="",0,$D1022*E46/$D46)</f>
        <v>6889.3990649765783</v>
      </c>
      <c r="F1022" s="1107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3.483612978961844E-2</v>
      </c>
      <c r="D1023" s="1210">
        <f>D1021/D1022</f>
        <v>0.1382962096972121</v>
      </c>
      <c r="E1023" s="1210">
        <f>E1021/E1022</f>
        <v>0.89848184749057558</v>
      </c>
      <c r="F1023" s="1210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0.2153883592861493</v>
      </c>
      <c r="D1024" s="1210">
        <f>D1020+D1023</f>
        <v>0.33337193198861931</v>
      </c>
      <c r="E1024" s="1210">
        <f>E1020+E1023</f>
        <v>1.0872301084761653</v>
      </c>
      <c r="F1024" s="1210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0.2512864191671742</v>
      </c>
      <c r="D1025" s="1210">
        <f>D1024*D46/6</f>
        <v>0.50005789798292899</v>
      </c>
      <c r="E1025" s="1210">
        <f>E1024*E46/6</f>
        <v>1.2684351265555263</v>
      </c>
      <c r="F1025" s="1210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0.2512864191671742</v>
      </c>
      <c r="D1026" s="1210">
        <f>D1025/SUM(D48)</f>
        <v>0.50005789798292899</v>
      </c>
      <c r="E1026" s="1210">
        <f>E1025/SUM(E48)</f>
        <v>0.42281170885184211</v>
      </c>
      <c r="F1026" s="1210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13004.204383460565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15726.000000000002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9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4.6440677966101696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19">
        <f>E1040</f>
        <v>4.6440677966101696</v>
      </c>
      <c r="I1040" s="831"/>
      <c r="J1040" s="1219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40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41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42">IF(OR(A1044="",LOOKUP(B1045,$T$820:$T$898,A$820:A$898)=A1044),"",LOOKUP(B1045,$T$820:$T$898,A$820:A$898))</f>
        <v>Own meat</v>
      </c>
      <c r="B1045" s="1204">
        <v>2</v>
      </c>
      <c r="C1045" s="876">
        <f t="shared" ref="C1045:C1063" si="243">IF($A1045="","",LOOKUP($B1045,$T$820:$T$898,C$820:C$898))</f>
        <v>6.7502001423234296E-3</v>
      </c>
      <c r="D1045" s="876">
        <f t="shared" ref="D1045:D1055" si="244">IF($A1045="","",LOOKUP($B1045,$T$820:$T$898,M$820:M$898))</f>
        <v>0</v>
      </c>
      <c r="E1045" s="876">
        <f t="shared" ref="E1045:E1055" si="245">IF($A1045="","",LOOKUP($B1045,$T$820:$T$898,D$820:D$898))</f>
        <v>2.3263646741386469E-2</v>
      </c>
      <c r="F1045" s="876">
        <f t="shared" ref="F1045:F1055" si="246">IF($A1045="","",LOOKUP($B1045,$T$820:$T$898,N$820:N$898))</f>
        <v>0</v>
      </c>
      <c r="G1045" s="832"/>
      <c r="H1045" s="1231">
        <f t="shared" ref="H1045:H1055" si="247">IF($A1045="","",LOOKUP($B1045,$T$820:$T$898,E$820:E$898))</f>
        <v>8.589061110122756E-2</v>
      </c>
      <c r="I1045" s="1231">
        <f t="shared" ref="I1045:I1055" si="248">IF($A1045="","",LOOKUP($B1045,$T$820:$T$898,O$820:O$898))</f>
        <v>0</v>
      </c>
      <c r="J1045" s="1231">
        <f t="shared" ref="J1045:J1055" si="249">IF($A1045="","",LOOKUP($B1045,$T$820:$T$898,F$820:F$898))</f>
        <v>8.2554275633042767E-2</v>
      </c>
      <c r="K1045" s="1231">
        <f t="shared" ref="K1045:K1055" si="250">IF($A1045="","",LOOKUP($B1045,$T$820:$T$898,P$820:P$898))</f>
        <v>0</v>
      </c>
      <c r="L1045" s="832"/>
      <c r="M1045" s="1214" t="str">
        <f t="shared" si="240"/>
        <v/>
      </c>
      <c r="N1045" s="832"/>
      <c r="O1045" s="832"/>
      <c r="P1045" s="832"/>
      <c r="Q1045" s="439"/>
      <c r="R1045" s="832" t="str">
        <f t="shared" si="241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42"/>
        <v>Green cons - Season 1: no of months</v>
      </c>
      <c r="B1046" s="1204">
        <v>3</v>
      </c>
      <c r="C1046" s="876">
        <f t="shared" si="243"/>
        <v>2.6666666666666665E-2</v>
      </c>
      <c r="D1046" s="876">
        <f t="shared" si="244"/>
        <v>0</v>
      </c>
      <c r="E1046" s="876">
        <f t="shared" si="245"/>
        <v>2.6666666666666665E-2</v>
      </c>
      <c r="F1046" s="876">
        <f t="shared" si="246"/>
        <v>0</v>
      </c>
      <c r="G1046" s="832"/>
      <c r="H1046" s="1231">
        <f t="shared" si="247"/>
        <v>2.6666666666666665E-2</v>
      </c>
      <c r="I1046" s="1231">
        <f t="shared" si="248"/>
        <v>0</v>
      </c>
      <c r="J1046" s="1231">
        <f t="shared" si="249"/>
        <v>6.5000000000000002E-2</v>
      </c>
      <c r="K1046" s="1231">
        <f t="shared" si="250"/>
        <v>0</v>
      </c>
      <c r="L1046" s="832"/>
      <c r="M1046" s="1214" t="str">
        <f t="shared" si="240"/>
        <v/>
      </c>
      <c r="N1046" s="832"/>
      <c r="O1046" s="832"/>
      <c r="P1046" s="832"/>
      <c r="Q1046" s="439"/>
      <c r="R1046" s="832">
        <f t="shared" si="241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42"/>
        <v>Maize: kg produced</v>
      </c>
      <c r="B1047" s="1204">
        <v>4</v>
      </c>
      <c r="C1047" s="876">
        <f t="shared" si="243"/>
        <v>0.16358016046966731</v>
      </c>
      <c r="D1047" s="876">
        <f t="shared" si="244"/>
        <v>0</v>
      </c>
      <c r="E1047" s="876">
        <f t="shared" si="245"/>
        <v>0.18138020547945205</v>
      </c>
      <c r="F1047" s="876">
        <f t="shared" si="246"/>
        <v>0</v>
      </c>
      <c r="G1047" s="832"/>
      <c r="H1047" s="1231">
        <f t="shared" si="247"/>
        <v>0.15208899217221136</v>
      </c>
      <c r="I1047" s="1231">
        <f t="shared" si="248"/>
        <v>0.13519021526418781</v>
      </c>
      <c r="J1047" s="1231">
        <f t="shared" si="249"/>
        <v>0.17086541095890409</v>
      </c>
      <c r="K1047" s="1231">
        <f t="shared" si="250"/>
        <v>1.0514794520547945</v>
      </c>
      <c r="L1047" s="832"/>
      <c r="M1047" s="1214">
        <f t="shared" si="240"/>
        <v>10</v>
      </c>
      <c r="N1047" s="832"/>
      <c r="O1047" s="832"/>
      <c r="P1047" s="832"/>
      <c r="Q1047" s="439"/>
      <c r="R1047" s="832">
        <f t="shared" si="241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42"/>
        <v>Sorghum: kg produced</v>
      </c>
      <c r="B1048" s="1204">
        <v>5</v>
      </c>
      <c r="C1048" s="876">
        <f t="shared" si="243"/>
        <v>0</v>
      </c>
      <c r="D1048" s="876">
        <f t="shared" si="244"/>
        <v>0</v>
      </c>
      <c r="E1048" s="876">
        <f t="shared" si="245"/>
        <v>0</v>
      </c>
      <c r="F1048" s="876">
        <f t="shared" si="246"/>
        <v>0</v>
      </c>
      <c r="G1048" s="832"/>
      <c r="H1048" s="1231">
        <f t="shared" si="247"/>
        <v>3.3052704145169899E-2</v>
      </c>
      <c r="I1048" s="1231">
        <f t="shared" si="248"/>
        <v>6.6105408290339812E-2</v>
      </c>
      <c r="J1048" s="1231">
        <f t="shared" si="249"/>
        <v>0</v>
      </c>
      <c r="K1048" s="1231">
        <f t="shared" si="250"/>
        <v>0</v>
      </c>
      <c r="L1048" s="832"/>
      <c r="M1048" s="1214">
        <f t="shared" si="240"/>
        <v>11</v>
      </c>
      <c r="N1048" s="832"/>
      <c r="O1048" s="832"/>
      <c r="P1048" s="832"/>
      <c r="Q1048" s="439"/>
      <c r="R1048" s="832">
        <f t="shared" si="241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42"/>
        <v>Beans: kg produced</v>
      </c>
      <c r="B1049" s="1204">
        <v>6</v>
      </c>
      <c r="C1049" s="876">
        <f t="shared" si="243"/>
        <v>3.1563004803415763E-2</v>
      </c>
      <c r="D1049" s="876">
        <f t="shared" si="244"/>
        <v>0</v>
      </c>
      <c r="E1049" s="876">
        <f t="shared" si="245"/>
        <v>3.6332525529265254E-2</v>
      </c>
      <c r="F1049" s="876">
        <f t="shared" si="246"/>
        <v>0</v>
      </c>
      <c r="G1049" s="832"/>
      <c r="H1049" s="1231">
        <f t="shared" si="247"/>
        <v>4.0400646148372181E-2</v>
      </c>
      <c r="I1049" s="1231">
        <f t="shared" si="248"/>
        <v>0</v>
      </c>
      <c r="J1049" s="1231">
        <f t="shared" si="249"/>
        <v>8.8376413449564123E-2</v>
      </c>
      <c r="K1049" s="1231">
        <f t="shared" si="250"/>
        <v>0</v>
      </c>
      <c r="L1049" s="832"/>
      <c r="M1049" s="1214">
        <f t="shared" si="240"/>
        <v>15</v>
      </c>
      <c r="N1049" s="832"/>
      <c r="O1049" s="832"/>
      <c r="P1049" s="832"/>
      <c r="Q1049" s="439"/>
      <c r="R1049" s="832">
        <f t="shared" si="241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42"/>
        <v>Water melon: no. local meas</v>
      </c>
      <c r="B1050" s="1204">
        <v>7</v>
      </c>
      <c r="C1050" s="876">
        <f t="shared" si="243"/>
        <v>1.1563791140366483E-3</v>
      </c>
      <c r="D1050" s="876">
        <f t="shared" si="244"/>
        <v>0</v>
      </c>
      <c r="E1050" s="876">
        <f t="shared" si="245"/>
        <v>6.6622665006226651E-4</v>
      </c>
      <c r="F1050" s="876">
        <f t="shared" si="246"/>
        <v>0</v>
      </c>
      <c r="G1050" s="832"/>
      <c r="H1050" s="1231">
        <f t="shared" si="247"/>
        <v>7.2809055328233404E-4</v>
      </c>
      <c r="I1050" s="1231">
        <f t="shared" si="248"/>
        <v>0</v>
      </c>
      <c r="J1050" s="1231">
        <f t="shared" si="249"/>
        <v>1.332453300124533E-3</v>
      </c>
      <c r="K1050" s="1231">
        <f t="shared" si="250"/>
        <v>0</v>
      </c>
      <c r="L1050" s="832"/>
      <c r="M1050" s="1214" t="str">
        <f t="shared" si="240"/>
        <v/>
      </c>
      <c r="N1050" s="832"/>
      <c r="O1050" s="832"/>
      <c r="P1050" s="832"/>
      <c r="Q1050" s="439"/>
      <c r="R1050" s="832">
        <f t="shared" si="241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42"/>
        <v>Potato: no. local meas</v>
      </c>
      <c r="B1051" s="1204">
        <v>8</v>
      </c>
      <c r="C1051" s="876">
        <f t="shared" si="243"/>
        <v>1.1591723003024372E-2</v>
      </c>
      <c r="D1051" s="876">
        <f t="shared" si="244"/>
        <v>0</v>
      </c>
      <c r="E1051" s="876">
        <f t="shared" si="245"/>
        <v>1.2274501867995018E-2</v>
      </c>
      <c r="F1051" s="876">
        <f t="shared" si="246"/>
        <v>0</v>
      </c>
      <c r="G1051" s="832"/>
      <c r="H1051" s="1231">
        <f t="shared" si="247"/>
        <v>1.4384909268813377E-2</v>
      </c>
      <c r="I1051" s="1231">
        <f t="shared" si="248"/>
        <v>1.1172745063156022E-2</v>
      </c>
      <c r="J1051" s="1231">
        <f t="shared" si="249"/>
        <v>6.3001867995018682E-2</v>
      </c>
      <c r="K1051" s="1231">
        <f t="shared" si="250"/>
        <v>9.7761519302615188E-2</v>
      </c>
      <c r="L1051" s="832"/>
      <c r="M1051" s="1214">
        <f t="shared" si="240"/>
        <v>21</v>
      </c>
      <c r="N1051" s="832"/>
      <c r="O1051" s="832"/>
      <c r="P1051" s="832"/>
      <c r="Q1051" s="439"/>
      <c r="R1051" s="832">
        <f t="shared" si="241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42"/>
        <v>Sweet Potatoes: no. local meas</v>
      </c>
      <c r="B1052" s="1204">
        <v>9</v>
      </c>
      <c r="C1052" s="876">
        <f t="shared" si="243"/>
        <v>1.6972069026863549E-2</v>
      </c>
      <c r="D1052" s="876">
        <f t="shared" si="244"/>
        <v>0</v>
      </c>
      <c r="E1052" s="876">
        <f t="shared" si="245"/>
        <v>1.3695516811955168E-2</v>
      </c>
      <c r="F1052" s="876">
        <f t="shared" si="246"/>
        <v>0</v>
      </c>
      <c r="G1052" s="1204"/>
      <c r="H1052" s="1231">
        <f t="shared" si="247"/>
        <v>3.6065646682085038E-3</v>
      </c>
      <c r="I1052" s="1231">
        <f t="shared" si="248"/>
        <v>3.1822629425369155E-2</v>
      </c>
      <c r="J1052" s="1231">
        <f t="shared" si="249"/>
        <v>0.10774906600249066</v>
      </c>
      <c r="K1052" s="1231">
        <f t="shared" si="250"/>
        <v>0.21450809464508097</v>
      </c>
      <c r="L1052" s="832"/>
      <c r="M1052" s="1214">
        <f t="shared" si="240"/>
        <v>22</v>
      </c>
      <c r="N1052" s="832"/>
      <c r="O1052" s="832"/>
      <c r="P1052" s="832"/>
      <c r="Q1052" s="439"/>
      <c r="R1052" s="832">
        <f t="shared" si="241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42"/>
        <v>Groundnuts (dry): no. local meas</v>
      </c>
      <c r="B1053" s="1204">
        <v>10</v>
      </c>
      <c r="C1053" s="876">
        <f t="shared" si="243"/>
        <v>5.390849492972781E-2</v>
      </c>
      <c r="D1053" s="876">
        <f t="shared" si="244"/>
        <v>0</v>
      </c>
      <c r="E1053" s="876">
        <f t="shared" si="245"/>
        <v>4.19288293897883E-2</v>
      </c>
      <c r="F1053" s="876">
        <f t="shared" si="246"/>
        <v>0.1677153175591532</v>
      </c>
      <c r="G1053" s="832"/>
      <c r="H1053" s="1231">
        <f t="shared" si="247"/>
        <v>2.6954247464863905E-2</v>
      </c>
      <c r="I1053" s="1231">
        <f t="shared" si="248"/>
        <v>0.26954247464863901</v>
      </c>
      <c r="J1053" s="1231">
        <f t="shared" si="249"/>
        <v>0</v>
      </c>
      <c r="K1053" s="1231">
        <f t="shared" si="250"/>
        <v>0</v>
      </c>
      <c r="L1053" s="832"/>
      <c r="M1053" s="1214">
        <f t="shared" si="240"/>
        <v>23</v>
      </c>
      <c r="N1053" s="832"/>
      <c r="O1053" s="832"/>
      <c r="P1053" s="832"/>
      <c r="Q1053" s="439"/>
      <c r="R1053" s="832">
        <f t="shared" si="241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42"/>
        <v>Other crop: type (green vegetables)Cabbage</v>
      </c>
      <c r="B1054" s="1204">
        <v>11</v>
      </c>
      <c r="C1054" s="876">
        <f t="shared" si="243"/>
        <v>1.1968510941113681E-3</v>
      </c>
      <c r="D1054" s="876">
        <f t="shared" si="244"/>
        <v>0</v>
      </c>
      <c r="E1054" s="876">
        <f t="shared" si="245"/>
        <v>1.0118306351183063E-3</v>
      </c>
      <c r="F1054" s="876">
        <f t="shared" si="246"/>
        <v>0</v>
      </c>
      <c r="G1054" s="832"/>
      <c r="H1054" s="1231">
        <f t="shared" si="247"/>
        <v>7.0249955523928121E-3</v>
      </c>
      <c r="I1054" s="1231">
        <f t="shared" si="248"/>
        <v>2.601850204589932E-3</v>
      </c>
      <c r="J1054" s="1231">
        <f t="shared" si="249"/>
        <v>7.0828144458281441E-3</v>
      </c>
      <c r="K1054" s="1231">
        <f t="shared" si="250"/>
        <v>2.4283935242839352E-2</v>
      </c>
      <c r="L1054" s="832"/>
      <c r="M1054" s="1214">
        <f t="shared" si="240"/>
        <v>25</v>
      </c>
      <c r="N1054" s="832"/>
      <c r="O1054" s="832"/>
      <c r="P1054" s="832"/>
      <c r="Q1054" s="439"/>
      <c r="R1054" s="832">
        <f t="shared" si="241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42"/>
        <v>Other crop: pumpkin</v>
      </c>
      <c r="B1055" s="1204">
        <v>12</v>
      </c>
      <c r="C1055" s="876">
        <f t="shared" si="243"/>
        <v>7.2622842910514149E-4</v>
      </c>
      <c r="D1055" s="876">
        <f t="shared" si="244"/>
        <v>0</v>
      </c>
      <c r="E1055" s="876">
        <f t="shared" si="245"/>
        <v>-2.4476587795765879E-3</v>
      </c>
      <c r="F1055" s="876">
        <f t="shared" si="246"/>
        <v>0</v>
      </c>
      <c r="G1055" s="832"/>
      <c r="H1055" s="1231">
        <f t="shared" si="247"/>
        <v>4.5510314890588859E-3</v>
      </c>
      <c r="I1055" s="1231">
        <f t="shared" si="248"/>
        <v>1.9366091442803773E-3</v>
      </c>
      <c r="J1055" s="1231">
        <f t="shared" si="249"/>
        <v>1.1974699875466999E-2</v>
      </c>
      <c r="K1055" s="1231">
        <f t="shared" si="250"/>
        <v>1.1296886674968865E-2</v>
      </c>
      <c r="L1055" s="832"/>
      <c r="M1055" s="1214">
        <f t="shared" si="240"/>
        <v>26</v>
      </c>
      <c r="N1055" s="832"/>
      <c r="O1055" s="832"/>
      <c r="P1055" s="832"/>
      <c r="Q1055" s="439"/>
      <c r="R1055" s="832">
        <f t="shared" si="241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51">IF(OR(A1055="",LOOKUP(B1056,$T$820:$T$898,A$820:A$898)=A1055),"",LOOKUP(B1056,$T$820:$T$898,A$820:A$898))</f>
        <v>Spinach: no produced</v>
      </c>
      <c r="B1056" s="1204">
        <v>13</v>
      </c>
      <c r="C1056" s="876">
        <f t="shared" si="243"/>
        <v>8.9381960505248177E-4</v>
      </c>
      <c r="D1056" s="876">
        <f t="shared" ref="D1056:D1063" si="252">IF($A1056="","",LOOKUP($B1056,$T$820:$T$898,M$820:M$898))</f>
        <v>0</v>
      </c>
      <c r="E1056" s="876">
        <f t="shared" ref="E1056:E1063" si="253">IF($A1056="","",LOOKUP($B1056,$T$820:$T$898,D$820:D$898))</f>
        <v>1.3903860523038604E-3</v>
      </c>
      <c r="F1056" s="876">
        <f t="shared" ref="F1056:F1063" si="254">IF($A1056="","",LOOKUP($B1056,$T$820:$T$898,N$820:N$898))</f>
        <v>0</v>
      </c>
      <c r="G1056" s="832"/>
      <c r="H1056" s="1231">
        <f t="shared" ref="H1056:H1063" si="255">IF($A1056="","",LOOKUP($B1056,$T$820:$T$898,E$820:E$898))</f>
        <v>0</v>
      </c>
      <c r="I1056" s="1231">
        <f t="shared" ref="I1056:I1063" si="256">IF($A1056="","",LOOKUP($B1056,$T$820:$T$898,O$820:O$898))</f>
        <v>0</v>
      </c>
      <c r="J1056" s="1231">
        <f t="shared" ref="J1056:J1063" si="257">IF($A1056="","",LOOKUP($B1056,$T$820:$T$898,F$820:F$898))</f>
        <v>0</v>
      </c>
      <c r="K1056" s="1231">
        <f t="shared" ref="K1056:K1063" si="258">IF($A1056="","",LOOKUP($B1056,$T$820:$T$898,P$820:P$898))</f>
        <v>0</v>
      </c>
      <c r="L1056" s="832"/>
      <c r="M1056" s="1214">
        <f t="shared" ref="M1056:M1063" si="259">IF(LOOKUP(R1056,R$1071:R$1094,R$1071:R$1094)=R1056,R1056,"")</f>
        <v>27</v>
      </c>
      <c r="N1056" s="832"/>
      <c r="O1056" s="832"/>
      <c r="P1056" s="832"/>
      <c r="Q1056" s="439"/>
      <c r="R1056" s="832">
        <f t="shared" si="241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51"/>
        <v>FISHING -- see worksheet Data 3</v>
      </c>
      <c r="B1057" s="1204">
        <v>14</v>
      </c>
      <c r="C1057" s="876">
        <f t="shared" si="243"/>
        <v>5.2457559153175591E-3</v>
      </c>
      <c r="D1057" s="876">
        <f t="shared" si="252"/>
        <v>-5.2457559153175591E-3</v>
      </c>
      <c r="E1057" s="876">
        <f t="shared" si="253"/>
        <v>0</v>
      </c>
      <c r="F1057" s="876">
        <f t="shared" si="254"/>
        <v>0</v>
      </c>
      <c r="G1057" s="832"/>
      <c r="H1057" s="1231">
        <f t="shared" si="255"/>
        <v>0</v>
      </c>
      <c r="I1057" s="1231">
        <f t="shared" si="256"/>
        <v>0</v>
      </c>
      <c r="J1057" s="1231">
        <f t="shared" si="257"/>
        <v>0</v>
      </c>
      <c r="K1057" s="1231">
        <f t="shared" si="258"/>
        <v>0</v>
      </c>
      <c r="L1057" s="832"/>
      <c r="M1057" s="1214" t="str">
        <f t="shared" si="259"/>
        <v/>
      </c>
      <c r="N1057" s="832"/>
      <c r="O1057" s="832"/>
      <c r="P1057" s="832"/>
      <c r="Q1057" s="439"/>
      <c r="R1057" s="832">
        <f t="shared" si="241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51"/>
        <v>WILD FOODS -- see worksheet Data 3</v>
      </c>
      <c r="B1058" s="1204">
        <v>15</v>
      </c>
      <c r="C1058" s="876">
        <f t="shared" si="243"/>
        <v>1.0807685465219711E-3</v>
      </c>
      <c r="D1058" s="876">
        <f t="shared" si="252"/>
        <v>2.891923145347803E-2</v>
      </c>
      <c r="E1058" s="876">
        <f t="shared" si="253"/>
        <v>0</v>
      </c>
      <c r="F1058" s="876">
        <f t="shared" si="254"/>
        <v>0.05</v>
      </c>
      <c r="G1058" s="832"/>
      <c r="H1058" s="1231">
        <f t="shared" si="255"/>
        <v>0</v>
      </c>
      <c r="I1058" s="1231">
        <f t="shared" si="256"/>
        <v>0</v>
      </c>
      <c r="J1058" s="1231">
        <f t="shared" si="257"/>
        <v>0</v>
      </c>
      <c r="K1058" s="1231">
        <f t="shared" si="258"/>
        <v>0</v>
      </c>
      <c r="L1058" s="832"/>
      <c r="M1058" s="1214">
        <f t="shared" si="259"/>
        <v>29</v>
      </c>
      <c r="N1058" s="832"/>
      <c r="O1058" s="832"/>
      <c r="P1058" s="832"/>
      <c r="Q1058" s="439"/>
      <c r="R1058" s="832">
        <f t="shared" si="241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51"/>
        <v/>
      </c>
      <c r="B1059" s="1204">
        <v>16</v>
      </c>
      <c r="C1059" s="876" t="str">
        <f t="shared" si="243"/>
        <v/>
      </c>
      <c r="D1059" s="876" t="str">
        <f t="shared" si="252"/>
        <v/>
      </c>
      <c r="E1059" s="876" t="str">
        <f t="shared" si="253"/>
        <v/>
      </c>
      <c r="F1059" s="876" t="str">
        <f t="shared" si="254"/>
        <v/>
      </c>
      <c r="G1059" s="832"/>
      <c r="H1059" s="1231" t="str">
        <f t="shared" si="255"/>
        <v/>
      </c>
      <c r="I1059" s="1231" t="str">
        <f t="shared" si="256"/>
        <v/>
      </c>
      <c r="J1059" s="1231" t="str">
        <f t="shared" si="257"/>
        <v/>
      </c>
      <c r="K1059" s="1231" t="str">
        <f t="shared" si="258"/>
        <v/>
      </c>
      <c r="L1059" s="832"/>
      <c r="M1059" s="1214" t="str">
        <f t="shared" si="259"/>
        <v/>
      </c>
      <c r="N1059" s="832"/>
      <c r="O1059" s="832"/>
      <c r="P1059" s="832"/>
      <c r="Q1059" s="439"/>
      <c r="R1059" s="832" t="str">
        <f t="shared" si="241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51"/>
        <v/>
      </c>
      <c r="B1060" s="1204">
        <v>17</v>
      </c>
      <c r="C1060" s="876" t="str">
        <f t="shared" si="243"/>
        <v/>
      </c>
      <c r="D1060" s="876" t="str">
        <f t="shared" si="252"/>
        <v/>
      </c>
      <c r="E1060" s="876" t="str">
        <f t="shared" si="253"/>
        <v/>
      </c>
      <c r="F1060" s="876" t="str">
        <f t="shared" si="254"/>
        <v/>
      </c>
      <c r="G1060" s="832"/>
      <c r="H1060" s="1231" t="str">
        <f t="shared" si="255"/>
        <v/>
      </c>
      <c r="I1060" s="1231" t="str">
        <f t="shared" si="256"/>
        <v/>
      </c>
      <c r="J1060" s="1231" t="str">
        <f t="shared" si="257"/>
        <v/>
      </c>
      <c r="K1060" s="1231" t="str">
        <f t="shared" si="258"/>
        <v/>
      </c>
      <c r="L1060" s="832"/>
      <c r="M1060" s="1214" t="str">
        <f t="shared" si="259"/>
        <v/>
      </c>
      <c r="N1060" s="832"/>
      <c r="O1060" s="832"/>
      <c r="P1060" s="832"/>
      <c r="Q1060" s="439"/>
      <c r="R1060" s="832" t="str">
        <f t="shared" si="241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51"/>
        <v/>
      </c>
      <c r="B1061" s="1204">
        <v>18</v>
      </c>
      <c r="C1061" s="876" t="str">
        <f t="shared" si="243"/>
        <v/>
      </c>
      <c r="D1061" s="876" t="str">
        <f t="shared" si="252"/>
        <v/>
      </c>
      <c r="E1061" s="876" t="str">
        <f t="shared" si="253"/>
        <v/>
      </c>
      <c r="F1061" s="876" t="str">
        <f t="shared" si="254"/>
        <v/>
      </c>
      <c r="G1061" s="832"/>
      <c r="H1061" s="1231" t="str">
        <f t="shared" si="255"/>
        <v/>
      </c>
      <c r="I1061" s="1231" t="str">
        <f t="shared" si="256"/>
        <v/>
      </c>
      <c r="J1061" s="1231" t="str">
        <f t="shared" si="257"/>
        <v/>
      </c>
      <c r="K1061" s="1231" t="str">
        <f t="shared" si="258"/>
        <v/>
      </c>
      <c r="L1061" s="832"/>
      <c r="M1061" s="1214" t="str">
        <f t="shared" si="259"/>
        <v/>
      </c>
      <c r="N1061" s="832"/>
      <c r="O1061" s="832"/>
      <c r="P1061" s="832"/>
      <c r="Q1061" s="439"/>
      <c r="R1061" s="832" t="str">
        <f t="shared" si="241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51"/>
        <v/>
      </c>
      <c r="B1062" s="1204">
        <v>19</v>
      </c>
      <c r="C1062" s="876" t="str">
        <f t="shared" si="243"/>
        <v/>
      </c>
      <c r="D1062" s="876" t="str">
        <f t="shared" si="252"/>
        <v/>
      </c>
      <c r="E1062" s="876" t="str">
        <f t="shared" si="253"/>
        <v/>
      </c>
      <c r="F1062" s="876" t="str">
        <f t="shared" si="254"/>
        <v/>
      </c>
      <c r="G1062" s="832"/>
      <c r="H1062" s="1231" t="str">
        <f t="shared" si="255"/>
        <v/>
      </c>
      <c r="I1062" s="1231" t="str">
        <f t="shared" si="256"/>
        <v/>
      </c>
      <c r="J1062" s="1231" t="str">
        <f t="shared" si="257"/>
        <v/>
      </c>
      <c r="K1062" s="1231" t="str">
        <f t="shared" si="258"/>
        <v/>
      </c>
      <c r="L1062" s="832"/>
      <c r="M1062" s="1214" t="str">
        <f t="shared" si="259"/>
        <v/>
      </c>
      <c r="N1062" s="832"/>
      <c r="O1062" s="832"/>
      <c r="P1062" s="832"/>
      <c r="Q1062" s="439"/>
      <c r="R1062" s="832" t="str">
        <f t="shared" si="241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51"/>
        <v/>
      </c>
      <c r="B1063" s="1204">
        <v>20</v>
      </c>
      <c r="C1063" s="876" t="str">
        <f t="shared" si="243"/>
        <v/>
      </c>
      <c r="D1063" s="876" t="str">
        <f t="shared" si="252"/>
        <v/>
      </c>
      <c r="E1063" s="876" t="str">
        <f t="shared" si="253"/>
        <v/>
      </c>
      <c r="F1063" s="876" t="str">
        <f t="shared" si="254"/>
        <v/>
      </c>
      <c r="G1063" s="832"/>
      <c r="H1063" s="1231" t="str">
        <f t="shared" si="255"/>
        <v/>
      </c>
      <c r="I1063" s="1231" t="str">
        <f t="shared" si="256"/>
        <v/>
      </c>
      <c r="J1063" s="1231" t="str">
        <f t="shared" si="257"/>
        <v/>
      </c>
      <c r="K1063" s="1231" t="str">
        <f t="shared" si="258"/>
        <v/>
      </c>
      <c r="L1063" s="832"/>
      <c r="M1063" s="1214" t="str">
        <f t="shared" si="259"/>
        <v/>
      </c>
      <c r="N1063" s="832"/>
      <c r="O1063" s="832"/>
      <c r="P1063" s="832"/>
      <c r="Q1063" s="439"/>
      <c r="R1063" s="832" t="str">
        <f t="shared" si="241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0.45952259028642589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60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61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60"/>
        <v>Goat sales - local: no. sold</v>
      </c>
      <c r="B1073" s="1204">
        <v>2</v>
      </c>
      <c r="C1073" s="1107">
        <f t="shared" ref="C1073:C1099" si="262">IF($A1073="","",LOOKUP($B1073,$T$904:$T$983,C$904:C$983))</f>
        <v>0</v>
      </c>
      <c r="D1073" s="1107">
        <f t="shared" ref="D1073:D1094" si="263">IF($A1073="","",LOOKUP($B1073,$T$904:$T$983,M$904:M$983))</f>
        <v>0</v>
      </c>
      <c r="E1073" s="1107">
        <f t="shared" ref="E1073:E1094" si="264">IF($A1073="","",LOOKUP($B1073,$T$904:$T$983,D$904:D$983))</f>
        <v>600</v>
      </c>
      <c r="F1073" s="1107">
        <f t="shared" ref="F1073:F1094" si="265">IF($A1073="","",LOOKUP($B1073,$T$904:$T$983,N$904:N$983))</f>
        <v>0</v>
      </c>
      <c r="G1073" s="832"/>
      <c r="H1073" s="1214">
        <f t="shared" ref="H1073:H1094" si="266">IF($A1073="","",LOOKUP($B1073,$T$904:$T$983,E$904:E$983))</f>
        <v>2100</v>
      </c>
      <c r="I1073" s="1214">
        <f t="shared" ref="I1073:I1094" si="267">IF($A1073="","",LOOKUP($B1073,$T$904:$T$983,O$904:O$983))</f>
        <v>600</v>
      </c>
      <c r="J1073" s="1214">
        <f t="shared" ref="J1073:J1094" si="268">IF($A1073="","",LOOKUP($B1073,$T$904:$T$983,F$904:F$983))</f>
        <v>6000</v>
      </c>
      <c r="K1073" s="1214">
        <f t="shared" ref="K1073:K1094" si="269">IF($A1073="","",LOOKUP($B1073,$T$904:$T$983,P$904:P$983))</f>
        <v>1500</v>
      </c>
      <c r="L1073" s="832"/>
      <c r="M1073" s="996" t="str">
        <f t="shared" si="261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60"/>
        <v>Chicken sales: no. sold</v>
      </c>
      <c r="B1074" s="1204">
        <v>3</v>
      </c>
      <c r="C1074" s="1107">
        <f t="shared" si="262"/>
        <v>200</v>
      </c>
      <c r="D1074" s="1107">
        <f t="shared" si="263"/>
        <v>0</v>
      </c>
      <c r="E1074" s="1107">
        <f t="shared" si="264"/>
        <v>123</v>
      </c>
      <c r="F1074" s="1107">
        <f t="shared" si="265"/>
        <v>0</v>
      </c>
      <c r="G1074" s="832"/>
      <c r="H1074" s="1214">
        <f t="shared" si="266"/>
        <v>147</v>
      </c>
      <c r="I1074" s="1214">
        <f t="shared" si="267"/>
        <v>0</v>
      </c>
      <c r="J1074" s="1214">
        <f t="shared" si="268"/>
        <v>28</v>
      </c>
      <c r="K1074" s="1214">
        <f t="shared" si="269"/>
        <v>0</v>
      </c>
      <c r="L1074" s="832"/>
      <c r="M1074" s="996" t="str">
        <f t="shared" si="261"/>
        <v/>
      </c>
      <c r="N1074" s="832"/>
      <c r="O1074" s="832"/>
      <c r="P1074" s="832"/>
      <c r="Q1074" s="439"/>
      <c r="R1074" s="832" t="str">
        <f t="shared" ref="R1074:R1099" si="270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60"/>
        <v>Maize: kg produced</v>
      </c>
      <c r="B1075" s="1204">
        <v>4</v>
      </c>
      <c r="C1075" s="1107">
        <f t="shared" si="262"/>
        <v>0</v>
      </c>
      <c r="D1075" s="1107">
        <f t="shared" si="263"/>
        <v>0</v>
      </c>
      <c r="E1075" s="1107">
        <f t="shared" si="264"/>
        <v>0</v>
      </c>
      <c r="F1075" s="1107">
        <f t="shared" si="265"/>
        <v>0</v>
      </c>
      <c r="G1075" s="832"/>
      <c r="H1075" s="1214">
        <f t="shared" si="266"/>
        <v>822.00000000000011</v>
      </c>
      <c r="I1075" s="1214">
        <f t="shared" si="267"/>
        <v>-822.00000000000011</v>
      </c>
      <c r="J1075" s="1214">
        <f t="shared" si="268"/>
        <v>4900</v>
      </c>
      <c r="K1075" s="1214">
        <f t="shared" si="269"/>
        <v>-4900</v>
      </c>
      <c r="L1075" s="832"/>
      <c r="M1075" s="996">
        <f t="shared" si="261"/>
        <v>10</v>
      </c>
      <c r="N1075" s="832"/>
      <c r="O1075" s="832"/>
      <c r="P1075" s="832"/>
      <c r="Q1075" s="439"/>
      <c r="R1075" s="832">
        <f t="shared" si="270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60"/>
        <v>Sorghum: kg produced</v>
      </c>
      <c r="B1076" s="1204">
        <v>5</v>
      </c>
      <c r="C1076" s="1107">
        <f t="shared" si="262"/>
        <v>0</v>
      </c>
      <c r="D1076" s="1107">
        <f t="shared" si="263"/>
        <v>0</v>
      </c>
      <c r="E1076" s="1107">
        <f t="shared" si="264"/>
        <v>0</v>
      </c>
      <c r="F1076" s="1107">
        <f t="shared" si="265"/>
        <v>0</v>
      </c>
      <c r="G1076" s="832"/>
      <c r="H1076" s="1214">
        <f t="shared" si="266"/>
        <v>400</v>
      </c>
      <c r="I1076" s="1214">
        <f t="shared" si="267"/>
        <v>-400</v>
      </c>
      <c r="J1076" s="1214">
        <f t="shared" si="268"/>
        <v>0</v>
      </c>
      <c r="K1076" s="1214">
        <f t="shared" si="269"/>
        <v>0</v>
      </c>
      <c r="L1076" s="832"/>
      <c r="M1076" s="996">
        <f t="shared" si="261"/>
        <v>11</v>
      </c>
      <c r="N1076" s="832"/>
      <c r="O1076" s="832"/>
      <c r="P1076" s="832"/>
      <c r="Q1076" s="439"/>
      <c r="R1076" s="832">
        <f t="shared" si="270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60"/>
        <v>Beans: kg produced</v>
      </c>
      <c r="B1077" s="1204">
        <v>6</v>
      </c>
      <c r="C1077" s="1107">
        <f t="shared" si="262"/>
        <v>0</v>
      </c>
      <c r="D1077" s="1107">
        <f t="shared" si="263"/>
        <v>0</v>
      </c>
      <c r="E1077" s="1107">
        <f t="shared" si="264"/>
        <v>0</v>
      </c>
      <c r="F1077" s="1107">
        <f t="shared" si="265"/>
        <v>0</v>
      </c>
      <c r="G1077" s="832"/>
      <c r="H1077" s="1214">
        <f t="shared" si="266"/>
        <v>1050</v>
      </c>
      <c r="I1077" s="1214">
        <f t="shared" si="267"/>
        <v>0</v>
      </c>
      <c r="J1077" s="1214">
        <f t="shared" si="268"/>
        <v>2800</v>
      </c>
      <c r="K1077" s="1214">
        <f t="shared" si="269"/>
        <v>0</v>
      </c>
      <c r="L1077" s="832"/>
      <c r="M1077" s="996">
        <f t="shared" si="261"/>
        <v>15</v>
      </c>
      <c r="N1077" s="832"/>
      <c r="O1077" s="832"/>
      <c r="P1077" s="832"/>
      <c r="Q1077" s="439"/>
      <c r="R1077" s="832">
        <f t="shared" si="270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60"/>
        <v>Potato: no. local meas</v>
      </c>
      <c r="B1078" s="1204">
        <v>7</v>
      </c>
      <c r="C1078" s="1107">
        <f t="shared" si="262"/>
        <v>0</v>
      </c>
      <c r="D1078" s="1107">
        <f t="shared" si="263"/>
        <v>0</v>
      </c>
      <c r="E1078" s="1107">
        <f t="shared" si="264"/>
        <v>0</v>
      </c>
      <c r="F1078" s="1107">
        <f t="shared" si="265"/>
        <v>0</v>
      </c>
      <c r="G1078" s="832"/>
      <c r="H1078" s="1214">
        <f t="shared" si="266"/>
        <v>560</v>
      </c>
      <c r="I1078" s="1214">
        <f t="shared" si="267"/>
        <v>-560</v>
      </c>
      <c r="J1078" s="1214">
        <f t="shared" si="268"/>
        <v>3600</v>
      </c>
      <c r="K1078" s="1214">
        <f t="shared" si="269"/>
        <v>-3600</v>
      </c>
      <c r="L1078" s="832"/>
      <c r="M1078" s="996">
        <f t="shared" si="261"/>
        <v>21</v>
      </c>
      <c r="N1078" s="832"/>
      <c r="O1078" s="832"/>
      <c r="P1078" s="832"/>
      <c r="Q1078" s="439"/>
      <c r="R1078" s="832">
        <f t="shared" si="270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60"/>
        <v>Sweet Potatoes: no. local meas</v>
      </c>
      <c r="B1079" s="1204">
        <v>8</v>
      </c>
      <c r="C1079" s="1107">
        <f t="shared" si="262"/>
        <v>0</v>
      </c>
      <c r="D1079" s="1107">
        <f t="shared" si="263"/>
        <v>0</v>
      </c>
      <c r="E1079" s="1107">
        <f t="shared" si="264"/>
        <v>0</v>
      </c>
      <c r="F1079" s="1107">
        <f t="shared" si="265"/>
        <v>0</v>
      </c>
      <c r="G1079" s="832"/>
      <c r="H1079" s="1214">
        <f t="shared" si="266"/>
        <v>750</v>
      </c>
      <c r="I1079" s="1214">
        <f t="shared" si="267"/>
        <v>-750</v>
      </c>
      <c r="J1079" s="1214">
        <f t="shared" si="268"/>
        <v>3900</v>
      </c>
      <c r="K1079" s="1214">
        <f t="shared" si="269"/>
        <v>-3900</v>
      </c>
      <c r="L1079" s="832"/>
      <c r="M1079" s="996">
        <f t="shared" si="261"/>
        <v>22</v>
      </c>
      <c r="N1079" s="832"/>
      <c r="O1079" s="832"/>
      <c r="P1079" s="832"/>
      <c r="Q1079" s="439"/>
      <c r="R1079" s="832">
        <f t="shared" si="270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60"/>
        <v>Groundnuts (dry): no. local meas</v>
      </c>
      <c r="B1080" s="1204">
        <v>9</v>
      </c>
      <c r="C1080" s="1107">
        <f t="shared" si="262"/>
        <v>0</v>
      </c>
      <c r="D1080" s="1107">
        <f t="shared" si="263"/>
        <v>0</v>
      </c>
      <c r="E1080" s="1107">
        <f t="shared" si="264"/>
        <v>1000</v>
      </c>
      <c r="F1080" s="1107">
        <f t="shared" si="265"/>
        <v>-1000</v>
      </c>
      <c r="G1080" s="832"/>
      <c r="H1080" s="1214">
        <f t="shared" si="266"/>
        <v>1750</v>
      </c>
      <c r="I1080" s="1214">
        <f t="shared" si="267"/>
        <v>-1750</v>
      </c>
      <c r="J1080" s="1214">
        <f t="shared" si="268"/>
        <v>0</v>
      </c>
      <c r="K1080" s="1214">
        <f t="shared" si="269"/>
        <v>0</v>
      </c>
      <c r="L1080" s="832"/>
      <c r="M1080" s="996">
        <f t="shared" si="261"/>
        <v>23</v>
      </c>
      <c r="N1080" s="832"/>
      <c r="O1080" s="832"/>
      <c r="P1080" s="832"/>
      <c r="Q1080" s="439"/>
      <c r="R1080" s="832">
        <f t="shared" si="270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60"/>
        <v>Other crop: type (green vegetables)Cabbage</v>
      </c>
      <c r="B1081" s="1204">
        <v>10</v>
      </c>
      <c r="C1081" s="1107">
        <f t="shared" si="262"/>
        <v>0</v>
      </c>
      <c r="D1081" s="1107">
        <f t="shared" si="263"/>
        <v>0</v>
      </c>
      <c r="E1081" s="1107">
        <f t="shared" si="264"/>
        <v>0</v>
      </c>
      <c r="F1081" s="1107">
        <f t="shared" si="265"/>
        <v>0</v>
      </c>
      <c r="G1081" s="832"/>
      <c r="H1081" s="1214">
        <f t="shared" si="266"/>
        <v>250</v>
      </c>
      <c r="I1081" s="1214">
        <f t="shared" si="267"/>
        <v>-250</v>
      </c>
      <c r="J1081" s="1214">
        <f t="shared" si="268"/>
        <v>4200</v>
      </c>
      <c r="K1081" s="1214">
        <f t="shared" si="269"/>
        <v>-4200</v>
      </c>
      <c r="L1081" s="832"/>
      <c r="M1081" s="996">
        <f t="shared" si="261"/>
        <v>25</v>
      </c>
      <c r="N1081" s="832"/>
      <c r="O1081" s="832"/>
      <c r="P1081" s="832"/>
      <c r="Q1081" s="439"/>
      <c r="R1081" s="832">
        <f t="shared" si="270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60"/>
        <v>Other crop: pumpkin</v>
      </c>
      <c r="B1082" s="1204">
        <v>11</v>
      </c>
      <c r="C1082" s="1107">
        <f t="shared" si="262"/>
        <v>0</v>
      </c>
      <c r="D1082" s="1107">
        <f t="shared" si="263"/>
        <v>0</v>
      </c>
      <c r="E1082" s="1107">
        <f t="shared" si="264"/>
        <v>0</v>
      </c>
      <c r="F1082" s="1107">
        <f t="shared" si="265"/>
        <v>0</v>
      </c>
      <c r="G1082" s="832"/>
      <c r="H1082" s="1214">
        <f t="shared" si="266"/>
        <v>280</v>
      </c>
      <c r="I1082" s="1214">
        <f t="shared" si="267"/>
        <v>-280</v>
      </c>
      <c r="J1082" s="1214">
        <f t="shared" si="268"/>
        <v>600</v>
      </c>
      <c r="K1082" s="1214">
        <f t="shared" si="269"/>
        <v>-600</v>
      </c>
      <c r="L1082" s="832"/>
      <c r="M1082" s="996">
        <f t="shared" si="261"/>
        <v>26</v>
      </c>
      <c r="N1082" s="832"/>
      <c r="O1082" s="832"/>
      <c r="P1082" s="832"/>
      <c r="Q1082" s="439"/>
      <c r="R1082" s="832">
        <f t="shared" si="270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60"/>
        <v>Spinach: no produced</v>
      </c>
      <c r="B1083" s="1204">
        <v>12</v>
      </c>
      <c r="C1083" s="1107">
        <f t="shared" si="262"/>
        <v>0</v>
      </c>
      <c r="D1083" s="1107">
        <f t="shared" si="263"/>
        <v>0</v>
      </c>
      <c r="E1083" s="1107">
        <f t="shared" si="264"/>
        <v>0</v>
      </c>
      <c r="F1083" s="1107">
        <f t="shared" si="265"/>
        <v>0</v>
      </c>
      <c r="G1083" s="832"/>
      <c r="H1083" s="1214">
        <f t="shared" si="266"/>
        <v>100</v>
      </c>
      <c r="I1083" s="1214">
        <f t="shared" si="267"/>
        <v>0</v>
      </c>
      <c r="J1083" s="1214">
        <f t="shared" si="268"/>
        <v>3024</v>
      </c>
      <c r="K1083" s="1214">
        <f t="shared" si="269"/>
        <v>0</v>
      </c>
      <c r="L1083" s="832"/>
      <c r="M1083" s="996">
        <f t="shared" si="261"/>
        <v>27</v>
      </c>
      <c r="N1083" s="832"/>
      <c r="O1083" s="832"/>
      <c r="P1083" s="832"/>
      <c r="Q1083" s="439"/>
      <c r="R1083" s="832">
        <f t="shared" si="270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60"/>
        <v>Other cashcrop: kg produced (Tomato)</v>
      </c>
      <c r="B1084" s="1204">
        <v>13</v>
      </c>
      <c r="C1084" s="1107">
        <f t="shared" si="262"/>
        <v>0</v>
      </c>
      <c r="D1084" s="1107">
        <f t="shared" si="263"/>
        <v>0</v>
      </c>
      <c r="E1084" s="1107">
        <f t="shared" si="264"/>
        <v>0</v>
      </c>
      <c r="F1084" s="1107">
        <f t="shared" si="265"/>
        <v>0</v>
      </c>
      <c r="G1084" s="832"/>
      <c r="H1084" s="1214">
        <f t="shared" si="266"/>
        <v>88</v>
      </c>
      <c r="I1084" s="1214">
        <f t="shared" si="267"/>
        <v>0</v>
      </c>
      <c r="J1084" s="1214">
        <f t="shared" si="268"/>
        <v>1854</v>
      </c>
      <c r="K1084" s="1214">
        <f t="shared" si="269"/>
        <v>0</v>
      </c>
      <c r="L1084" s="832"/>
      <c r="M1084" s="996" t="str">
        <f t="shared" si="261"/>
        <v/>
      </c>
      <c r="N1084" s="832"/>
      <c r="O1084" s="832"/>
      <c r="P1084" s="832"/>
      <c r="Q1084" s="439"/>
      <c r="R1084" s="832" t="str">
        <f t="shared" si="270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60"/>
        <v>Other cashcrop: kg produced (Onions)</v>
      </c>
      <c r="B1085" s="1204">
        <v>14</v>
      </c>
      <c r="C1085" s="1107">
        <f t="shared" si="262"/>
        <v>240</v>
      </c>
      <c r="D1085" s="1107">
        <f t="shared" si="263"/>
        <v>0</v>
      </c>
      <c r="E1085" s="1107">
        <f t="shared" si="264"/>
        <v>225</v>
      </c>
      <c r="F1085" s="1107">
        <f t="shared" si="265"/>
        <v>0</v>
      </c>
      <c r="G1085" s="832"/>
      <c r="H1085" s="1214">
        <f t="shared" si="266"/>
        <v>140</v>
      </c>
      <c r="I1085" s="1214">
        <f t="shared" si="267"/>
        <v>0</v>
      </c>
      <c r="J1085" s="1214">
        <f t="shared" si="268"/>
        <v>0</v>
      </c>
      <c r="K1085" s="1214">
        <f t="shared" si="269"/>
        <v>0</v>
      </c>
      <c r="L1085" s="832"/>
      <c r="M1085" s="996" t="str">
        <f t="shared" si="261"/>
        <v/>
      </c>
      <c r="N1085" s="832"/>
      <c r="O1085" s="832"/>
      <c r="P1085" s="832"/>
      <c r="Q1085" s="439"/>
      <c r="R1085" s="832" t="str">
        <f t="shared" si="270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60"/>
        <v>Other cashcrop: kg produced (Amadumbe)</v>
      </c>
      <c r="B1086" s="1204">
        <v>15</v>
      </c>
      <c r="C1086" s="1107">
        <f t="shared" si="262"/>
        <v>0</v>
      </c>
      <c r="D1086" s="1107">
        <f t="shared" si="263"/>
        <v>0</v>
      </c>
      <c r="E1086" s="1107">
        <f t="shared" si="264"/>
        <v>0</v>
      </c>
      <c r="F1086" s="1107">
        <f t="shared" si="265"/>
        <v>0</v>
      </c>
      <c r="G1086" s="832"/>
      <c r="H1086" s="1214">
        <f t="shared" si="266"/>
        <v>0</v>
      </c>
      <c r="I1086" s="1214">
        <f t="shared" si="267"/>
        <v>0</v>
      </c>
      <c r="J1086" s="1214">
        <f t="shared" si="268"/>
        <v>480</v>
      </c>
      <c r="K1086" s="1214">
        <f t="shared" si="269"/>
        <v>0</v>
      </c>
      <c r="L1086" s="832"/>
      <c r="M1086" s="996" t="str">
        <f t="shared" si="261"/>
        <v/>
      </c>
      <c r="N1086" s="832"/>
      <c r="O1086" s="832"/>
      <c r="P1086" s="832"/>
      <c r="Q1086" s="439"/>
      <c r="R1086" s="832" t="str">
        <f t="shared" si="270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60"/>
        <v>Sugercane: MT sold</v>
      </c>
      <c r="B1087" s="1204">
        <v>16</v>
      </c>
      <c r="C1087" s="1107">
        <f t="shared" si="262"/>
        <v>0</v>
      </c>
      <c r="D1087" s="1107">
        <f t="shared" si="263"/>
        <v>0</v>
      </c>
      <c r="E1087" s="1107">
        <f t="shared" si="264"/>
        <v>0</v>
      </c>
      <c r="F1087" s="1107">
        <f t="shared" si="265"/>
        <v>0</v>
      </c>
      <c r="G1087" s="832"/>
      <c r="H1087" s="1214">
        <f t="shared" si="266"/>
        <v>0</v>
      </c>
      <c r="I1087" s="1214">
        <f t="shared" si="267"/>
        <v>0</v>
      </c>
      <c r="J1087" s="1214">
        <f t="shared" si="268"/>
        <v>12100</v>
      </c>
      <c r="K1087" s="1214">
        <f t="shared" si="269"/>
        <v>0</v>
      </c>
      <c r="L1087" s="832"/>
      <c r="M1087" s="996" t="str">
        <f t="shared" si="261"/>
        <v/>
      </c>
      <c r="N1087" s="832"/>
      <c r="O1087" s="832"/>
      <c r="P1087" s="832"/>
      <c r="Q1087" s="439"/>
      <c r="R1087" s="832" t="str">
        <f t="shared" si="270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60"/>
        <v>WILD FOODS -- see worksheet Data 3</v>
      </c>
      <c r="B1088" s="1204">
        <v>17</v>
      </c>
      <c r="C1088" s="1107">
        <f t="shared" si="262"/>
        <v>670</v>
      </c>
      <c r="D1088" s="1107">
        <f t="shared" si="263"/>
        <v>80</v>
      </c>
      <c r="E1088" s="1107">
        <f t="shared" si="264"/>
        <v>0</v>
      </c>
      <c r="F1088" s="1107">
        <f t="shared" si="265"/>
        <v>750</v>
      </c>
      <c r="G1088" s="832"/>
      <c r="H1088" s="1214">
        <f t="shared" si="266"/>
        <v>0</v>
      </c>
      <c r="I1088" s="1214">
        <f t="shared" si="267"/>
        <v>0</v>
      </c>
      <c r="J1088" s="1214">
        <f t="shared" si="268"/>
        <v>0</v>
      </c>
      <c r="K1088" s="1214">
        <f t="shared" si="269"/>
        <v>0</v>
      </c>
      <c r="L1088" s="832"/>
      <c r="M1088" s="996">
        <f t="shared" si="261"/>
        <v>29</v>
      </c>
      <c r="N1088" s="832"/>
      <c r="O1088" s="832"/>
      <c r="P1088" s="832"/>
      <c r="Q1088" s="439"/>
      <c r="R1088" s="832">
        <f t="shared" si="270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60"/>
        <v>Agricultural cash income -- see Data2</v>
      </c>
      <c r="B1089" s="1204">
        <v>18</v>
      </c>
      <c r="C1089" s="1107">
        <f t="shared" si="262"/>
        <v>6300</v>
      </c>
      <c r="D1089" s="1107">
        <f t="shared" si="263"/>
        <v>0</v>
      </c>
      <c r="E1089" s="1107">
        <f t="shared" si="264"/>
        <v>1260</v>
      </c>
      <c r="F1089" s="1107">
        <f t="shared" si="265"/>
        <v>0</v>
      </c>
      <c r="G1089" s="832"/>
      <c r="H1089" s="1214">
        <f t="shared" si="266"/>
        <v>0</v>
      </c>
      <c r="I1089" s="1214">
        <f t="shared" si="267"/>
        <v>0</v>
      </c>
      <c r="J1089" s="1214">
        <f t="shared" si="268"/>
        <v>0</v>
      </c>
      <c r="K1089" s="1214">
        <f t="shared" si="269"/>
        <v>0</v>
      </c>
      <c r="L1089" s="832"/>
      <c r="M1089" s="996" t="str">
        <f t="shared" si="261"/>
        <v/>
      </c>
      <c r="N1089" s="832"/>
      <c r="O1089" s="832"/>
      <c r="P1089" s="832"/>
      <c r="Q1089" s="439"/>
      <c r="R1089" s="832" t="str">
        <f t="shared" si="270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60"/>
        <v>Construction cash income -- see Data2</v>
      </c>
      <c r="B1090" s="1204">
        <v>19</v>
      </c>
      <c r="C1090" s="1107">
        <f t="shared" si="262"/>
        <v>6720</v>
      </c>
      <c r="D1090" s="1107">
        <f t="shared" si="263"/>
        <v>0</v>
      </c>
      <c r="E1090" s="1107">
        <f t="shared" si="264"/>
        <v>0</v>
      </c>
      <c r="F1090" s="1107">
        <f t="shared" si="265"/>
        <v>0</v>
      </c>
      <c r="G1090" s="832"/>
      <c r="H1090" s="1214">
        <f t="shared" si="266"/>
        <v>0</v>
      </c>
      <c r="I1090" s="1214">
        <f t="shared" si="267"/>
        <v>0</v>
      </c>
      <c r="J1090" s="1214">
        <f t="shared" si="268"/>
        <v>0</v>
      </c>
      <c r="K1090" s="1214">
        <f t="shared" si="269"/>
        <v>0</v>
      </c>
      <c r="L1090" s="832"/>
      <c r="M1090" s="996" t="str">
        <f t="shared" si="261"/>
        <v/>
      </c>
      <c r="N1090" s="832"/>
      <c r="O1090" s="832"/>
      <c r="P1090" s="832"/>
      <c r="Q1090" s="439"/>
      <c r="R1090" s="832" t="str">
        <f t="shared" si="270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60"/>
        <v>Domestic work cash income -- see Data2</v>
      </c>
      <c r="B1091" s="1204">
        <v>20</v>
      </c>
      <c r="C1091" s="1107">
        <f t="shared" si="262"/>
        <v>2000</v>
      </c>
      <c r="D1091" s="1107">
        <f t="shared" si="263"/>
        <v>0</v>
      </c>
      <c r="E1091" s="1107">
        <f t="shared" si="264"/>
        <v>0</v>
      </c>
      <c r="F1091" s="1107">
        <f t="shared" si="265"/>
        <v>0</v>
      </c>
      <c r="G1091" s="832"/>
      <c r="H1091" s="1214">
        <f t="shared" si="266"/>
        <v>0</v>
      </c>
      <c r="I1091" s="1214">
        <f t="shared" si="267"/>
        <v>0</v>
      </c>
      <c r="J1091" s="1214">
        <f t="shared" si="268"/>
        <v>0</v>
      </c>
      <c r="K1091" s="1214">
        <f t="shared" si="269"/>
        <v>0</v>
      </c>
      <c r="L1091" s="832"/>
      <c r="M1091" s="996" t="str">
        <f t="shared" si="261"/>
        <v/>
      </c>
      <c r="N1091" s="832"/>
      <c r="O1091" s="832"/>
      <c r="P1091" s="832"/>
      <c r="Q1091" s="439"/>
      <c r="R1091" s="832" t="str">
        <f t="shared" si="270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60"/>
        <v>Formal Employment (conservancies, etc.)</v>
      </c>
      <c r="B1092" s="1204">
        <v>21</v>
      </c>
      <c r="C1092" s="1107">
        <f t="shared" si="262"/>
        <v>0</v>
      </c>
      <c r="D1092" s="1107">
        <f t="shared" si="263"/>
        <v>0</v>
      </c>
      <c r="E1092" s="1107">
        <f t="shared" si="264"/>
        <v>0</v>
      </c>
      <c r="F1092" s="1107">
        <f t="shared" si="265"/>
        <v>0</v>
      </c>
      <c r="G1092" s="832"/>
      <c r="H1092" s="1214">
        <f t="shared" si="266"/>
        <v>102000</v>
      </c>
      <c r="I1092" s="1214">
        <f t="shared" si="267"/>
        <v>0</v>
      </c>
      <c r="J1092" s="1214">
        <f t="shared" si="268"/>
        <v>132000</v>
      </c>
      <c r="K1092" s="1214">
        <f t="shared" si="269"/>
        <v>0</v>
      </c>
      <c r="L1092" s="832"/>
      <c r="M1092" s="996" t="str">
        <f t="shared" si="261"/>
        <v/>
      </c>
      <c r="N1092" s="832"/>
      <c r="O1092" s="832"/>
      <c r="P1092" s="832"/>
      <c r="Q1092" s="439"/>
      <c r="R1092" s="832" t="str">
        <f t="shared" si="270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60"/>
        <v>Self-employment -- see Data2</v>
      </c>
      <c r="B1093" s="1204">
        <v>22</v>
      </c>
      <c r="C1093" s="1107">
        <f t="shared" si="262"/>
        <v>6000</v>
      </c>
      <c r="D1093" s="1107">
        <f t="shared" si="263"/>
        <v>1200</v>
      </c>
      <c r="E1093" s="1107">
        <f t="shared" si="264"/>
        <v>2832</v>
      </c>
      <c r="F1093" s="1107">
        <f t="shared" si="265"/>
        <v>566.40000000000009</v>
      </c>
      <c r="G1093" s="832"/>
      <c r="H1093" s="1214">
        <f t="shared" si="266"/>
        <v>0</v>
      </c>
      <c r="I1093" s="1214">
        <f t="shared" si="267"/>
        <v>0</v>
      </c>
      <c r="J1093" s="1214">
        <f t="shared" si="268"/>
        <v>0</v>
      </c>
      <c r="K1093" s="1214">
        <f t="shared" si="269"/>
        <v>0</v>
      </c>
      <c r="L1093" s="832"/>
      <c r="M1093" s="996" t="str">
        <f t="shared" si="261"/>
        <v/>
      </c>
      <c r="N1093" s="832"/>
      <c r="O1093" s="832"/>
      <c r="P1093" s="832"/>
      <c r="Q1093" s="439"/>
      <c r="R1093" s="832" t="str">
        <f t="shared" si="270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60"/>
        <v>Small business -- see Data2</v>
      </c>
      <c r="B1094" s="1204">
        <v>23</v>
      </c>
      <c r="C1094" s="1107">
        <f t="shared" si="262"/>
        <v>0</v>
      </c>
      <c r="D1094" s="1107">
        <f t="shared" si="263"/>
        <v>0</v>
      </c>
      <c r="E1094" s="1107">
        <f t="shared" si="264"/>
        <v>0</v>
      </c>
      <c r="F1094" s="1107">
        <f t="shared" si="265"/>
        <v>0</v>
      </c>
      <c r="G1094" s="832"/>
      <c r="H1094" s="1214">
        <f t="shared" si="266"/>
        <v>0</v>
      </c>
      <c r="I1094" s="1214">
        <f t="shared" si="267"/>
        <v>0</v>
      </c>
      <c r="J1094" s="1214">
        <f t="shared" si="268"/>
        <v>24000</v>
      </c>
      <c r="K1094" s="1214">
        <f t="shared" si="269"/>
        <v>0</v>
      </c>
      <c r="L1094" s="832"/>
      <c r="M1094" s="996" t="str">
        <f t="shared" si="261"/>
        <v/>
      </c>
      <c r="N1094" s="832"/>
      <c r="O1094" s="832"/>
      <c r="P1094" s="832"/>
      <c r="Q1094" s="439"/>
      <c r="R1094" s="832" t="str">
        <f t="shared" si="270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71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62"/>
        <v>12180</v>
      </c>
      <c r="D1095" s="1107">
        <f t="shared" ref="D1095" si="272">IF($A1095="","",LOOKUP($B1095,$T$904:$T$983,M$904:M$983))</f>
        <v>0</v>
      </c>
      <c r="E1095" s="1107">
        <f t="shared" ref="E1095" si="273">IF($A1095="","",LOOKUP($B1095,$T$904:$T$983,D$904:D$983))</f>
        <v>24840</v>
      </c>
      <c r="F1095" s="1107">
        <f t="shared" ref="F1095" si="274">IF($A1095="","",LOOKUP($B1095,$T$904:$T$983,N$904:N$983))</f>
        <v>0</v>
      </c>
      <c r="G1095" s="832"/>
      <c r="H1095" s="1214">
        <f t="shared" ref="H1095" si="275">IF($A1095="","",LOOKUP($B1095,$T$904:$T$983,E$904:E$983))</f>
        <v>7440</v>
      </c>
      <c r="I1095" s="1214">
        <f t="shared" ref="I1095" si="276">IF($A1095="","",LOOKUP($B1095,$T$904:$T$983,O$904:O$983))</f>
        <v>0</v>
      </c>
      <c r="J1095" s="1214">
        <f t="shared" ref="J1095" si="277">IF($A1095="","",LOOKUP($B1095,$T$904:$T$983,F$904:F$983))</f>
        <v>7440</v>
      </c>
      <c r="K1095" s="1214">
        <f t="shared" ref="K1095" si="278">IF($A1095="","",LOOKUP($B1095,$T$904:$T$983,P$904:P$983))</f>
        <v>0</v>
      </c>
      <c r="L1095" s="832"/>
      <c r="M1095" s="996" t="str">
        <f t="shared" ref="M1095" si="279">IF(LOOKUP(R1095,R$1044:R$1065,R$1044:R$1065)=R1095,R1095,"")</f>
        <v/>
      </c>
      <c r="N1095" s="832"/>
      <c r="O1095" s="832"/>
      <c r="P1095" s="832"/>
      <c r="Q1095" s="439"/>
      <c r="R1095" s="832" t="str">
        <f t="shared" si="270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80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62"/>
        <v>0</v>
      </c>
      <c r="D1096" s="1107">
        <f t="shared" ref="D1096:D1099" si="281">IF($A1096="","",LOOKUP($B1096,$T$904:$T$983,M$904:M$983))</f>
        <v>0</v>
      </c>
      <c r="E1096" s="1107">
        <f t="shared" ref="E1096:E1099" si="282">IF($A1096="","",LOOKUP($B1096,$T$904:$T$983,D$904:D$983))</f>
        <v>6000</v>
      </c>
      <c r="F1096" s="1107">
        <f t="shared" ref="F1096:F1099" si="283">IF($A1096="","",LOOKUP($B1096,$T$904:$T$983,N$904:N$983))</f>
        <v>0</v>
      </c>
      <c r="G1096" s="832"/>
      <c r="H1096" s="1214">
        <f t="shared" ref="H1096:H1099" si="284">IF($A1096="","",LOOKUP($B1096,$T$904:$T$983,E$904:E$983))</f>
        <v>0</v>
      </c>
      <c r="I1096" s="1214">
        <f t="shared" ref="I1096:I1099" si="285">IF($A1096="","",LOOKUP($B1096,$T$904:$T$983,O$904:O$983))</f>
        <v>0</v>
      </c>
      <c r="J1096" s="1214">
        <f t="shared" ref="J1096:J1099" si="286">IF($A1096="","",LOOKUP($B1096,$T$904:$T$983,F$904:F$983))</f>
        <v>0</v>
      </c>
      <c r="K1096" s="1214">
        <f t="shared" ref="K1096:K1099" si="287">IF($A1096="","",LOOKUP($B1096,$T$904:$T$983,P$904:P$983))</f>
        <v>0</v>
      </c>
      <c r="L1096" s="832"/>
      <c r="M1096" s="996" t="str">
        <f t="shared" ref="M1096:M1099" si="288">IF(LOOKUP(R1096,R$1044:R$1065,R$1044:R$1065)=R1096,R1096,"")</f>
        <v/>
      </c>
      <c r="N1096" s="832"/>
      <c r="O1096" s="832"/>
      <c r="P1096" s="832"/>
      <c r="Q1096" s="439"/>
      <c r="R1096" s="832" t="str">
        <f t="shared" si="270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80"/>
        <v/>
      </c>
      <c r="B1097" s="1204">
        <v>26</v>
      </c>
      <c r="C1097" s="1107" t="str">
        <f t="shared" si="262"/>
        <v/>
      </c>
      <c r="D1097" s="1107" t="str">
        <f t="shared" si="281"/>
        <v/>
      </c>
      <c r="E1097" s="1107" t="str">
        <f t="shared" si="282"/>
        <v/>
      </c>
      <c r="F1097" s="1107" t="str">
        <f t="shared" si="283"/>
        <v/>
      </c>
      <c r="G1097" s="832"/>
      <c r="H1097" s="1214" t="str">
        <f t="shared" si="284"/>
        <v/>
      </c>
      <c r="I1097" s="1214" t="str">
        <f t="shared" si="285"/>
        <v/>
      </c>
      <c r="J1097" s="1214" t="str">
        <f t="shared" si="286"/>
        <v/>
      </c>
      <c r="K1097" s="1214" t="str">
        <f t="shared" si="287"/>
        <v/>
      </c>
      <c r="L1097" s="832"/>
      <c r="M1097" s="996" t="str">
        <f t="shared" si="288"/>
        <v/>
      </c>
      <c r="N1097" s="832"/>
      <c r="O1097" s="832"/>
      <c r="P1097" s="832"/>
      <c r="Q1097" s="439"/>
      <c r="R1097" s="832" t="str">
        <f t="shared" si="270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80"/>
        <v/>
      </c>
      <c r="B1098" s="1204">
        <v>27</v>
      </c>
      <c r="C1098" s="1107" t="str">
        <f t="shared" si="262"/>
        <v/>
      </c>
      <c r="D1098" s="1107" t="str">
        <f t="shared" si="281"/>
        <v/>
      </c>
      <c r="E1098" s="1107" t="str">
        <f t="shared" si="282"/>
        <v/>
      </c>
      <c r="F1098" s="1107" t="str">
        <f t="shared" si="283"/>
        <v/>
      </c>
      <c r="G1098" s="832"/>
      <c r="H1098" s="1214" t="str">
        <f t="shared" si="284"/>
        <v/>
      </c>
      <c r="I1098" s="1214" t="str">
        <f t="shared" si="285"/>
        <v/>
      </c>
      <c r="J1098" s="1214" t="str">
        <f t="shared" si="286"/>
        <v/>
      </c>
      <c r="K1098" s="1214" t="str">
        <f t="shared" si="287"/>
        <v/>
      </c>
      <c r="L1098" s="832"/>
      <c r="M1098" s="996" t="str">
        <f t="shared" si="288"/>
        <v/>
      </c>
      <c r="N1098" s="832"/>
      <c r="O1098" s="832"/>
      <c r="P1098" s="832"/>
      <c r="Q1098" s="439"/>
      <c r="R1098" s="832" t="str">
        <f t="shared" si="270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80"/>
        <v/>
      </c>
      <c r="B1099" s="1204">
        <v>28</v>
      </c>
      <c r="C1099" s="1107" t="str">
        <f t="shared" si="262"/>
        <v/>
      </c>
      <c r="D1099" s="1107" t="str">
        <f t="shared" si="281"/>
        <v/>
      </c>
      <c r="E1099" s="1107" t="str">
        <f t="shared" si="282"/>
        <v/>
      </c>
      <c r="F1099" s="1107" t="str">
        <f t="shared" si="283"/>
        <v/>
      </c>
      <c r="G1099" s="832"/>
      <c r="H1099" s="1214" t="str">
        <f t="shared" si="284"/>
        <v/>
      </c>
      <c r="I1099" s="1214" t="str">
        <f t="shared" si="285"/>
        <v/>
      </c>
      <c r="J1099" s="1214" t="str">
        <f t="shared" si="286"/>
        <v/>
      </c>
      <c r="K1099" s="1214" t="str">
        <f t="shared" si="287"/>
        <v/>
      </c>
      <c r="L1099" s="832"/>
      <c r="M1099" s="996" t="str">
        <f t="shared" si="288"/>
        <v/>
      </c>
      <c r="N1099" s="832"/>
      <c r="O1099" s="832"/>
      <c r="P1099" s="832"/>
      <c r="Q1099" s="439"/>
      <c r="R1099" s="832" t="str">
        <f t="shared" si="270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289">SUM(D1072:D1099)</f>
        <v>1280</v>
      </c>
      <c r="E1100" s="1107">
        <f t="shared" si="289"/>
        <v>40380</v>
      </c>
      <c r="F1100" s="1107">
        <f t="shared" si="289"/>
        <v>316.40000000000009</v>
      </c>
      <c r="G1100" s="832"/>
      <c r="H1100" s="1107">
        <f t="shared" ref="H1100:K1100" si="290">SUM(H1072:H1099)</f>
        <v>138877</v>
      </c>
      <c r="I1100" s="1107">
        <f t="shared" si="290"/>
        <v>-18212</v>
      </c>
      <c r="J1100" s="1107">
        <f t="shared" si="290"/>
        <v>230926</v>
      </c>
      <c r="K1100" s="1107">
        <f t="shared" si="290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1.3333064367168097</v>
      </c>
      <c r="F1103" s="1238">
        <f>N900</f>
        <v>0.3241475286307296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40380</v>
      </c>
      <c r="F1105" s="1205">
        <f>N985</f>
        <v>316.40000000000009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9540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6889.3990649765783</v>
      </c>
      <c r="D1111" s="1205">
        <f>E1038*365*E1039*E1040</f>
        <v>8857.7987978270303</v>
      </c>
      <c r="E1111" s="1205">
        <f>H1038*365*H1039*H1040</f>
        <v>6889.3990649765783</v>
      </c>
      <c r="F1111" s="1205">
        <f>J1038*365*J1039*J1040</f>
        <v>8857.7987978270303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291">A830</f>
        <v>Green cons - Season 1: no of months</v>
      </c>
      <c r="B1114" s="832"/>
      <c r="C1114" s="1236">
        <f t="shared" ref="C1114:F1115" si="292">MAX(SUM(C830,M830),SUM(C830))</f>
        <v>2.6666666666666665E-2</v>
      </c>
      <c r="D1114" s="1236">
        <f t="shared" si="292"/>
        <v>2.6666666666666665E-2</v>
      </c>
      <c r="E1114" s="1236">
        <f t="shared" si="292"/>
        <v>2.6666666666666665E-2</v>
      </c>
      <c r="F1114" s="1236">
        <f t="shared" si="292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293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291"/>
        <v xml:space="preserve">Green beans </v>
      </c>
      <c r="B1115" s="832"/>
      <c r="C1115" s="1236">
        <f t="shared" si="292"/>
        <v>0</v>
      </c>
      <c r="D1115" s="1236">
        <f t="shared" si="292"/>
        <v>0</v>
      </c>
      <c r="E1115" s="1236">
        <f t="shared" si="292"/>
        <v>0</v>
      </c>
      <c r="F1115" s="1236">
        <f t="shared" si="292"/>
        <v>0</v>
      </c>
      <c r="G1115" s="832"/>
      <c r="H1115" s="46"/>
      <c r="I1115" s="46"/>
      <c r="J1115" s="46"/>
      <c r="K1115" s="46"/>
      <c r="L1115" s="44"/>
      <c r="M1115" s="1227" t="str">
        <f t="shared" si="293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291"/>
        <v>Maize: kg produced</v>
      </c>
      <c r="B1116" s="832"/>
      <c r="C1116" s="1236">
        <f t="shared" ref="C1116:C1133" si="294">IF(C$1111=0,0,MAX((SUM(C832,M832)+SUM(C932,M932)/C$1111),(SUM(C832)+SUM(C932)/C$1111)))</f>
        <v>0.16358016046966731</v>
      </c>
      <c r="D1116" s="1236">
        <f t="shared" ref="D1116:D1133" si="295">IF(D$1111=0,0,MAX((SUM(D832,N832)+SUM(D932,N932)/D$1111),(SUM(D832)+SUM(D932)/D$1111)))</f>
        <v>0.18138020547945205</v>
      </c>
      <c r="E1116" s="1236">
        <f t="shared" ref="E1116:E1133" si="296">IF(E$1111=0,0,MAX((SUM(E832,O832)+SUM(E932,O932)/E$1111),(SUM(E832)+SUM(E932)/E$1111)))</f>
        <v>0.28727920743639918</v>
      </c>
      <c r="F1116" s="1236">
        <f t="shared" ref="F1116:F1133" si="297">IF(F$1111=0,0,MAX((SUM(F832,P832)+SUM(F932,P932)/F$1111),(SUM(F832)+SUM(F932)/F$1111)))</f>
        <v>1.2223448630136986</v>
      </c>
      <c r="G1116" s="832"/>
      <c r="H1116" s="1237">
        <f t="shared" ref="H1116:H1133" si="298">IF(C$1111=0,0,MAX(SUM(C932,M932)/C$1111,SUM(C932)/C$1111))</f>
        <v>0</v>
      </c>
      <c r="I1116" s="1237">
        <f t="shared" ref="I1116:I1133" si="299">IF(D$1111=0,0,MAX(SUM(D932,N932)/D$1111,SUM(D932)/D$1111))</f>
        <v>0</v>
      </c>
      <c r="J1116" s="1237">
        <f t="shared" ref="J1116:J1133" si="300">IF(E$1111=0,0,MAX(SUM(E932,O932)/E$1111,SUM(E932)/E$1111))</f>
        <v>0.11931374452944317</v>
      </c>
      <c r="K1116" s="1237">
        <f t="shared" ref="K1116:K1133" si="301">IF(F$1111=0,0,MAX(SUM(F932,P932)/F$1111,SUM(F932)/F$1111))</f>
        <v>0.55318483878884828</v>
      </c>
      <c r="L1116" s="44"/>
      <c r="M1116" s="1227" t="str">
        <f t="shared" si="293"/>
        <v>yes</v>
      </c>
      <c r="N1116" s="1241" t="str">
        <f t="shared" ref="N1116:N1135" si="302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291"/>
        <v>Sorghum: kg produced</v>
      </c>
      <c r="B1117" s="832"/>
      <c r="C1117" s="1236">
        <f t="shared" si="294"/>
        <v>0</v>
      </c>
      <c r="D1117" s="1236">
        <f t="shared" si="295"/>
        <v>0</v>
      </c>
      <c r="E1117" s="1236">
        <f t="shared" si="296"/>
        <v>9.9158112435509704E-2</v>
      </c>
      <c r="F1117" s="1236">
        <f t="shared" si="297"/>
        <v>0</v>
      </c>
      <c r="G1117" s="832"/>
      <c r="H1117" s="1237">
        <f t="shared" si="298"/>
        <v>0</v>
      </c>
      <c r="I1117" s="1237">
        <f t="shared" si="299"/>
        <v>0</v>
      </c>
      <c r="J1117" s="1237">
        <f t="shared" si="300"/>
        <v>5.8060216316030734E-2</v>
      </c>
      <c r="K1117" s="1237">
        <f t="shared" si="301"/>
        <v>0</v>
      </c>
      <c r="L1117" s="44"/>
      <c r="M1117" s="1227" t="str">
        <f t="shared" si="293"/>
        <v/>
      </c>
      <c r="N1117" s="1241" t="str">
        <f t="shared" si="302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291"/>
        <v>High value cereal: kg produced</v>
      </c>
      <c r="B1118" s="832"/>
      <c r="C1118" s="1236">
        <f t="shared" si="294"/>
        <v>0</v>
      </c>
      <c r="D1118" s="1236">
        <f t="shared" si="295"/>
        <v>0</v>
      </c>
      <c r="E1118" s="1236">
        <f t="shared" si="296"/>
        <v>0</v>
      </c>
      <c r="F1118" s="1236">
        <f t="shared" si="297"/>
        <v>0</v>
      </c>
      <c r="G1118" s="832"/>
      <c r="H1118" s="1237">
        <f t="shared" si="298"/>
        <v>0</v>
      </c>
      <c r="I1118" s="1237">
        <f t="shared" si="299"/>
        <v>0</v>
      </c>
      <c r="J1118" s="1237">
        <f t="shared" si="300"/>
        <v>0</v>
      </c>
      <c r="K1118" s="1237">
        <f t="shared" si="301"/>
        <v>0</v>
      </c>
      <c r="L1118" s="44"/>
      <c r="M1118" s="1227" t="str">
        <f t="shared" si="293"/>
        <v/>
      </c>
      <c r="N1118" s="1241" t="str">
        <f t="shared" si="302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291"/>
        <v>High value cereal: kg produced</v>
      </c>
      <c r="B1119" s="832"/>
      <c r="C1119" s="1236">
        <f t="shared" si="294"/>
        <v>0</v>
      </c>
      <c r="D1119" s="1236">
        <f t="shared" si="295"/>
        <v>0</v>
      </c>
      <c r="E1119" s="1236">
        <f t="shared" si="296"/>
        <v>0</v>
      </c>
      <c r="F1119" s="1236">
        <f t="shared" si="297"/>
        <v>0</v>
      </c>
      <c r="G1119" s="832"/>
      <c r="H1119" s="1237">
        <f t="shared" si="298"/>
        <v>0</v>
      </c>
      <c r="I1119" s="1237">
        <f t="shared" si="299"/>
        <v>0</v>
      </c>
      <c r="J1119" s="1237">
        <f t="shared" si="300"/>
        <v>0</v>
      </c>
      <c r="K1119" s="1237">
        <f t="shared" si="301"/>
        <v>0</v>
      </c>
      <c r="L1119" s="44"/>
      <c r="M1119" s="1227" t="str">
        <f t="shared" si="293"/>
        <v/>
      </c>
      <c r="N1119" s="1241" t="str">
        <f t="shared" si="302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291"/>
        <v>Cowpeas: kg produced</v>
      </c>
      <c r="B1120" s="832"/>
      <c r="C1120" s="1236">
        <f t="shared" si="294"/>
        <v>0</v>
      </c>
      <c r="D1120" s="1236">
        <f t="shared" si="295"/>
        <v>0</v>
      </c>
      <c r="E1120" s="1236">
        <f t="shared" si="296"/>
        <v>0</v>
      </c>
      <c r="F1120" s="1236">
        <f t="shared" si="297"/>
        <v>0</v>
      </c>
      <c r="G1120" s="832"/>
      <c r="H1120" s="1237">
        <f t="shared" si="298"/>
        <v>0</v>
      </c>
      <c r="I1120" s="1237">
        <f t="shared" si="299"/>
        <v>0</v>
      </c>
      <c r="J1120" s="1237">
        <f t="shared" si="300"/>
        <v>0</v>
      </c>
      <c r="K1120" s="1237">
        <f t="shared" si="301"/>
        <v>0</v>
      </c>
      <c r="L1120" s="44"/>
      <c r="M1120" s="1227" t="str">
        <f t="shared" si="293"/>
        <v/>
      </c>
      <c r="N1120" s="1241" t="str">
        <f t="shared" si="302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291"/>
        <v>Beans: kg produced</v>
      </c>
      <c r="B1121" s="832"/>
      <c r="C1121" s="1236">
        <f t="shared" si="294"/>
        <v>3.1563004803415763E-2</v>
      </c>
      <c r="D1121" s="1236">
        <f t="shared" si="295"/>
        <v>3.6332525529265254E-2</v>
      </c>
      <c r="E1121" s="1236">
        <f t="shared" si="296"/>
        <v>0.19280871397795285</v>
      </c>
      <c r="F1121" s="1236">
        <f t="shared" si="297"/>
        <v>0.40448203561462026</v>
      </c>
      <c r="G1121" s="832"/>
      <c r="H1121" s="1237">
        <f t="shared" si="298"/>
        <v>0</v>
      </c>
      <c r="I1121" s="1237">
        <f t="shared" si="299"/>
        <v>0</v>
      </c>
      <c r="J1121" s="1237">
        <f t="shared" si="300"/>
        <v>0.15240806782958066</v>
      </c>
      <c r="K1121" s="1237">
        <f t="shared" si="301"/>
        <v>0.31610562216505617</v>
      </c>
      <c r="L1121" s="44"/>
      <c r="M1121" s="1227" t="str">
        <f t="shared" si="293"/>
        <v>yes</v>
      </c>
      <c r="N1121" s="1241" t="str">
        <f t="shared" si="302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291"/>
        <v>Millet: kg produced</v>
      </c>
      <c r="B1122" s="832"/>
      <c r="C1122" s="1236">
        <f t="shared" si="294"/>
        <v>0</v>
      </c>
      <c r="D1122" s="1236">
        <f t="shared" si="295"/>
        <v>0</v>
      </c>
      <c r="E1122" s="1236">
        <f t="shared" si="296"/>
        <v>0</v>
      </c>
      <c r="F1122" s="1236">
        <f t="shared" si="297"/>
        <v>0</v>
      </c>
      <c r="G1122" s="832"/>
      <c r="H1122" s="1237">
        <f t="shared" si="298"/>
        <v>0</v>
      </c>
      <c r="I1122" s="1237">
        <f t="shared" si="299"/>
        <v>0</v>
      </c>
      <c r="J1122" s="1237">
        <f t="shared" si="300"/>
        <v>0</v>
      </c>
      <c r="K1122" s="1237">
        <f t="shared" si="301"/>
        <v>0</v>
      </c>
      <c r="L1122" s="44"/>
      <c r="M1122" s="1227" t="str">
        <f t="shared" si="293"/>
        <v/>
      </c>
      <c r="N1122" s="1241" t="str">
        <f t="shared" si="302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291"/>
        <v>Finger millet: kg produced</v>
      </c>
      <c r="B1123" s="832"/>
      <c r="C1123" s="1236">
        <f t="shared" si="294"/>
        <v>0</v>
      </c>
      <c r="D1123" s="1236">
        <f t="shared" si="295"/>
        <v>0</v>
      </c>
      <c r="E1123" s="1236">
        <f t="shared" si="296"/>
        <v>0</v>
      </c>
      <c r="F1123" s="1236">
        <f t="shared" si="297"/>
        <v>0</v>
      </c>
      <c r="G1123" s="832"/>
      <c r="H1123" s="1237">
        <f t="shared" si="298"/>
        <v>0</v>
      </c>
      <c r="I1123" s="1237">
        <f t="shared" si="299"/>
        <v>0</v>
      </c>
      <c r="J1123" s="1237">
        <f t="shared" si="300"/>
        <v>0</v>
      </c>
      <c r="K1123" s="1237">
        <f t="shared" si="301"/>
        <v>0</v>
      </c>
      <c r="L1123" s="44"/>
      <c r="M1123" s="1227" t="str">
        <f t="shared" si="293"/>
        <v/>
      </c>
      <c r="N1123" s="1241" t="str">
        <f t="shared" si="302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291"/>
        <v>Wheat: kg produced</v>
      </c>
      <c r="B1124" s="832"/>
      <c r="C1124" s="1236">
        <f t="shared" si="294"/>
        <v>0</v>
      </c>
      <c r="D1124" s="1236">
        <f t="shared" si="295"/>
        <v>0</v>
      </c>
      <c r="E1124" s="1236">
        <f t="shared" si="296"/>
        <v>0</v>
      </c>
      <c r="F1124" s="1236">
        <f t="shared" si="297"/>
        <v>0</v>
      </c>
      <c r="G1124" s="832"/>
      <c r="H1124" s="1237">
        <f t="shared" si="298"/>
        <v>0</v>
      </c>
      <c r="I1124" s="1237">
        <f t="shared" si="299"/>
        <v>0</v>
      </c>
      <c r="J1124" s="1237">
        <f t="shared" si="300"/>
        <v>0</v>
      </c>
      <c r="K1124" s="1237">
        <f t="shared" si="301"/>
        <v>0</v>
      </c>
      <c r="L1124" s="44"/>
      <c r="M1124" s="1227" t="str">
        <f t="shared" si="293"/>
        <v/>
      </c>
      <c r="N1124" s="1241" t="str">
        <f t="shared" si="302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291"/>
        <v>Cassava: no. local meas.</v>
      </c>
      <c r="B1125" s="832"/>
      <c r="C1125" s="1236">
        <f t="shared" si="294"/>
        <v>0</v>
      </c>
      <c r="D1125" s="1236">
        <f t="shared" si="295"/>
        <v>0</v>
      </c>
      <c r="E1125" s="1236">
        <f t="shared" si="296"/>
        <v>0</v>
      </c>
      <c r="F1125" s="1236">
        <f t="shared" si="297"/>
        <v>0</v>
      </c>
      <c r="G1125" s="832"/>
      <c r="H1125" s="1237">
        <f t="shared" si="298"/>
        <v>0</v>
      </c>
      <c r="I1125" s="1237">
        <f t="shared" si="299"/>
        <v>0</v>
      </c>
      <c r="J1125" s="1237">
        <f t="shared" si="300"/>
        <v>0</v>
      </c>
      <c r="K1125" s="1237">
        <f t="shared" si="301"/>
        <v>0</v>
      </c>
      <c r="L1125" s="44"/>
      <c r="M1125" s="1227" t="str">
        <f t="shared" si="293"/>
        <v/>
      </c>
      <c r="N1125" s="1241" t="str">
        <f t="shared" si="302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291"/>
        <v>Water melon: no. local meas</v>
      </c>
      <c r="B1126" s="832"/>
      <c r="C1126" s="1236">
        <f t="shared" si="294"/>
        <v>1.1563791140366483E-3</v>
      </c>
      <c r="D1126" s="1236">
        <f t="shared" si="295"/>
        <v>6.6622665006226651E-4</v>
      </c>
      <c r="E1126" s="1236">
        <f t="shared" si="296"/>
        <v>7.2809055328233404E-4</v>
      </c>
      <c r="F1126" s="1236">
        <f t="shared" si="297"/>
        <v>1.332453300124533E-3</v>
      </c>
      <c r="G1126" s="832"/>
      <c r="H1126" s="1237">
        <f t="shared" si="298"/>
        <v>0</v>
      </c>
      <c r="I1126" s="1237">
        <f t="shared" si="299"/>
        <v>0</v>
      </c>
      <c r="J1126" s="1237">
        <f t="shared" si="300"/>
        <v>0</v>
      </c>
      <c r="K1126" s="1237">
        <f t="shared" si="301"/>
        <v>0</v>
      </c>
      <c r="L1126" s="44"/>
      <c r="M1126" s="1227" t="str">
        <f t="shared" si="293"/>
        <v/>
      </c>
      <c r="N1126" s="1241" t="str">
        <f t="shared" si="302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291"/>
        <v>Potato: no. local meas</v>
      </c>
      <c r="B1127" s="832"/>
      <c r="C1127" s="1236">
        <f t="shared" si="294"/>
        <v>1.1591723003024372E-2</v>
      </c>
      <c r="D1127" s="1236">
        <f t="shared" si="295"/>
        <v>1.2274501867995018E-2</v>
      </c>
      <c r="E1127" s="1236">
        <f t="shared" si="296"/>
        <v>9.5669212111256396E-2</v>
      </c>
      <c r="F1127" s="1236">
        <f t="shared" si="297"/>
        <v>0.46942338220723373</v>
      </c>
      <c r="G1127" s="832"/>
      <c r="H1127" s="1237">
        <f t="shared" si="298"/>
        <v>0</v>
      </c>
      <c r="I1127" s="1237">
        <f t="shared" si="299"/>
        <v>0</v>
      </c>
      <c r="J1127" s="1237">
        <f t="shared" si="300"/>
        <v>8.1284302842443021E-2</v>
      </c>
      <c r="K1127" s="1237">
        <f t="shared" si="301"/>
        <v>0.40642151421221506</v>
      </c>
      <c r="L1127" s="44"/>
      <c r="M1127" s="1227" t="str">
        <f t="shared" si="293"/>
        <v>yes</v>
      </c>
      <c r="N1127" s="1241" t="str">
        <f t="shared" si="302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291"/>
        <v>Sweet Potatoes: no. local meas</v>
      </c>
      <c r="B1128" s="832"/>
      <c r="C1128" s="1236">
        <f t="shared" si="294"/>
        <v>1.6972069026863549E-2</v>
      </c>
      <c r="D1128" s="1236">
        <f t="shared" si="295"/>
        <v>1.3695516811955168E-2</v>
      </c>
      <c r="E1128" s="1236">
        <f t="shared" si="296"/>
        <v>0.11246947026076613</v>
      </c>
      <c r="F1128" s="1236">
        <f t="shared" si="297"/>
        <v>0.54803903973239032</v>
      </c>
      <c r="G1128" s="832"/>
      <c r="H1128" s="1237">
        <f t="shared" si="298"/>
        <v>0</v>
      </c>
      <c r="I1128" s="1237">
        <f t="shared" si="299"/>
        <v>0</v>
      </c>
      <c r="J1128" s="1237">
        <f t="shared" si="300"/>
        <v>0.10886290559255762</v>
      </c>
      <c r="K1128" s="1237">
        <f t="shared" si="301"/>
        <v>0.44028997372989964</v>
      </c>
      <c r="L1128" s="44"/>
      <c r="M1128" s="1227" t="str">
        <f t="shared" si="293"/>
        <v>yes</v>
      </c>
      <c r="N1128" s="1241" t="str">
        <f t="shared" si="302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291"/>
        <v>Groundnuts (dry): no. local meas</v>
      </c>
      <c r="B1129" s="832"/>
      <c r="C1129" s="1236">
        <f t="shared" si="294"/>
        <v>5.390849492972781E-2</v>
      </c>
      <c r="D1129" s="1236">
        <f t="shared" si="295"/>
        <v>0.20964414694894151</v>
      </c>
      <c r="E1129" s="1236">
        <f t="shared" si="296"/>
        <v>0.29649672211350292</v>
      </c>
      <c r="F1129" s="1236">
        <f t="shared" si="297"/>
        <v>0</v>
      </c>
      <c r="G1129" s="832"/>
      <c r="H1129" s="1237">
        <f t="shared" si="298"/>
        <v>0</v>
      </c>
      <c r="I1129" s="1237">
        <f t="shared" si="299"/>
        <v>0.11289486505894863</v>
      </c>
      <c r="J1129" s="1237">
        <f t="shared" si="300"/>
        <v>0.25401344638263446</v>
      </c>
      <c r="K1129" s="1237">
        <f t="shared" si="301"/>
        <v>0</v>
      </c>
      <c r="L1129" s="44"/>
      <c r="M1129" s="1227" t="str">
        <f t="shared" si="293"/>
        <v>yes</v>
      </c>
      <c r="N1129" s="1241" t="str">
        <f t="shared" si="302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291"/>
        <v>Roundnuts (bambara): no. local meas</v>
      </c>
      <c r="B1130" s="832"/>
      <c r="C1130" s="1236">
        <f t="shared" si="294"/>
        <v>0</v>
      </c>
      <c r="D1130" s="1236">
        <f t="shared" si="295"/>
        <v>0</v>
      </c>
      <c r="E1130" s="1236">
        <f t="shared" si="296"/>
        <v>0</v>
      </c>
      <c r="F1130" s="1236">
        <f t="shared" si="297"/>
        <v>0</v>
      </c>
      <c r="G1130" s="832"/>
      <c r="H1130" s="1237">
        <f t="shared" si="298"/>
        <v>0</v>
      </c>
      <c r="I1130" s="1237">
        <f t="shared" si="299"/>
        <v>0</v>
      </c>
      <c r="J1130" s="1237">
        <f t="shared" si="300"/>
        <v>0</v>
      </c>
      <c r="K1130" s="1237">
        <f t="shared" si="301"/>
        <v>0</v>
      </c>
      <c r="L1130" s="44"/>
      <c r="M1130" s="1227" t="str">
        <f t="shared" si="293"/>
        <v/>
      </c>
      <c r="N1130" s="1241" t="str">
        <f t="shared" si="302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291"/>
        <v>Other crop: type (green vegetables)Cabbage</v>
      </c>
      <c r="B1131" s="832"/>
      <c r="C1131" s="1236">
        <f t="shared" si="294"/>
        <v>1.1968510941113681E-3</v>
      </c>
      <c r="D1131" s="1236">
        <f t="shared" si="295"/>
        <v>1.0118306351183063E-3</v>
      </c>
      <c r="E1131" s="1236">
        <f t="shared" si="296"/>
        <v>4.3312630749912019E-2</v>
      </c>
      <c r="F1131" s="1236">
        <f t="shared" si="297"/>
        <v>0.48124124769341242</v>
      </c>
      <c r="G1131" s="832"/>
      <c r="H1131" s="1237">
        <f t="shared" si="298"/>
        <v>0</v>
      </c>
      <c r="I1131" s="1237">
        <f t="shared" si="299"/>
        <v>0</v>
      </c>
      <c r="J1131" s="1237">
        <f t="shared" si="300"/>
        <v>3.6287635197519208E-2</v>
      </c>
      <c r="K1131" s="1237">
        <f t="shared" si="301"/>
        <v>0.47415843324758428</v>
      </c>
      <c r="L1131" s="44"/>
      <c r="M1131" s="1227" t="str">
        <f t="shared" si="293"/>
        <v>yes</v>
      </c>
      <c r="N1131" s="1241" t="str">
        <f t="shared" si="302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291"/>
        <v>Other crop: pumpkin</v>
      </c>
      <c r="B1132" s="832"/>
      <c r="C1132" s="1236">
        <f t="shared" si="294"/>
        <v>7.2622842910514149E-4</v>
      </c>
      <c r="D1132" s="1236">
        <f t="shared" si="295"/>
        <v>-2.4476587795765879E-3</v>
      </c>
      <c r="E1132" s="1236">
        <f t="shared" si="296"/>
        <v>4.5193182910280398E-2</v>
      </c>
      <c r="F1132" s="1236">
        <f t="shared" si="297"/>
        <v>7.9711618910836168E-2</v>
      </c>
      <c r="G1132" s="832"/>
      <c r="H1132" s="1237">
        <f t="shared" si="298"/>
        <v>0</v>
      </c>
      <c r="I1132" s="1237">
        <f t="shared" si="299"/>
        <v>0</v>
      </c>
      <c r="J1132" s="1237">
        <f t="shared" si="300"/>
        <v>4.064215142122151E-2</v>
      </c>
      <c r="K1132" s="1237">
        <f t="shared" si="301"/>
        <v>6.7736919035369172E-2</v>
      </c>
      <c r="L1132" s="44"/>
      <c r="M1132" s="1227" t="str">
        <f t="shared" si="293"/>
        <v/>
      </c>
      <c r="N1132" s="1241" t="str">
        <f t="shared" si="302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291"/>
        <v>Spinach: no produced</v>
      </c>
      <c r="B1133" s="832"/>
      <c r="C1133" s="1236">
        <f t="shared" si="294"/>
        <v>8.9381960505248177E-4</v>
      </c>
      <c r="D1133" s="1236">
        <f t="shared" si="295"/>
        <v>1.3903860523038604E-3</v>
      </c>
      <c r="E1133" s="1236">
        <f t="shared" si="296"/>
        <v>1.4515054079007684E-2</v>
      </c>
      <c r="F1133" s="1236">
        <f t="shared" si="297"/>
        <v>0.34139407193826066</v>
      </c>
      <c r="G1133" s="832"/>
      <c r="H1133" s="1237">
        <f t="shared" si="298"/>
        <v>0</v>
      </c>
      <c r="I1133" s="1237">
        <f t="shared" si="299"/>
        <v>0</v>
      </c>
      <c r="J1133" s="1237">
        <f t="shared" si="300"/>
        <v>1.4515054079007684E-2</v>
      </c>
      <c r="K1133" s="1237">
        <f t="shared" si="301"/>
        <v>0.34139407193826066</v>
      </c>
      <c r="L1133" s="44"/>
      <c r="M1133" s="1227" t="str">
        <f t="shared" si="293"/>
        <v>yes</v>
      </c>
      <c r="N1133" s="1241" t="str">
        <f t="shared" si="302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03">IF(C$1111=0,0,MAX((SUM(C851,M851)+SUM(C962,M962)/C$1111),(SUM(C851)+SUM(C962)/C$1111)))</f>
        <v>5.2457559153175591E-3</v>
      </c>
      <c r="D1134" s="1236">
        <f t="shared" si="303"/>
        <v>0</v>
      </c>
      <c r="E1134" s="1236">
        <f t="shared" si="303"/>
        <v>0</v>
      </c>
      <c r="F1134" s="1236">
        <f t="shared" si="303"/>
        <v>0</v>
      </c>
      <c r="G1134" s="832"/>
      <c r="H1134" s="1237">
        <f t="shared" ref="H1134:K1135" si="304">IF(C$1111=0,0,MAX(SUM(C962,M962)/C$1111,SUM(C962)/C$1111))</f>
        <v>0</v>
      </c>
      <c r="I1134" s="1237">
        <f t="shared" si="304"/>
        <v>0</v>
      </c>
      <c r="J1134" s="1237">
        <f t="shared" si="304"/>
        <v>0</v>
      </c>
      <c r="K1134" s="1237">
        <f t="shared" si="304"/>
        <v>0</v>
      </c>
      <c r="L1134" s="44"/>
      <c r="M1134" s="1227" t="str">
        <f t="shared" si="293"/>
        <v/>
      </c>
      <c r="N1134" s="1241" t="str">
        <f t="shared" si="302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03"/>
        <v>0.13886290559255762</v>
      </c>
      <c r="D1135" s="1236">
        <f t="shared" si="303"/>
        <v>0.13467114879421149</v>
      </c>
      <c r="E1135" s="1236">
        <f t="shared" si="303"/>
        <v>0</v>
      </c>
      <c r="F1135" s="1236">
        <f t="shared" si="303"/>
        <v>0</v>
      </c>
      <c r="G1135" s="832"/>
      <c r="H1135" s="1237">
        <f t="shared" si="304"/>
        <v>0.10886290559255762</v>
      </c>
      <c r="I1135" s="1237">
        <f t="shared" si="304"/>
        <v>8.4671148794211476E-2</v>
      </c>
      <c r="J1135" s="1237">
        <f t="shared" si="304"/>
        <v>0</v>
      </c>
      <c r="K1135" s="1237">
        <f t="shared" si="304"/>
        <v>0</v>
      </c>
      <c r="L1135" s="44"/>
      <c r="M1135" s="1227" t="str">
        <f t="shared" si="293"/>
        <v>yes</v>
      </c>
      <c r="N1135" s="1241" t="str">
        <f t="shared" si="302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293"/>
        <v/>
      </c>
      <c r="N1136" s="1227" t="str">
        <f t="shared" ref="N1136:N1147" si="305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06">A950</f>
        <v>Main cashcrop kg sold : Cotton</v>
      </c>
      <c r="B1137" s="832"/>
      <c r="C1137" s="1236">
        <f t="shared" ref="C1137:C1147" si="307">IF(C$1111=0,0,MAX(SUM(C950,M950)/C$1111,SUM(C950)/C$1111))</f>
        <v>0</v>
      </c>
      <c r="D1137" s="1236">
        <f t="shared" ref="D1137:D1147" si="308">IF(D$1111=0,0,MAX(SUM(D950,N950)/D$1111,SUM(D950)/D$1111))</f>
        <v>0</v>
      </c>
      <c r="E1137" s="1236">
        <f t="shared" ref="E1137:E1147" si="309">IF(E$1111=0,0,MAX(SUM(E950,O950)/E$1111,SUM(E950)/E$1111))</f>
        <v>0</v>
      </c>
      <c r="F1137" s="1236">
        <f t="shared" ref="F1137:F1147" si="310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293"/>
        <v/>
      </c>
      <c r="N1137" s="1227" t="str">
        <f t="shared" si="305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06"/>
        <v>Other cashcrop: kg produced ( green pepper)</v>
      </c>
      <c r="B1138" s="832"/>
      <c r="C1138" s="1236">
        <f t="shared" si="307"/>
        <v>0</v>
      </c>
      <c r="D1138" s="1236">
        <f t="shared" si="308"/>
        <v>0</v>
      </c>
      <c r="E1138" s="1236">
        <f t="shared" si="309"/>
        <v>0</v>
      </c>
      <c r="F1138" s="1236">
        <f t="shared" si="310"/>
        <v>0</v>
      </c>
      <c r="G1138" s="832"/>
      <c r="H1138" s="46"/>
      <c r="I1138" s="46"/>
      <c r="J1138" s="46"/>
      <c r="K1138" s="831"/>
      <c r="L1138" s="832"/>
      <c r="M1138" s="1227" t="str">
        <f t="shared" si="293"/>
        <v/>
      </c>
      <c r="N1138" s="1227" t="str">
        <f t="shared" si="305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06"/>
        <v>Other cashcrop: kg produced (Chilli pepper)</v>
      </c>
      <c r="B1139" s="832"/>
      <c r="C1139" s="1236">
        <f t="shared" si="307"/>
        <v>0</v>
      </c>
      <c r="D1139" s="1236">
        <f t="shared" si="308"/>
        <v>0</v>
      </c>
      <c r="E1139" s="1236">
        <f t="shared" si="309"/>
        <v>0</v>
      </c>
      <c r="F1139" s="1236">
        <f t="shared" si="310"/>
        <v>0</v>
      </c>
      <c r="G1139" s="832"/>
      <c r="H1139" s="46"/>
      <c r="I1139" s="46"/>
      <c r="J1139" s="46"/>
      <c r="K1139" s="831"/>
      <c r="L1139" s="832"/>
      <c r="M1139" s="1227" t="str">
        <f t="shared" si="293"/>
        <v/>
      </c>
      <c r="N1139" s="1227" t="str">
        <f t="shared" si="305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06"/>
        <v>Other cashcrop: kg produced (Spinach)</v>
      </c>
      <c r="B1140" s="832"/>
      <c r="C1140" s="1236">
        <f t="shared" si="307"/>
        <v>0</v>
      </c>
      <c r="D1140" s="1236">
        <f t="shared" si="308"/>
        <v>0</v>
      </c>
      <c r="E1140" s="1236">
        <f t="shared" si="309"/>
        <v>0</v>
      </c>
      <c r="F1140" s="1236">
        <f t="shared" si="310"/>
        <v>0</v>
      </c>
      <c r="G1140" s="832"/>
      <c r="H1140" s="46"/>
      <c r="I1140" s="46"/>
      <c r="J1140" s="46"/>
      <c r="K1140" s="831"/>
      <c r="L1140" s="832"/>
      <c r="M1140" s="1227" t="str">
        <f t="shared" si="293"/>
        <v/>
      </c>
      <c r="N1140" s="1227" t="str">
        <f t="shared" si="305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06"/>
        <v>Other cashcrop: kg produced (Tomato)</v>
      </c>
      <c r="B1141" s="832"/>
      <c r="C1141" s="1236">
        <f t="shared" si="307"/>
        <v>0</v>
      </c>
      <c r="D1141" s="1236">
        <f t="shared" si="308"/>
        <v>0</v>
      </c>
      <c r="E1141" s="1236">
        <f t="shared" si="309"/>
        <v>1.277324758952676E-2</v>
      </c>
      <c r="F1141" s="1236">
        <f t="shared" si="310"/>
        <v>0.20930707981929075</v>
      </c>
      <c r="G1141" s="832"/>
      <c r="H1141" s="46"/>
      <c r="I1141" s="46"/>
      <c r="J1141" s="46"/>
      <c r="K1141" s="831"/>
      <c r="L1141" s="832"/>
      <c r="M1141" s="1227" t="str">
        <f t="shared" si="293"/>
        <v>yes</v>
      </c>
      <c r="N1141" s="1227" t="str">
        <f t="shared" si="305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06"/>
        <v>Other cashcrop: kg produced (Onions)</v>
      </c>
      <c r="B1142" s="832"/>
      <c r="C1142" s="1236">
        <f t="shared" si="307"/>
        <v>3.483612978961844E-2</v>
      </c>
      <c r="D1142" s="1236">
        <f t="shared" si="308"/>
        <v>2.5401344638263441E-2</v>
      </c>
      <c r="E1142" s="1236">
        <f t="shared" si="309"/>
        <v>2.0321075710610755E-2</v>
      </c>
      <c r="F1142" s="1236">
        <f t="shared" si="310"/>
        <v>0</v>
      </c>
      <c r="G1142" s="832"/>
      <c r="H1142" s="46"/>
      <c r="I1142" s="46"/>
      <c r="J1142" s="46"/>
      <c r="K1142" s="831"/>
      <c r="L1142" s="832"/>
      <c r="M1142" s="1227" t="str">
        <f t="shared" si="293"/>
        <v/>
      </c>
      <c r="N1142" s="1227" t="str">
        <f t="shared" si="305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06"/>
        <v>Other cashcrop: kg produced (Amadumbe)</v>
      </c>
      <c r="B1143" s="832"/>
      <c r="C1143" s="1236">
        <f t="shared" si="307"/>
        <v>0</v>
      </c>
      <c r="D1143" s="1236">
        <f t="shared" si="308"/>
        <v>0</v>
      </c>
      <c r="E1143" s="1236">
        <f t="shared" si="309"/>
        <v>0</v>
      </c>
      <c r="F1143" s="1236">
        <f t="shared" si="310"/>
        <v>5.4189535228295345E-2</v>
      </c>
      <c r="G1143" s="832"/>
      <c r="H1143" s="46"/>
      <c r="I1143" s="46"/>
      <c r="J1143" s="46"/>
      <c r="K1143" s="831"/>
      <c r="L1143" s="832"/>
      <c r="M1143" s="1227" t="str">
        <f t="shared" si="293"/>
        <v/>
      </c>
      <c r="N1143" s="1227" t="str">
        <f t="shared" si="305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06"/>
        <v>Sugercane: MT sold</v>
      </c>
      <c r="B1144" s="832"/>
      <c r="C1144" s="1236">
        <f t="shared" si="307"/>
        <v>0</v>
      </c>
      <c r="D1144" s="1236">
        <f t="shared" si="308"/>
        <v>0</v>
      </c>
      <c r="E1144" s="1236">
        <f t="shared" si="309"/>
        <v>0</v>
      </c>
      <c r="F1144" s="1236">
        <f t="shared" si="310"/>
        <v>1.3660278672132784</v>
      </c>
      <c r="G1144" s="832"/>
      <c r="H1144" s="46"/>
      <c r="I1144" s="46"/>
      <c r="J1144" s="46"/>
      <c r="K1144" s="831"/>
      <c r="L1144" s="832"/>
      <c r="M1144" s="1227" t="str">
        <f t="shared" si="293"/>
        <v>yes</v>
      </c>
      <c r="N1144" s="1227" t="str">
        <f t="shared" si="305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06"/>
        <v>Trees: quantity sold</v>
      </c>
      <c r="B1145" s="832"/>
      <c r="C1145" s="1236">
        <f t="shared" si="307"/>
        <v>0</v>
      </c>
      <c r="D1145" s="1236">
        <f t="shared" si="308"/>
        <v>0</v>
      </c>
      <c r="E1145" s="1236">
        <f t="shared" si="309"/>
        <v>0</v>
      </c>
      <c r="F1145" s="1236">
        <f t="shared" si="310"/>
        <v>0</v>
      </c>
      <c r="G1145" s="832"/>
      <c r="H1145" s="46"/>
      <c r="I1145" s="46"/>
      <c r="J1145" s="46"/>
      <c r="K1145" s="831"/>
      <c r="L1145" s="832"/>
      <c r="M1145" s="1227" t="str">
        <f t="shared" si="293"/>
        <v/>
      </c>
      <c r="N1145" s="1227" t="str">
        <f t="shared" si="305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06"/>
        <v>Other cash crop: type</v>
      </c>
      <c r="B1146" s="832"/>
      <c r="C1146" s="1236">
        <f t="shared" si="307"/>
        <v>0</v>
      </c>
      <c r="D1146" s="1236">
        <f t="shared" si="308"/>
        <v>0</v>
      </c>
      <c r="E1146" s="1236">
        <f t="shared" si="309"/>
        <v>0</v>
      </c>
      <c r="F1146" s="1236">
        <f t="shared" si="310"/>
        <v>0</v>
      </c>
      <c r="G1146" s="832"/>
      <c r="H1146" s="46"/>
      <c r="I1146" s="46"/>
      <c r="J1146" s="46"/>
      <c r="K1146" s="831"/>
      <c r="L1146" s="832"/>
      <c r="M1146" s="1227" t="str">
        <f t="shared" si="293"/>
        <v/>
      </c>
      <c r="N1146" s="1227" t="str">
        <f t="shared" si="305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06"/>
        <v>Other cash crop: type</v>
      </c>
      <c r="B1147" s="832"/>
      <c r="C1147" s="1236">
        <f t="shared" si="307"/>
        <v>0</v>
      </c>
      <c r="D1147" s="1236">
        <f t="shared" si="308"/>
        <v>0</v>
      </c>
      <c r="E1147" s="1236">
        <f t="shared" si="309"/>
        <v>0</v>
      </c>
      <c r="F1147" s="1236">
        <f t="shared" si="310"/>
        <v>0</v>
      </c>
      <c r="G1147" s="832"/>
      <c r="H1147" s="46"/>
      <c r="I1147" s="46"/>
      <c r="J1147" s="46"/>
      <c r="K1147" s="831"/>
      <c r="L1147" s="832"/>
      <c r="M1147" s="1227" t="str">
        <f t="shared" si="293"/>
        <v/>
      </c>
      <c r="N1147" s="1227" t="str">
        <f t="shared" si="305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2.5031133250311335E-2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2.3263646741386469E-2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11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12">MAX(SUM(C854,M854),SUM(C854))</f>
        <v>0</v>
      </c>
      <c r="D1170" s="1236">
        <f t="shared" si="312"/>
        <v>0</v>
      </c>
      <c r="E1170" s="1236">
        <f t="shared" si="312"/>
        <v>0</v>
      </c>
      <c r="F1170" s="1236">
        <f t="shared" si="312"/>
        <v>0</v>
      </c>
      <c r="G1170" s="832"/>
      <c r="H1170" s="46"/>
      <c r="I1170" s="46"/>
      <c r="J1170" s="46"/>
      <c r="K1170" s="46"/>
      <c r="L1170" s="44"/>
      <c r="M1170" s="1227" t="str">
        <f t="shared" si="311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12"/>
        <v>0</v>
      </c>
      <c r="D1171" s="1236">
        <f t="shared" si="312"/>
        <v>0</v>
      </c>
      <c r="E1171" s="1236">
        <f t="shared" si="312"/>
        <v>0</v>
      </c>
      <c r="F1171" s="1236">
        <f t="shared" si="312"/>
        <v>0</v>
      </c>
      <c r="G1171" s="832"/>
      <c r="H1171" s="46"/>
      <c r="I1171" s="46"/>
      <c r="J1171" s="46"/>
      <c r="K1171" s="46"/>
      <c r="L1171" s="44"/>
      <c r="M1171" s="1227" t="str">
        <f t="shared" si="311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12"/>
        <v>0</v>
      </c>
      <c r="D1172" s="1236">
        <f t="shared" si="312"/>
        <v>0</v>
      </c>
      <c r="E1172" s="1236">
        <f t="shared" si="312"/>
        <v>0</v>
      </c>
      <c r="F1172" s="1236">
        <f t="shared" si="312"/>
        <v>0</v>
      </c>
      <c r="G1172" s="832"/>
      <c r="H1172" s="46"/>
      <c r="I1172" s="46"/>
      <c r="J1172" s="46"/>
      <c r="K1172" s="46"/>
      <c r="L1172" s="44"/>
      <c r="M1172" s="1227" t="str">
        <f t="shared" si="311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13">MAX(SUM(C896,M896),SUM(C896))</f>
        <v>0</v>
      </c>
      <c r="D1173" s="1236">
        <f t="shared" si="313"/>
        <v>0</v>
      </c>
      <c r="E1173" s="1236">
        <f t="shared" si="313"/>
        <v>0</v>
      </c>
      <c r="F1173" s="1236">
        <f t="shared" si="313"/>
        <v>0</v>
      </c>
      <c r="G1173" s="832"/>
      <c r="H1173" s="46"/>
      <c r="I1173" s="46"/>
      <c r="J1173" s="46"/>
      <c r="K1173" s="46"/>
      <c r="L1173" s="44"/>
      <c r="M1173" s="1227" t="str">
        <f t="shared" si="311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13"/>
        <v>0</v>
      </c>
      <c r="D1174" s="1236">
        <f t="shared" si="313"/>
        <v>0</v>
      </c>
      <c r="E1174" s="1236">
        <f t="shared" si="313"/>
        <v>0</v>
      </c>
      <c r="F1174" s="1236">
        <f t="shared" si="313"/>
        <v>0</v>
      </c>
      <c r="G1174" s="832"/>
      <c r="H1174" s="46"/>
      <c r="I1174" s="46"/>
      <c r="J1174" s="46"/>
      <c r="K1174" s="46"/>
      <c r="L1174" s="44"/>
      <c r="M1174" s="1227" t="str">
        <f t="shared" si="311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13"/>
        <v>0</v>
      </c>
      <c r="D1175" s="1236">
        <f t="shared" si="313"/>
        <v>0</v>
      </c>
      <c r="E1175" s="1236">
        <f t="shared" si="313"/>
        <v>0</v>
      </c>
      <c r="F1175" s="1236">
        <f t="shared" si="313"/>
        <v>0</v>
      </c>
      <c r="G1175" s="832"/>
      <c r="H1175" s="46"/>
      <c r="I1175" s="46"/>
      <c r="J1175" s="46"/>
      <c r="K1175" s="46"/>
      <c r="L1175" s="44"/>
      <c r="M1175" s="1227" t="str">
        <f t="shared" si="311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14">IF(C$1111=0,0,MAX(SUM(C916,M916)/C$1111,SUM(C916)/C$1111))</f>
        <v>0</v>
      </c>
      <c r="D1177" s="1236">
        <f t="shared" si="314"/>
        <v>0</v>
      </c>
      <c r="E1177" s="1236">
        <f t="shared" si="314"/>
        <v>0</v>
      </c>
      <c r="F1177" s="1236">
        <f t="shared" si="314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15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16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14"/>
        <v>0</v>
      </c>
      <c r="D1178" s="1236">
        <f t="shared" si="314"/>
        <v>0</v>
      </c>
      <c r="E1178" s="1236">
        <f t="shared" si="314"/>
        <v>0</v>
      </c>
      <c r="F1178" s="1236">
        <f t="shared" si="314"/>
        <v>0</v>
      </c>
      <c r="G1178" s="832"/>
      <c r="H1178" s="46"/>
      <c r="I1178" s="46"/>
      <c r="J1178" s="46"/>
      <c r="K1178" s="831"/>
      <c r="L1178" s="832"/>
      <c r="M1178" s="1227" t="str">
        <f t="shared" si="315"/>
        <v/>
      </c>
      <c r="N1178" s="1227" t="str">
        <f t="shared" si="316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14"/>
        <v>0</v>
      </c>
      <c r="D1179" s="1236">
        <f t="shared" si="314"/>
        <v>0</v>
      </c>
      <c r="E1179" s="1236">
        <f t="shared" si="314"/>
        <v>0</v>
      </c>
      <c r="F1179" s="1236">
        <f t="shared" si="314"/>
        <v>0</v>
      </c>
      <c r="G1179" s="832"/>
      <c r="H1179" s="46"/>
      <c r="I1179" s="46"/>
      <c r="J1179" s="46"/>
      <c r="K1179" s="831"/>
      <c r="L1179" s="832"/>
      <c r="M1179" s="1227" t="str">
        <f t="shared" si="315"/>
        <v/>
      </c>
      <c r="N1179" s="1227" t="str">
        <f t="shared" si="316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17">A920</f>
        <v>Camel sales - export: no. sold</v>
      </c>
      <c r="B1180" s="832"/>
      <c r="C1180" s="1236">
        <f t="shared" ref="C1180:C1189" si="318">IF(C$1111=0,0,MAX(SUM(C920,M920)/C$1111,SUM(C920)/C$1111))</f>
        <v>0</v>
      </c>
      <c r="D1180" s="1236">
        <f t="shared" ref="D1180:D1189" si="319">IF(D$1111=0,0,MAX(SUM(D920,N920)/D$1111,SUM(D920)/D$1111))</f>
        <v>0</v>
      </c>
      <c r="E1180" s="1236">
        <f t="shared" ref="E1180:E1189" si="320">IF(E$1111=0,0,MAX(SUM(E920,O920)/E$1111,SUM(E920)/E$1111))</f>
        <v>0</v>
      </c>
      <c r="F1180" s="1236">
        <f t="shared" ref="F1180:F1189" si="321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15"/>
        <v/>
      </c>
      <c r="N1180" s="1227" t="str">
        <f t="shared" si="316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17"/>
        <v>Camel sales - local: no. sold</v>
      </c>
      <c r="B1181" s="832"/>
      <c r="C1181" s="1236">
        <f t="shared" si="318"/>
        <v>0</v>
      </c>
      <c r="D1181" s="1236">
        <f t="shared" si="319"/>
        <v>0</v>
      </c>
      <c r="E1181" s="1236">
        <f t="shared" si="320"/>
        <v>0</v>
      </c>
      <c r="F1181" s="1236">
        <f t="shared" si="321"/>
        <v>0</v>
      </c>
      <c r="G1181" s="832"/>
      <c r="H1181" s="46"/>
      <c r="I1181" s="46"/>
      <c r="J1181" s="46"/>
      <c r="K1181" s="831"/>
      <c r="L1181" s="832"/>
      <c r="M1181" s="1227" t="str">
        <f t="shared" si="315"/>
        <v/>
      </c>
      <c r="N1181" s="1227" t="str">
        <f t="shared" si="316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17"/>
        <v>Fattened Ox sales: no. sold</v>
      </c>
      <c r="B1182" s="832"/>
      <c r="C1182" s="1236">
        <f t="shared" si="318"/>
        <v>0</v>
      </c>
      <c r="D1182" s="1236">
        <f t="shared" si="319"/>
        <v>0</v>
      </c>
      <c r="E1182" s="1236">
        <f t="shared" si="320"/>
        <v>0</v>
      </c>
      <c r="F1182" s="1236">
        <f t="shared" si="321"/>
        <v>0</v>
      </c>
      <c r="G1182" s="832"/>
      <c r="H1182" s="46"/>
      <c r="I1182" s="46"/>
      <c r="J1182" s="46"/>
      <c r="K1182" s="831"/>
      <c r="L1182" s="832"/>
      <c r="M1182" s="1227" t="str">
        <f t="shared" si="315"/>
        <v/>
      </c>
      <c r="N1182" s="1227" t="str">
        <f t="shared" si="316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17"/>
        <v>Cattle sales - export: no. sold</v>
      </c>
      <c r="B1183" s="832"/>
      <c r="C1183" s="1236">
        <f t="shared" si="318"/>
        <v>0</v>
      </c>
      <c r="D1183" s="1236">
        <f t="shared" si="319"/>
        <v>0</v>
      </c>
      <c r="E1183" s="1236">
        <f t="shared" si="320"/>
        <v>0</v>
      </c>
      <c r="F1183" s="1236">
        <f t="shared" si="321"/>
        <v>0</v>
      </c>
      <c r="G1183" s="832"/>
      <c r="H1183" s="46"/>
      <c r="I1183" s="46"/>
      <c r="J1183" s="46"/>
      <c r="K1183" s="831"/>
      <c r="L1183" s="832"/>
      <c r="M1183" s="1227" t="str">
        <f t="shared" si="315"/>
        <v/>
      </c>
      <c r="N1183" s="1227" t="str">
        <f t="shared" si="316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17"/>
        <v>Cattle sales - local: no. sold</v>
      </c>
      <c r="B1184" s="832"/>
      <c r="C1184" s="1236">
        <f t="shared" si="318"/>
        <v>0</v>
      </c>
      <c r="D1184" s="1236">
        <f t="shared" si="319"/>
        <v>0.39513202770632022</v>
      </c>
      <c r="E1184" s="1236">
        <f t="shared" si="320"/>
        <v>3.0481613565916135</v>
      </c>
      <c r="F1184" s="1236">
        <f t="shared" si="321"/>
        <v>3.1610562216505618</v>
      </c>
      <c r="G1184" s="832"/>
      <c r="H1184" s="46"/>
      <c r="I1184" s="46"/>
      <c r="J1184" s="46"/>
      <c r="K1184" s="831"/>
      <c r="L1184" s="832"/>
      <c r="M1184" s="1227" t="str">
        <f t="shared" si="315"/>
        <v>yes</v>
      </c>
      <c r="N1184" s="1227" t="str">
        <f t="shared" si="316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17"/>
        <v>Goat sales - export: no. sold</v>
      </c>
      <c r="B1185" s="832"/>
      <c r="C1185" s="1236">
        <f t="shared" si="318"/>
        <v>0</v>
      </c>
      <c r="D1185" s="1236">
        <f t="shared" si="319"/>
        <v>0</v>
      </c>
      <c r="E1185" s="1236">
        <f t="shared" si="320"/>
        <v>0</v>
      </c>
      <c r="F1185" s="1236">
        <f t="shared" si="321"/>
        <v>0</v>
      </c>
      <c r="G1185" s="832"/>
      <c r="H1185" s="46"/>
      <c r="I1185" s="46"/>
      <c r="J1185" s="46"/>
      <c r="K1185" s="831"/>
      <c r="L1185" s="832"/>
      <c r="M1185" s="1227" t="str">
        <f t="shared" si="315"/>
        <v/>
      </c>
      <c r="N1185" s="1227" t="str">
        <f t="shared" si="316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17"/>
        <v>Goat sales - local: no. sold</v>
      </c>
      <c r="B1186" s="832"/>
      <c r="C1186" s="1236">
        <f t="shared" si="318"/>
        <v>0</v>
      </c>
      <c r="D1186" s="1236">
        <f t="shared" si="319"/>
        <v>6.7736919035369172E-2</v>
      </c>
      <c r="E1186" s="1236">
        <f t="shared" si="320"/>
        <v>0.39190646013320746</v>
      </c>
      <c r="F1186" s="1236">
        <f t="shared" si="321"/>
        <v>0.8467114879421147</v>
      </c>
      <c r="G1186" s="832"/>
      <c r="H1186" s="46"/>
      <c r="I1186" s="46"/>
      <c r="J1186" s="46"/>
      <c r="K1186" s="831"/>
      <c r="L1186" s="832"/>
      <c r="M1186" s="1227" t="str">
        <f t="shared" si="315"/>
        <v>yes</v>
      </c>
      <c r="N1186" s="1227" t="str">
        <f t="shared" si="316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17"/>
        <v>Sheep sales - export: no. sold</v>
      </c>
      <c r="B1187" s="832"/>
      <c r="C1187" s="1236">
        <f t="shared" si="318"/>
        <v>0</v>
      </c>
      <c r="D1187" s="1236">
        <f t="shared" si="319"/>
        <v>0</v>
      </c>
      <c r="E1187" s="1236">
        <f t="shared" si="320"/>
        <v>0</v>
      </c>
      <c r="F1187" s="1236">
        <f t="shared" si="321"/>
        <v>0</v>
      </c>
      <c r="G1187" s="832"/>
      <c r="H1187" s="46"/>
      <c r="I1187" s="46"/>
      <c r="J1187" s="46"/>
      <c r="K1187" s="831"/>
      <c r="L1187" s="832"/>
      <c r="M1187" s="1227" t="str">
        <f t="shared" si="315"/>
        <v/>
      </c>
      <c r="N1187" s="1227" t="str">
        <f t="shared" si="316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17"/>
        <v>Sheep sales - local: no. sold</v>
      </c>
      <c r="B1188" s="832"/>
      <c r="C1188" s="1236">
        <f t="shared" si="318"/>
        <v>0</v>
      </c>
      <c r="D1188" s="1236">
        <f t="shared" si="319"/>
        <v>0</v>
      </c>
      <c r="E1188" s="1236">
        <f t="shared" si="320"/>
        <v>0</v>
      </c>
      <c r="F1188" s="1236">
        <f t="shared" si="321"/>
        <v>0</v>
      </c>
      <c r="G1188" s="832"/>
      <c r="H1188" s="46"/>
      <c r="I1188" s="46"/>
      <c r="J1188" s="46"/>
      <c r="K1188" s="831"/>
      <c r="L1188" s="832"/>
      <c r="M1188" s="1227" t="str">
        <f t="shared" si="315"/>
        <v/>
      </c>
      <c r="N1188" s="1227" t="str">
        <f t="shared" si="316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17"/>
        <v>Chicken sales: no. sold</v>
      </c>
      <c r="B1189" s="832"/>
      <c r="C1189" s="1236">
        <f t="shared" si="318"/>
        <v>2.9030108158015367E-2</v>
      </c>
      <c r="D1189" s="1236">
        <f t="shared" si="319"/>
        <v>1.3886068402250682E-2</v>
      </c>
      <c r="E1189" s="1236">
        <f t="shared" si="320"/>
        <v>2.1337129496141295E-2</v>
      </c>
      <c r="F1189" s="1236">
        <f t="shared" si="321"/>
        <v>3.1610562216505618E-3</v>
      </c>
      <c r="G1189" s="832"/>
      <c r="H1189" s="46"/>
      <c r="I1189" s="46"/>
      <c r="J1189" s="46"/>
      <c r="K1189" s="831"/>
      <c r="L1189" s="832"/>
      <c r="M1189" s="1227" t="str">
        <f t="shared" si="315"/>
        <v/>
      </c>
      <c r="N1189" s="1227" t="str">
        <f t="shared" si="316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22">IF(C$1111=0,0,MAX(SUM(C965,M965)/C$1111,SUM(C965)/C$1111))</f>
        <v>0.91444840697748397</v>
      </c>
      <c r="D1190" s="1236">
        <f t="shared" si="322"/>
        <v>0.14224752997427528</v>
      </c>
      <c r="E1190" s="1236">
        <f t="shared" si="322"/>
        <v>0</v>
      </c>
      <c r="F1190" s="1236">
        <f t="shared" si="322"/>
        <v>0</v>
      </c>
      <c r="G1190" s="832"/>
      <c r="H1190" s="46"/>
      <c r="I1190" s="46"/>
      <c r="J1190" s="46"/>
      <c r="K1190" s="831"/>
      <c r="L1190" s="832"/>
      <c r="M1190" s="1227" t="str">
        <f t="shared" si="315"/>
        <v>yes</v>
      </c>
      <c r="N1190" s="1227" t="str">
        <f t="shared" si="316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22"/>
        <v>0.97541163410931631</v>
      </c>
      <c r="D1191" s="1236">
        <f t="shared" si="322"/>
        <v>0</v>
      </c>
      <c r="E1191" s="1236">
        <f t="shared" si="322"/>
        <v>0</v>
      </c>
      <c r="F1191" s="1236">
        <f t="shared" si="322"/>
        <v>0</v>
      </c>
      <c r="G1191" s="832"/>
      <c r="H1191" s="46"/>
      <c r="I1191" s="46"/>
      <c r="J1191" s="46"/>
      <c r="K1191" s="831"/>
      <c r="L1191" s="832"/>
      <c r="M1191" s="1227" t="str">
        <f t="shared" si="315"/>
        <v>yes</v>
      </c>
      <c r="N1191" s="1227" t="str">
        <f t="shared" si="316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22"/>
        <v>0.29030108158015366</v>
      </c>
      <c r="D1192" s="1236">
        <f t="shared" si="322"/>
        <v>0</v>
      </c>
      <c r="E1192" s="1236">
        <f t="shared" si="322"/>
        <v>0</v>
      </c>
      <c r="F1192" s="1236">
        <f t="shared" si="322"/>
        <v>0</v>
      </c>
      <c r="G1192" s="832"/>
      <c r="H1192" s="46"/>
      <c r="I1192" s="46"/>
      <c r="J1192" s="46"/>
      <c r="K1192" s="831"/>
      <c r="L1192" s="832"/>
      <c r="M1192" s="1227" t="str">
        <f t="shared" si="315"/>
        <v>yes</v>
      </c>
      <c r="N1192" s="1227" t="str">
        <f t="shared" si="316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15"/>
        <v/>
      </c>
      <c r="N1193" s="1227" t="str">
        <f t="shared" si="316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14.805355160587837</v>
      </c>
      <c r="F1194" s="1236">
        <f>IF(F$1111=0,0,MAX(SUM(F970,P970)/F$1111,SUM(F970)/F$1111))</f>
        <v>14.90212218778122</v>
      </c>
      <c r="G1194" s="832"/>
      <c r="H1194" s="46"/>
      <c r="I1194" s="46"/>
      <c r="J1194" s="46"/>
      <c r="K1194" s="831"/>
      <c r="L1194" s="832"/>
      <c r="M1194" s="1227" t="str">
        <f t="shared" si="315"/>
        <v>yes</v>
      </c>
      <c r="N1194" s="1227" t="str">
        <f t="shared" si="316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23">IF(C$1111=0,0,MAX(SUM(C972,M972)/C$1111,SUM(C972)/C$1111))</f>
        <v>0</v>
      </c>
      <c r="D1195" s="1236">
        <f t="shared" si="323"/>
        <v>0</v>
      </c>
      <c r="E1195" s="1236">
        <f t="shared" si="323"/>
        <v>0</v>
      </c>
      <c r="F1195" s="1236">
        <f t="shared" si="323"/>
        <v>0</v>
      </c>
      <c r="G1195" s="832"/>
      <c r="H1195" s="46"/>
      <c r="I1195" s="46"/>
      <c r="J1195" s="46"/>
      <c r="K1195" s="831"/>
      <c r="L1195" s="832"/>
      <c r="M1195" s="1227" t="str">
        <f t="shared" si="315"/>
        <v/>
      </c>
      <c r="N1195" s="1227" t="str">
        <f t="shared" si="316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23"/>
        <v>1.0450838936885531</v>
      </c>
      <c r="D1196" s="1236">
        <f t="shared" si="323"/>
        <v>0.38366190941633105</v>
      </c>
      <c r="E1196" s="1236">
        <f t="shared" si="323"/>
        <v>0</v>
      </c>
      <c r="F1196" s="1236">
        <f t="shared" si="323"/>
        <v>0</v>
      </c>
      <c r="G1196" s="832"/>
      <c r="H1196" s="46"/>
      <c r="I1196" s="46"/>
      <c r="J1196" s="46"/>
      <c r="K1196" s="831"/>
      <c r="L1196" s="832"/>
      <c r="M1196" s="1227" t="str">
        <f t="shared" si="315"/>
        <v>yes</v>
      </c>
      <c r="N1196" s="1227" t="str">
        <f t="shared" si="316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2.7094767614147672</v>
      </c>
      <c r="G1197" s="832"/>
      <c r="H1197" s="46"/>
      <c r="I1197" s="46"/>
      <c r="J1197" s="46"/>
      <c r="K1197" s="831"/>
      <c r="L1197" s="832"/>
      <c r="M1197" s="1227" t="str">
        <f t="shared" si="315"/>
        <v>yes</v>
      </c>
      <c r="N1197" s="1227" t="str">
        <f t="shared" si="316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1.7679335868231358</v>
      </c>
      <c r="D1198" s="1236">
        <f>IF(D$1111=0,0,MAX(SUM(D977,N977)/D$1111,SUM(D977)/D$1111))</f>
        <v>2.8043084480642841</v>
      </c>
      <c r="E1198" s="1236">
        <f>IF(E$1111=0,0,MAX(SUM(E977,O977)/E$1111,SUM(E977)/E$1111))</f>
        <v>1.0799200234781716</v>
      </c>
      <c r="F1198" s="1236">
        <f>IF(F$1111=0,0,MAX(SUM(F977,P977)/F$1111,SUM(F977)/F$1111))</f>
        <v>0.83993779603857788</v>
      </c>
      <c r="G1198" s="832"/>
      <c r="H1198" s="46"/>
      <c r="I1198" s="46"/>
      <c r="J1198" s="46"/>
      <c r="K1198" s="831"/>
      <c r="L1198" s="832"/>
      <c r="M1198" s="1227" t="str">
        <f t="shared" si="315"/>
        <v>yes</v>
      </c>
      <c r="N1198" s="1227" t="str">
        <f t="shared" si="316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15"/>
        <v/>
      </c>
      <c r="N1199" s="1227" t="str">
        <f t="shared" si="316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15"/>
        <v/>
      </c>
      <c r="N1200" s="1227" t="str">
        <f t="shared" si="316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0.67736919035369181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15"/>
        <v>yes</v>
      </c>
      <c r="N1201" s="1227" t="str">
        <f t="shared" si="316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0" t="s">
        <v>579</v>
      </c>
      <c r="D42" s="1560"/>
      <c r="E42" s="1560"/>
      <c r="F42" s="1560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0" t="s">
        <v>579</v>
      </c>
      <c r="D70" s="1560"/>
      <c r="E70" s="1560"/>
      <c r="F70" s="1560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0" t="s">
        <v>579</v>
      </c>
      <c r="D83" s="1560"/>
      <c r="E83" s="1560"/>
      <c r="F83" s="1560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0" t="s">
        <v>579</v>
      </c>
      <c r="D86" s="1560"/>
      <c r="E86" s="1560"/>
      <c r="F86" s="1560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0" t="s">
        <v>579</v>
      </c>
      <c r="D89" s="1560"/>
      <c r="E89" s="1560"/>
      <c r="F89" s="1560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0" t="s">
        <v>579</v>
      </c>
      <c r="D92" s="1560"/>
      <c r="E92" s="1560"/>
      <c r="F92" s="1560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0" t="s">
        <v>579</v>
      </c>
      <c r="D95" s="1560"/>
      <c r="E95" s="1560"/>
      <c r="F95" s="1560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61"/>
      <c r="AM1" s="1561"/>
      <c r="AN1" s="1561"/>
      <c r="AO1" s="1561"/>
      <c r="AP1" s="1561"/>
      <c r="AQ1" s="1561"/>
      <c r="AR1" s="1561"/>
      <c r="AS1" s="1561"/>
      <c r="AT1" s="1561"/>
      <c r="AU1" s="1561"/>
      <c r="AV1" s="1561"/>
      <c r="AW1" s="156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</row>
    <row r="2" spans="1:133" ht="13" thickBot="1">
      <c r="A2" t="s">
        <v>42</v>
      </c>
      <c r="B2" s="1561"/>
      <c r="C2" s="1561"/>
      <c r="D2" s="1561"/>
      <c r="E2" s="1561"/>
      <c r="F2" s="1561"/>
      <c r="G2" s="1561"/>
      <c r="H2" s="1561"/>
      <c r="I2" s="1561"/>
      <c r="J2" s="1561"/>
      <c r="K2" s="1561"/>
      <c r="L2" s="1561"/>
      <c r="M2" s="1561"/>
      <c r="N2" s="1561"/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/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/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/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/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/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/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/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</row>
    <row r="3" spans="1:133" ht="13" thickBot="1">
      <c r="A3" s="1442" t="s">
        <v>747</v>
      </c>
      <c r="B3" s="1561"/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/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/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/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/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/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/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/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/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748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2016-04-25T14:51:19Z</dcterms:modified>
  <cp:category/>
</cp:coreProperties>
</file>