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9520" windowHeight="182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83" i="7" l="1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V249" i="4"/>
  <c r="BD249" i="4"/>
  <c r="B249" i="4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E1039" i="7"/>
  <c r="J1039" i="7"/>
  <c r="K474" i="7"/>
  <c r="P474" i="7"/>
  <c r="K501" i="7"/>
  <c r="P501" i="7"/>
  <c r="K507" i="7"/>
  <c r="P507" i="7"/>
  <c r="K483" i="7"/>
  <c r="P483" i="7"/>
  <c r="K492" i="7"/>
  <c r="P492" i="7"/>
  <c r="H1039" i="7"/>
  <c r="J474" i="7"/>
  <c r="O474" i="7"/>
  <c r="J501" i="7"/>
  <c r="O501" i="7"/>
  <c r="J507" i="7"/>
  <c r="O507" i="7"/>
  <c r="J483" i="7"/>
  <c r="O483" i="7"/>
  <c r="J492" i="7"/>
  <c r="O492" i="7"/>
  <c r="I474" i="7"/>
  <c r="N474" i="7"/>
  <c r="I501" i="7"/>
  <c r="N501" i="7"/>
  <c r="I507" i="7"/>
  <c r="N507" i="7"/>
  <c r="I483" i="7"/>
  <c r="N483" i="7"/>
  <c r="I492" i="7"/>
  <c r="N492" i="7"/>
  <c r="C1039" i="7"/>
  <c r="H474" i="7"/>
  <c r="M474" i="7"/>
  <c r="H501" i="7"/>
  <c r="M501" i="7"/>
  <c r="H507" i="7"/>
  <c r="M507" i="7"/>
  <c r="H483" i="7"/>
  <c r="M483" i="7"/>
  <c r="H492" i="7"/>
  <c r="M492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0" i="3"/>
  <c r="AD10" i="3"/>
  <c r="AE10" i="3"/>
  <c r="AF10" i="3"/>
  <c r="AG10" i="3"/>
  <c r="AH10" i="3"/>
  <c r="AI10" i="3"/>
  <c r="AJ10" i="3"/>
  <c r="AU10" i="3"/>
  <c r="AV10" i="3"/>
  <c r="AW10" i="3"/>
  <c r="AX10" i="3"/>
  <c r="AY10" i="3"/>
  <c r="AZ10" i="3"/>
  <c r="BA10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11" i="3"/>
  <c r="AV11" i="3"/>
  <c r="AW11" i="3"/>
  <c r="AX11" i="3"/>
  <c r="AY11" i="3"/>
  <c r="AZ11" i="3"/>
  <c r="BA11" i="3"/>
  <c r="BB11" i="3"/>
  <c r="AU12" i="3"/>
  <c r="AV12" i="3"/>
  <c r="AW12" i="3"/>
  <c r="AX12" i="3"/>
  <c r="AY12" i="3"/>
  <c r="AZ12" i="3"/>
  <c r="BA12" i="3"/>
  <c r="BB12" i="3"/>
  <c r="AU13" i="3"/>
  <c r="AV13" i="3"/>
  <c r="AW13" i="3"/>
  <c r="AX13" i="3"/>
  <c r="AY13" i="3"/>
  <c r="AZ13" i="3"/>
  <c r="BA13" i="3"/>
  <c r="BB13" i="3"/>
  <c r="AU14" i="3"/>
  <c r="AV14" i="3"/>
  <c r="AW14" i="3"/>
  <c r="AX14" i="3"/>
  <c r="AY14" i="3"/>
  <c r="AZ14" i="3"/>
  <c r="BA14" i="3"/>
  <c r="BB14" i="3"/>
  <c r="AU15" i="3"/>
  <c r="AV15" i="3"/>
  <c r="AW15" i="3"/>
  <c r="AX15" i="3"/>
  <c r="AY15" i="3"/>
  <c r="AZ15" i="3"/>
  <c r="BA15" i="3"/>
  <c r="BB15" i="3"/>
  <c r="AU16" i="3"/>
  <c r="AV16" i="3"/>
  <c r="AW16" i="3"/>
  <c r="AX16" i="3"/>
  <c r="AY16" i="3"/>
  <c r="AZ16" i="3"/>
  <c r="BA16" i="3"/>
  <c r="BB16" i="3"/>
  <c r="AU17" i="3"/>
  <c r="AV17" i="3"/>
  <c r="AW17" i="3"/>
  <c r="AX17" i="3"/>
  <c r="AY17" i="3"/>
  <c r="AZ17" i="3"/>
  <c r="BA17" i="3"/>
  <c r="BB17" i="3"/>
  <c r="AU18" i="3"/>
  <c r="AV18" i="3"/>
  <c r="AW18" i="3"/>
  <c r="AX18" i="3"/>
  <c r="AY18" i="3"/>
  <c r="AZ18" i="3"/>
  <c r="BA18" i="3"/>
  <c r="BB18" i="3"/>
  <c r="AU19" i="3"/>
  <c r="AV19" i="3"/>
  <c r="AW19" i="3"/>
  <c r="AX19" i="3"/>
  <c r="AY19" i="3"/>
  <c r="AZ19" i="3"/>
  <c r="BA19" i="3"/>
  <c r="BB19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11" i="3"/>
  <c r="AD11" i="3"/>
  <c r="AE11" i="3"/>
  <c r="AF11" i="3"/>
  <c r="AG11" i="3"/>
  <c r="AH11" i="3"/>
  <c r="AI11" i="3"/>
  <c r="AJ11" i="3"/>
  <c r="AC12" i="3"/>
  <c r="AD12" i="3"/>
  <c r="AE12" i="3"/>
  <c r="AF12" i="3"/>
  <c r="AG12" i="3"/>
  <c r="AH12" i="3"/>
  <c r="AI12" i="3"/>
  <c r="AJ12" i="3"/>
  <c r="AC13" i="3"/>
  <c r="AD13" i="3"/>
  <c r="AE13" i="3"/>
  <c r="AF13" i="3"/>
  <c r="AG13" i="3"/>
  <c r="AH13" i="3"/>
  <c r="AI13" i="3"/>
  <c r="AJ13" i="3"/>
  <c r="AC14" i="3"/>
  <c r="AD14" i="3"/>
  <c r="AE14" i="3"/>
  <c r="AF14" i="3"/>
  <c r="AG14" i="3"/>
  <c r="AH14" i="3"/>
  <c r="AI14" i="3"/>
  <c r="AJ14" i="3"/>
  <c r="AC15" i="3"/>
  <c r="AD15" i="3"/>
  <c r="AE15" i="3"/>
  <c r="AF15" i="3"/>
  <c r="AG15" i="3"/>
  <c r="AH15" i="3"/>
  <c r="AI15" i="3"/>
  <c r="AJ15" i="3"/>
  <c r="AC16" i="3"/>
  <c r="AD16" i="3"/>
  <c r="AE16" i="3"/>
  <c r="AF16" i="3"/>
  <c r="AG16" i="3"/>
  <c r="AH16" i="3"/>
  <c r="AI16" i="3"/>
  <c r="AJ16" i="3"/>
  <c r="AC17" i="3"/>
  <c r="AD17" i="3"/>
  <c r="AE17" i="3"/>
  <c r="AF17" i="3"/>
  <c r="AG17" i="3"/>
  <c r="AH17" i="3"/>
  <c r="AI17" i="3"/>
  <c r="AJ17" i="3"/>
  <c r="AC18" i="3"/>
  <c r="AD18" i="3"/>
  <c r="AE18" i="3"/>
  <c r="AF18" i="3"/>
  <c r="AG18" i="3"/>
  <c r="AH18" i="3"/>
  <c r="AI18" i="3"/>
  <c r="AJ18" i="3"/>
  <c r="AC19" i="3"/>
  <c r="AD19" i="3"/>
  <c r="AE19" i="3"/>
  <c r="AF19" i="3"/>
  <c r="AG19" i="3"/>
  <c r="AH19" i="3"/>
  <c r="AI19" i="3"/>
  <c r="AJ19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54" i="3"/>
  <c r="BY858" i="3"/>
  <c r="BY461" i="3"/>
  <c r="BY463" i="3"/>
  <c r="BY859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DM626" i="3"/>
  <c r="C625" i="3"/>
  <c r="D625" i="3"/>
  <c r="E625" i="3"/>
  <c r="DL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DM620" i="3"/>
  <c r="B619" i="3"/>
  <c r="C619" i="3"/>
  <c r="E619" i="3"/>
  <c r="F619" i="3"/>
  <c r="G619" i="3"/>
  <c r="H619" i="3"/>
  <c r="I619" i="3"/>
  <c r="DL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4" i="3"/>
  <c r="AM614" i="3"/>
  <c r="AN614" i="3"/>
  <c r="AO614" i="3"/>
  <c r="AP614" i="3"/>
  <c r="AQ614" i="3"/>
  <c r="AR614" i="3"/>
  <c r="AS614" i="3"/>
  <c r="AT614" i="3"/>
  <c r="DN614" i="3"/>
  <c r="DM614" i="3"/>
  <c r="DL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DM608" i="3"/>
  <c r="F607" i="3"/>
  <c r="I607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DM602" i="3"/>
  <c r="B601" i="3"/>
  <c r="D601" i="3"/>
  <c r="G601" i="3"/>
  <c r="H601" i="3"/>
  <c r="I601" i="3"/>
  <c r="J601" i="3"/>
  <c r="DL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DM596" i="3"/>
  <c r="C595" i="3"/>
  <c r="I595" i="3"/>
  <c r="DL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E588" i="3"/>
  <c r="DL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E576" i="3"/>
  <c r="F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BX178" i="3"/>
  <c r="E178" i="7"/>
  <c r="E179" i="7"/>
  <c r="E176" i="7"/>
  <c r="E177" i="7"/>
  <c r="J17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BY178" i="3"/>
  <c r="F178" i="7"/>
  <c r="F179" i="7"/>
  <c r="F176" i="7"/>
  <c r="F177" i="7"/>
  <c r="K177" i="7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8" i="7"/>
  <c r="C176" i="7"/>
  <c r="C177" i="7"/>
  <c r="H177" i="7"/>
  <c r="I17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7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7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7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7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<sst xmlns="http://schemas.openxmlformats.org/spreadsheetml/2006/main" count="5065" uniqueCount="1111">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</sst>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65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9" fillId="38" borderId="51" xfId="0" applyFont="1" applyFill="1" applyBorder="1" applyAlignment="1">
      <alignment horizontal="center" vertical="center" wrapText="1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" fontId="8" fillId="39" borderId="59" xfId="0" applyNumberFormat="1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31" fillId="38" borderId="13" xfId="0" applyFont="1" applyFill="1" applyBorder="1" applyAlignment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0" fontId="31" fillId="39" borderId="37" xfId="0" applyFont="1" applyFill="1" applyBorder="1" applyAlignment="1" applyProtection="1">
      <alignment horizontal="center" vertical="center" wrapText="1"/>
      <protection locked="0"/>
    </xf>
    <xf numFmtId="0" fontId="31" fillId="39" borderId="49" xfId="0" applyFont="1" applyFill="1" applyBorder="1" applyAlignment="1" applyProtection="1">
      <alignment horizontal="center" vertical="center" wrapText="1"/>
      <protection locked="0"/>
    </xf>
    <xf numFmtId="9" fontId="31" fillId="38" borderId="27" xfId="0" applyNumberFormat="1" applyFont="1" applyFill="1" applyBorder="1" applyAlignment="1">
      <alignment horizontal="right" vertical="center" wrapText="1"/>
    </xf>
    <xf numFmtId="1" fontId="31" fillId="39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8" borderId="53" xfId="0" applyNumberFormat="1" applyFont="1" applyFill="1" applyBorder="1" applyAlignment="1">
      <alignment horizontal="right" vertical="center" wrapText="1"/>
    </xf>
    <xf numFmtId="9" fontId="31" fillId="41" borderId="13" xfId="0" applyNumberFormat="1" applyFont="1" applyFill="1" applyBorder="1" applyAlignment="1">
      <alignment horizontal="right" vertical="center" wrapText="1"/>
    </xf>
    <xf numFmtId="9" fontId="31" fillId="41" borderId="69" xfId="0" applyNumberFormat="1" applyFont="1" applyFill="1" applyBorder="1" applyAlignment="1">
      <alignment horizontal="right" vertical="center" wrapText="1"/>
    </xf>
    <xf numFmtId="0" fontId="31" fillId="39" borderId="37" xfId="0" applyFont="1" applyFill="1" applyBorder="1" applyAlignment="1" applyProtection="1">
      <alignment horizontal="right" vertical="center"/>
      <protection locked="0"/>
    </xf>
    <xf numFmtId="0" fontId="31" fillId="41" borderId="72" xfId="0" applyFont="1" applyFill="1" applyBorder="1" applyAlignment="1">
      <alignment horizontal="right" vertical="center"/>
    </xf>
    <xf numFmtId="9" fontId="31" fillId="41" borderId="59" xfId="0" applyNumberFormat="1" applyFont="1" applyFill="1" applyBorder="1" applyAlignment="1">
      <alignment horizontal="right" vertical="center" wrapText="1"/>
    </xf>
    <xf numFmtId="0" fontId="31" fillId="41" borderId="59" xfId="0" applyFont="1" applyFill="1" applyBorder="1" applyAlignment="1">
      <alignment horizontal="right" vertical="center"/>
    </xf>
    <xf numFmtId="0" fontId="31" fillId="41" borderId="46" xfId="0" applyFont="1" applyFill="1" applyBorder="1" applyAlignment="1">
      <alignment horizontal="right" vertical="center"/>
    </xf>
    <xf numFmtId="0" fontId="31" fillId="39" borderId="33" xfId="0" applyFont="1" applyFill="1" applyBorder="1" applyAlignment="1" applyProtection="1">
      <alignment horizontal="right" vertical="center"/>
      <protection locked="0"/>
    </xf>
    <xf numFmtId="0" fontId="31" fillId="39" borderId="59" xfId="0" applyFont="1" applyFill="1" applyBorder="1" applyAlignment="1" applyProtection="1">
      <alignment horizontal="right" vertical="center"/>
      <protection locked="0"/>
    </xf>
    <xf numFmtId="0" fontId="31" fillId="41" borderId="49" xfId="0" applyFont="1" applyFill="1" applyBorder="1" applyAlignment="1">
      <alignment horizontal="right" vertical="center"/>
    </xf>
    <xf numFmtId="9" fontId="31" fillId="41" borderId="0" xfId="0" applyNumberFormat="1" applyFont="1" applyFill="1" applyBorder="1" applyAlignment="1">
      <alignment horizontal="right" vertical="center" wrapText="1"/>
    </xf>
    <xf numFmtId="0" fontId="31" fillId="41" borderId="0" xfId="0" applyFont="1" applyFill="1" applyBorder="1" applyAlignment="1">
      <alignment horizontal="right" vertical="center"/>
    </xf>
    <xf numFmtId="0" fontId="31" fillId="41" borderId="70" xfId="0" applyFont="1" applyFill="1" applyBorder="1" applyAlignment="1">
      <alignment horizontal="right" vertical="center"/>
    </xf>
    <xf numFmtId="0" fontId="31" fillId="41" borderId="13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9" fillId="38" borderId="18" xfId="0" applyFont="1" applyFill="1" applyBorder="1"/>
    <xf numFmtId="0" fontId="9" fillId="38" borderId="24" xfId="0" applyFont="1" applyFill="1" applyBorder="1"/>
    <xf numFmtId="0" fontId="40" fillId="39" borderId="33" xfId="0" applyFont="1" applyFill="1" applyBorder="1" applyAlignment="1" applyProtection="1">
      <alignment horizontal="center" vertical="center" wrapText="1"/>
      <protection locked="0"/>
    </xf>
    <xf numFmtId="0" fontId="9" fillId="39" borderId="37" xfId="0" applyFont="1" applyFill="1" applyBorder="1" applyAlignment="1" applyProtection="1">
      <alignment horizontal="center" vertical="center" wrapText="1"/>
      <protection locked="0"/>
    </xf>
    <xf numFmtId="0" fontId="31" fillId="38" borderId="22" xfId="0" applyFont="1" applyFill="1" applyBorder="1" applyAlignment="1" applyProtection="1">
      <alignment horizontal="center" vertical="center" wrapText="1"/>
    </xf>
    <xf numFmtId="0" fontId="31" fillId="39" borderId="44" xfId="0" applyFont="1" applyFill="1" applyBorder="1" applyAlignment="1" applyProtection="1">
      <alignment vertical="center" wrapText="1"/>
      <protection locked="0"/>
    </xf>
    <xf numFmtId="0" fontId="9" fillId="38" borderId="52" xfId="0" applyFont="1" applyFill="1" applyBorder="1" applyAlignment="1">
      <alignment vertical="center" wrapText="1"/>
    </xf>
    <xf numFmtId="0" fontId="31" fillId="39" borderId="57" xfId="0" applyFont="1" applyFill="1" applyBorder="1" applyAlignment="1" applyProtection="1">
      <alignment vertical="center" wrapText="1"/>
      <protection locked="0"/>
    </xf>
    <xf numFmtId="0" fontId="31" fillId="39" borderId="60" xfId="0" applyFont="1" applyFill="1" applyBorder="1" applyAlignment="1" applyProtection="1">
      <alignment vertical="center" wrapText="1"/>
      <protection locked="0"/>
    </xf>
    <xf numFmtId="0" fontId="31" fillId="39" borderId="24" xfId="0" applyFont="1" applyFill="1" applyBorder="1" applyAlignment="1" applyProtection="1">
      <alignment vertical="center" wrapText="1"/>
      <protection locked="0"/>
    </xf>
    <xf numFmtId="0" fontId="31" fillId="39" borderId="60" xfId="0" applyNumberFormat="1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</xf>
    <xf numFmtId="0" fontId="31" fillId="39" borderId="57" xfId="0" applyNumberFormat="1" applyFont="1" applyFill="1" applyBorder="1" applyAlignment="1" applyProtection="1">
      <alignment vertical="center" wrapText="1"/>
      <protection locked="0"/>
    </xf>
    <xf numFmtId="0" fontId="31" fillId="39" borderId="66" xfId="0" applyFont="1" applyFill="1" applyBorder="1" applyAlignment="1" applyProtection="1">
      <alignment vertical="center" wrapText="1"/>
      <protection locked="0"/>
    </xf>
    <xf numFmtId="0" fontId="31" fillId="41" borderId="15" xfId="0" applyFont="1" applyFill="1" applyBorder="1" applyAlignment="1" applyProtection="1">
      <alignment vertical="center" wrapText="1"/>
    </xf>
    <xf numFmtId="0" fontId="31" fillId="41" borderId="0" xfId="0" applyFont="1" applyFill="1" applyBorder="1" applyAlignment="1" applyProtection="1">
      <alignment vertical="center" wrapText="1"/>
    </xf>
    <xf numFmtId="0" fontId="31" fillId="41" borderId="70" xfId="0" applyFont="1" applyFill="1" applyBorder="1" applyAlignment="1" applyProtection="1">
      <alignment vertical="center" wrapText="1"/>
    </xf>
    <xf numFmtId="0" fontId="31" fillId="39" borderId="33" xfId="0" applyNumberFormat="1" applyFont="1" applyFill="1" applyBorder="1" applyAlignment="1" applyProtection="1">
      <alignment vertical="center" wrapText="1"/>
      <protection locked="0"/>
    </xf>
    <xf numFmtId="0" fontId="31" fillId="39" borderId="49" xfId="0" applyFont="1" applyFill="1" applyBorder="1" applyAlignment="1" applyProtection="1">
      <alignment vertical="center" wrapText="1"/>
      <protection locked="0"/>
    </xf>
    <xf numFmtId="0" fontId="31" fillId="39" borderId="33" xfId="0" applyFont="1" applyFill="1" applyBorder="1" applyAlignment="1" applyProtection="1">
      <alignment vertical="center" wrapText="1"/>
      <protection locked="0"/>
    </xf>
    <xf numFmtId="0" fontId="31" fillId="39" borderId="37" xfId="0" applyFont="1" applyFill="1" applyBorder="1" applyAlignment="1" applyProtection="1">
      <alignment vertical="center" wrapText="1"/>
      <protection locked="0"/>
    </xf>
    <xf numFmtId="0" fontId="31" fillId="39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1" customWidth="1"/>
    <col min="21" max="26" width="9" style="1261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1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1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1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5" t="s">
        <v>690</v>
      </c>
      <c r="B1" s="1547" t="s">
        <v>828</v>
      </c>
      <c r="C1" s="1316"/>
      <c r="D1" s="1546" t="s">
        <v>841</v>
      </c>
      <c r="E1" s="1316"/>
      <c r="F1" s="1316"/>
      <c r="G1" s="1316"/>
      <c r="H1" s="1316"/>
      <c r="I1" s="1316"/>
      <c r="J1" s="1316"/>
      <c r="K1" s="1316"/>
      <c r="L1" s="1316"/>
      <c r="M1" s="1316"/>
      <c r="N1" s="1317"/>
      <c r="O1" s="1317"/>
      <c r="P1" s="1317"/>
      <c r="Q1" s="1317"/>
      <c r="R1" s="1317"/>
      <c r="S1" s="1317"/>
      <c r="T1" s="1318"/>
      <c r="U1" s="1318"/>
      <c r="V1" s="1319"/>
      <c r="W1" s="1319"/>
      <c r="X1" s="1319"/>
      <c r="Y1" s="1319"/>
      <c r="Z1" s="1319"/>
      <c r="AA1" s="1319"/>
      <c r="AB1" s="1319"/>
      <c r="AC1" s="1319"/>
      <c r="AD1" s="1319"/>
      <c r="AE1" s="1319"/>
      <c r="AF1" s="1319"/>
      <c r="AG1" s="1319"/>
      <c r="AH1" s="1319"/>
      <c r="AI1" s="1319"/>
      <c r="AJ1" s="1319"/>
      <c r="AK1" s="1319"/>
      <c r="AL1" s="1319"/>
      <c r="AM1" s="1319"/>
      <c r="AN1" s="1319"/>
      <c r="AO1" s="1319"/>
      <c r="AP1" s="1319"/>
      <c r="AQ1" s="1319"/>
      <c r="AR1" s="1319"/>
      <c r="AS1" s="1319"/>
      <c r="AT1" s="1319"/>
      <c r="AU1" s="1319"/>
      <c r="AV1" s="1319"/>
      <c r="AW1" s="1319"/>
      <c r="AX1" s="1319"/>
      <c r="AY1" s="1319"/>
      <c r="AZ1" s="1319"/>
      <c r="BA1" s="1319"/>
      <c r="BB1" s="1320"/>
      <c r="BC1" s="1319"/>
      <c r="BD1" s="1320"/>
      <c r="BE1" s="1319"/>
      <c r="BF1" s="1319"/>
      <c r="BG1" s="1319"/>
      <c r="BH1" s="1319"/>
      <c r="BI1" s="1319"/>
      <c r="BJ1" s="1319"/>
      <c r="BK1" s="1319"/>
      <c r="BL1" s="1319"/>
      <c r="BM1" s="1319"/>
      <c r="BN1" s="1319"/>
      <c r="BO1" s="1319"/>
      <c r="BP1" s="1319"/>
      <c r="BQ1" s="1319"/>
      <c r="BR1" s="1319"/>
      <c r="BS1" s="1319"/>
      <c r="BT1" s="1319"/>
      <c r="BU1" s="1319"/>
      <c r="BV1" s="1319"/>
      <c r="BW1" s="1319"/>
      <c r="BX1" s="1319"/>
      <c r="BY1" s="1319"/>
      <c r="BZ1" s="1319"/>
      <c r="CA1" s="1319"/>
      <c r="CB1" s="1319"/>
      <c r="CC1" s="1319"/>
      <c r="CD1" s="1319"/>
      <c r="CE1" s="1319"/>
      <c r="CF1" s="1319"/>
      <c r="CG1" s="1319"/>
      <c r="CH1" s="1319"/>
      <c r="CI1" s="1319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8" t="s">
        <v>840</v>
      </c>
      <c r="B2" s="1321"/>
      <c r="C2" s="1772" t="s">
        <v>31</v>
      </c>
      <c r="D2" s="1773"/>
      <c r="E2" s="1323"/>
      <c r="F2" s="1323"/>
      <c r="G2" s="1323"/>
      <c r="H2" s="1323"/>
      <c r="I2" s="1323"/>
      <c r="J2" s="1323"/>
      <c r="K2" s="1323"/>
      <c r="L2" s="1721"/>
      <c r="M2" s="1323"/>
      <c r="N2" s="1323"/>
      <c r="O2" s="1323"/>
      <c r="P2" s="1323"/>
      <c r="Q2" s="1323"/>
      <c r="R2" s="1323"/>
      <c r="S2" s="1324"/>
      <c r="T2" s="1325" t="s">
        <v>32</v>
      </c>
      <c r="U2" s="1319"/>
      <c r="V2" s="1319"/>
      <c r="W2" s="1319"/>
      <c r="X2" s="1319"/>
      <c r="Y2" s="1319"/>
      <c r="Z2" s="1319"/>
      <c r="AA2" s="1319"/>
      <c r="AB2" s="1319"/>
      <c r="AC2" s="1319"/>
      <c r="AD2" s="1319"/>
      <c r="AE2" s="1319"/>
      <c r="AF2" s="1319"/>
      <c r="AG2" s="1319"/>
      <c r="AH2" s="1319"/>
      <c r="AI2" s="1319"/>
      <c r="AJ2" s="1319"/>
      <c r="AK2" s="1319"/>
      <c r="AL2" s="1319"/>
      <c r="AM2" s="1319"/>
      <c r="AN2" s="1319"/>
      <c r="AO2" s="1319"/>
      <c r="AP2" s="1319"/>
      <c r="AQ2" s="1319"/>
      <c r="AR2" s="1319"/>
      <c r="AS2" s="1319"/>
      <c r="AT2" s="1319"/>
      <c r="AU2" s="1319"/>
      <c r="AV2" s="1319"/>
      <c r="AW2" s="1319"/>
      <c r="AX2" s="1319"/>
      <c r="AY2" s="1319"/>
      <c r="AZ2" s="1319"/>
      <c r="BA2" s="1692"/>
      <c r="BB2" s="1327"/>
      <c r="BC2" s="1319"/>
      <c r="BD2" s="1320"/>
      <c r="BE2" s="1319"/>
      <c r="BF2" s="1319"/>
      <c r="BG2" s="1319"/>
      <c r="BH2" s="1319"/>
      <c r="BI2" s="1319"/>
      <c r="BJ2" s="1319"/>
      <c r="BK2" s="1668"/>
      <c r="BL2" s="1319"/>
      <c r="BM2" s="1319"/>
      <c r="BN2" s="1319"/>
      <c r="BO2" s="1319"/>
      <c r="BP2" s="1319"/>
      <c r="BQ2" s="1319"/>
      <c r="BR2" s="1326"/>
      <c r="BS2" s="1328"/>
      <c r="BT2" s="1319"/>
      <c r="BU2" s="1319"/>
      <c r="BV2" s="1319"/>
      <c r="BW2" s="1319"/>
      <c r="BX2" s="1319"/>
      <c r="BY2" s="1319"/>
      <c r="BZ2" s="1319"/>
      <c r="CA2" s="1319"/>
      <c r="CB2" s="1319"/>
      <c r="CC2" s="1319"/>
      <c r="CD2" s="1319"/>
      <c r="CE2" s="1319"/>
      <c r="CF2" s="1319"/>
      <c r="CG2" s="1319"/>
      <c r="CH2" s="1319"/>
      <c r="CI2" s="1326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2" t="s">
        <v>33</v>
      </c>
      <c r="B3" s="1329"/>
      <c r="C3" s="1330"/>
      <c r="D3" s="1331"/>
      <c r="E3" s="1331"/>
      <c r="F3" s="1331"/>
      <c r="G3" s="1331"/>
      <c r="H3" s="1331"/>
      <c r="I3" s="1331"/>
      <c r="J3" s="1331"/>
      <c r="K3" s="1331"/>
      <c r="L3" s="1722"/>
      <c r="M3" s="1331"/>
      <c r="N3" s="1332"/>
      <c r="O3" s="1332"/>
      <c r="P3" s="1332"/>
      <c r="Q3" s="1332"/>
      <c r="R3" s="1332"/>
      <c r="S3" s="1333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9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9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69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7"/>
      <c r="CL3" s="1068" t="s">
        <v>38</v>
      </c>
      <c r="CM3" s="1069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4" t="s">
        <v>691</v>
      </c>
      <c r="B4" s="1335"/>
      <c r="C4" s="1336" t="s">
        <v>778</v>
      </c>
      <c r="D4" s="1337" t="s">
        <v>780</v>
      </c>
      <c r="E4" s="1337" t="s">
        <v>780</v>
      </c>
      <c r="F4" s="1337" t="s">
        <v>814</v>
      </c>
      <c r="G4" s="1337" t="s">
        <v>814</v>
      </c>
      <c r="H4" s="1337" t="s">
        <v>814</v>
      </c>
      <c r="I4" s="1337" t="s">
        <v>814</v>
      </c>
      <c r="J4" s="1337" t="s">
        <v>814</v>
      </c>
      <c r="K4" s="1337" t="s">
        <v>814</v>
      </c>
      <c r="L4" s="1723" t="s">
        <v>692</v>
      </c>
      <c r="M4" s="1337" t="s">
        <v>692</v>
      </c>
      <c r="N4" s="1337" t="s">
        <v>692</v>
      </c>
      <c r="O4" s="1337" t="s">
        <v>692</v>
      </c>
      <c r="P4" s="1337" t="s">
        <v>692</v>
      </c>
      <c r="Q4" s="1337" t="s">
        <v>692</v>
      </c>
      <c r="R4" s="1337" t="s">
        <v>692</v>
      </c>
      <c r="S4" s="1337" t="s">
        <v>692</v>
      </c>
      <c r="T4" s="1338" t="str">
        <f t="shared" ref="T4:AC5" si="4">IF(C4="","",C4)</f>
        <v xml:space="preserve">Mbala </v>
      </c>
      <c r="U4" s="1339" t="str">
        <f t="shared" si="4"/>
        <v>Mbala</v>
      </c>
      <c r="V4" s="1339" t="str">
        <f t="shared" si="4"/>
        <v>Mbala</v>
      </c>
      <c r="W4" s="1339" t="str">
        <f t="shared" si="4"/>
        <v>Nakonde</v>
      </c>
      <c r="X4" s="1339" t="str">
        <f t="shared" si="4"/>
        <v>Nakonde</v>
      </c>
      <c r="Y4" s="1339" t="str">
        <f t="shared" si="4"/>
        <v>Nakonde</v>
      </c>
      <c r="Z4" s="1339" t="str">
        <f t="shared" si="4"/>
        <v>Nakonde</v>
      </c>
      <c r="AA4" s="1339" t="s">
        <v>814</v>
      </c>
      <c r="AB4" s="1339" t="str">
        <f t="shared" si="4"/>
        <v>Nakonde</v>
      </c>
      <c r="AC4" s="1339" t="str">
        <f t="shared" si="4"/>
        <v>District</v>
      </c>
      <c r="AD4" s="1339" t="str">
        <f t="shared" ref="AD4:AM5" si="5">IF(M4="","",M4)</f>
        <v>District</v>
      </c>
      <c r="AE4" s="1339" t="str">
        <f t="shared" si="5"/>
        <v>District</v>
      </c>
      <c r="AF4" s="1339" t="str">
        <f t="shared" si="5"/>
        <v>District</v>
      </c>
      <c r="AG4" s="1339" t="str">
        <f t="shared" si="5"/>
        <v>District</v>
      </c>
      <c r="AH4" s="1339" t="str">
        <f t="shared" si="5"/>
        <v>District</v>
      </c>
      <c r="AI4" s="1339" t="str">
        <f t="shared" si="5"/>
        <v>District</v>
      </c>
      <c r="AJ4" s="1670" t="str">
        <f t="shared" si="5"/>
        <v>District</v>
      </c>
      <c r="AK4" s="1338" t="str">
        <f t="shared" si="5"/>
        <v xml:space="preserve">Mbala </v>
      </c>
      <c r="AL4" s="1339" t="str">
        <f t="shared" si="5"/>
        <v>Mbala</v>
      </c>
      <c r="AM4" s="1339" t="str">
        <f t="shared" si="5"/>
        <v>Mbala</v>
      </c>
      <c r="AN4" s="1339" t="str">
        <f t="shared" ref="AN4:AW5" si="6">IF(W4="","",W4)</f>
        <v>Nakonde</v>
      </c>
      <c r="AO4" s="1339" t="str">
        <f t="shared" si="6"/>
        <v>Nakonde</v>
      </c>
      <c r="AP4" s="1339" t="str">
        <f t="shared" si="6"/>
        <v>Nakonde</v>
      </c>
      <c r="AQ4" s="1339" t="str">
        <f t="shared" si="6"/>
        <v>Nakonde</v>
      </c>
      <c r="AR4" s="1339" t="str">
        <f t="shared" si="6"/>
        <v>Nakonde</v>
      </c>
      <c r="AS4" s="1339" t="str">
        <f t="shared" si="6"/>
        <v>Nakonde</v>
      </c>
      <c r="AT4" s="1339" t="str">
        <f t="shared" si="6"/>
        <v>District</v>
      </c>
      <c r="AU4" s="1339" t="str">
        <f t="shared" si="6"/>
        <v>District</v>
      </c>
      <c r="AV4" s="1339" t="str">
        <f t="shared" si="6"/>
        <v>District</v>
      </c>
      <c r="AW4" s="1339" t="str">
        <f t="shared" si="6"/>
        <v>District</v>
      </c>
      <c r="AX4" s="1339" t="str">
        <f t="shared" ref="AX4:BG5" si="7">IF(AG4="","",AG4)</f>
        <v>District</v>
      </c>
      <c r="AY4" s="1339" t="str">
        <f t="shared" si="7"/>
        <v>District</v>
      </c>
      <c r="AZ4" s="1339" t="str">
        <f t="shared" si="7"/>
        <v>District</v>
      </c>
      <c r="BA4" s="1670" t="str">
        <f t="shared" si="7"/>
        <v>District</v>
      </c>
      <c r="BB4" s="1338" t="str">
        <f t="shared" si="7"/>
        <v xml:space="preserve">Mbala </v>
      </c>
      <c r="BC4" s="1339" t="str">
        <f t="shared" si="7"/>
        <v>Mbala</v>
      </c>
      <c r="BD4" s="1339" t="str">
        <f t="shared" si="7"/>
        <v>Mbala</v>
      </c>
      <c r="BE4" s="1339" t="str">
        <f t="shared" si="7"/>
        <v>Nakonde</v>
      </c>
      <c r="BF4" s="1339" t="str">
        <f t="shared" si="7"/>
        <v>Nakonde</v>
      </c>
      <c r="BG4" s="1339" t="str">
        <f t="shared" si="7"/>
        <v>Nakonde</v>
      </c>
      <c r="BH4" s="1339" t="str">
        <f t="shared" ref="BH4:BQ5" si="8">IF(AQ4="","",AQ4)</f>
        <v>Nakonde</v>
      </c>
      <c r="BI4" s="1339" t="str">
        <f t="shared" si="8"/>
        <v>Nakonde</v>
      </c>
      <c r="BJ4" s="1339" t="str">
        <f t="shared" si="8"/>
        <v>Nakonde</v>
      </c>
      <c r="BK4" s="1670" t="str">
        <f t="shared" si="8"/>
        <v>District</v>
      </c>
      <c r="BL4" s="1339" t="str">
        <f t="shared" si="8"/>
        <v>District</v>
      </c>
      <c r="BM4" s="1339" t="str">
        <f t="shared" si="8"/>
        <v>District</v>
      </c>
      <c r="BN4" s="1339" t="str">
        <f t="shared" si="8"/>
        <v>District</v>
      </c>
      <c r="BO4" s="1339" t="str">
        <f t="shared" si="8"/>
        <v>District</v>
      </c>
      <c r="BP4" s="1339" t="str">
        <f t="shared" si="8"/>
        <v>District</v>
      </c>
      <c r="BQ4" s="1339" t="str">
        <f t="shared" si="8"/>
        <v>District</v>
      </c>
      <c r="BR4" s="1339" t="str">
        <f t="shared" ref="BR4:CA5" si="9">IF(BA4="","",BA4)</f>
        <v>District</v>
      </c>
      <c r="BS4" s="1338" t="str">
        <f t="shared" si="9"/>
        <v xml:space="preserve">Mbala </v>
      </c>
      <c r="BT4" s="1339" t="str">
        <f t="shared" si="9"/>
        <v>Mbala</v>
      </c>
      <c r="BU4" s="1339" t="str">
        <f t="shared" si="9"/>
        <v>Mbala</v>
      </c>
      <c r="BV4" s="1339" t="str">
        <f t="shared" si="9"/>
        <v>Nakonde</v>
      </c>
      <c r="BW4" s="1339" t="str">
        <f t="shared" si="9"/>
        <v>Nakonde</v>
      </c>
      <c r="BX4" s="1339" t="str">
        <f t="shared" si="9"/>
        <v>Nakonde</v>
      </c>
      <c r="BY4" s="1339" t="str">
        <f t="shared" si="9"/>
        <v>Nakonde</v>
      </c>
      <c r="BZ4" s="1339" t="str">
        <f t="shared" si="9"/>
        <v>Nakonde</v>
      </c>
      <c r="CA4" s="1339" t="str">
        <f t="shared" si="9"/>
        <v>Nakonde</v>
      </c>
      <c r="CB4" s="1339" t="str">
        <f t="shared" ref="CB4:CI5" si="10">IF(BK4="","",BK4)</f>
        <v>District</v>
      </c>
      <c r="CC4" s="1339" t="str">
        <f t="shared" si="10"/>
        <v>District</v>
      </c>
      <c r="CD4" s="1339" t="str">
        <f t="shared" si="10"/>
        <v>District</v>
      </c>
      <c r="CE4" s="1339" t="str">
        <f t="shared" si="10"/>
        <v>District</v>
      </c>
      <c r="CF4" s="1339" t="str">
        <f t="shared" si="10"/>
        <v>District</v>
      </c>
      <c r="CG4" s="1339" t="str">
        <f t="shared" si="10"/>
        <v>District</v>
      </c>
      <c r="CH4" s="1339" t="str">
        <f t="shared" si="10"/>
        <v>District</v>
      </c>
      <c r="CI4" s="1340" t="str">
        <f t="shared" si="10"/>
        <v>District</v>
      </c>
      <c r="CJ4" s="36"/>
      <c r="CK4" s="1070" t="s">
        <v>42</v>
      </c>
      <c r="CL4" s="1071" t="s">
        <v>43</v>
      </c>
      <c r="CM4" s="1072" t="s">
        <v>44</v>
      </c>
      <c r="CN4" s="43"/>
      <c r="CO4" s="43" t="s">
        <v>45</v>
      </c>
      <c r="CP4" s="43" t="s">
        <v>46</v>
      </c>
      <c r="CQ4" s="1826" t="s">
        <v>47</v>
      </c>
      <c r="CR4" s="1826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22" t="s">
        <v>48</v>
      </c>
      <c r="DF4" s="1822"/>
      <c r="DG4" s="1822"/>
      <c r="DH4" s="1827" t="s">
        <v>47</v>
      </c>
      <c r="DI4" s="1827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22" t="s">
        <v>48</v>
      </c>
      <c r="DW4" s="1822"/>
      <c r="DX4" s="1822"/>
      <c r="DY4" s="45" t="s">
        <v>49</v>
      </c>
      <c r="DZ4" s="45"/>
      <c r="EA4" s="1823" t="s">
        <v>50</v>
      </c>
      <c r="EB4" s="1823"/>
      <c r="EC4" s="1823"/>
      <c r="ED4" s="1823"/>
      <c r="EE4" s="1823"/>
      <c r="EF4" s="1823"/>
      <c r="EG4" s="1823"/>
      <c r="EH4" s="46"/>
    </row>
    <row r="5" spans="1:143" s="47" customFormat="1" ht="24.5" customHeight="1">
      <c r="A5" s="1341" t="s">
        <v>51</v>
      </c>
      <c r="B5" s="1342"/>
      <c r="C5" s="1343" t="s">
        <v>779</v>
      </c>
      <c r="D5" s="1344" t="s">
        <v>781</v>
      </c>
      <c r="E5" s="1344" t="s">
        <v>810</v>
      </c>
      <c r="F5" s="1344" t="s">
        <v>891</v>
      </c>
      <c r="G5" s="1344" t="s">
        <v>899</v>
      </c>
      <c r="H5" s="1344" t="s">
        <v>901</v>
      </c>
      <c r="I5" s="1344" t="s">
        <v>910</v>
      </c>
      <c r="J5" s="1344" t="s">
        <v>912</v>
      </c>
      <c r="K5" s="1344" t="s">
        <v>914</v>
      </c>
      <c r="L5" s="1724" t="s">
        <v>103</v>
      </c>
      <c r="M5" s="1344" t="s">
        <v>103</v>
      </c>
      <c r="N5" s="1344" t="s">
        <v>103</v>
      </c>
      <c r="O5" s="1344" t="s">
        <v>103</v>
      </c>
      <c r="P5" s="1344" t="s">
        <v>103</v>
      </c>
      <c r="Q5" s="1344" t="s">
        <v>103</v>
      </c>
      <c r="R5" s="1344" t="s">
        <v>103</v>
      </c>
      <c r="S5" s="1344" t="s">
        <v>103</v>
      </c>
      <c r="T5" s="1345" t="str">
        <f t="shared" si="4"/>
        <v>Saulo Kela</v>
      </c>
      <c r="U5" s="1346" t="str">
        <f t="shared" si="4"/>
        <v>Kaka</v>
      </c>
      <c r="V5" s="1346" t="str">
        <f t="shared" si="4"/>
        <v>David Chikoti</v>
      </c>
      <c r="W5" s="1346" t="str">
        <f t="shared" si="4"/>
        <v>Shem</v>
      </c>
      <c r="X5" s="1346" t="str">
        <f t="shared" si="4"/>
        <v>Kazembe</v>
      </c>
      <c r="Y5" s="1346" t="str">
        <f t="shared" si="4"/>
        <v>Nakapata</v>
      </c>
      <c r="Z5" s="1346" t="str">
        <f t="shared" si="4"/>
        <v>Ntatumbila</v>
      </c>
      <c r="AA5" s="1346" t="s">
        <v>912</v>
      </c>
      <c r="AB5" s="1346" t="str">
        <f t="shared" si="4"/>
        <v>Musyani</v>
      </c>
      <c r="AC5" s="1346" t="str">
        <f t="shared" si="4"/>
        <v>Village</v>
      </c>
      <c r="AD5" s="1346" t="str">
        <f t="shared" si="5"/>
        <v>Village</v>
      </c>
      <c r="AE5" s="1346" t="str">
        <f t="shared" si="5"/>
        <v>Village</v>
      </c>
      <c r="AF5" s="1346" t="str">
        <f t="shared" si="5"/>
        <v>Village</v>
      </c>
      <c r="AG5" s="1346" t="str">
        <f t="shared" si="5"/>
        <v>Village</v>
      </c>
      <c r="AH5" s="1346" t="str">
        <f t="shared" si="5"/>
        <v>Village</v>
      </c>
      <c r="AI5" s="1346" t="str">
        <f t="shared" si="5"/>
        <v>Village</v>
      </c>
      <c r="AJ5" s="1607" t="str">
        <f t="shared" si="5"/>
        <v>Village</v>
      </c>
      <c r="AK5" s="1345" t="str">
        <f t="shared" si="5"/>
        <v>Saulo Kela</v>
      </c>
      <c r="AL5" s="1346" t="str">
        <f t="shared" si="5"/>
        <v>Kaka</v>
      </c>
      <c r="AM5" s="1346" t="str">
        <f t="shared" si="5"/>
        <v>David Chikoti</v>
      </c>
      <c r="AN5" s="1346" t="str">
        <f t="shared" si="6"/>
        <v>Shem</v>
      </c>
      <c r="AO5" s="1346" t="str">
        <f t="shared" si="6"/>
        <v>Kazembe</v>
      </c>
      <c r="AP5" s="1346" t="str">
        <f t="shared" si="6"/>
        <v>Nakapata</v>
      </c>
      <c r="AQ5" s="1346" t="str">
        <f t="shared" si="6"/>
        <v>Ntatumbila</v>
      </c>
      <c r="AR5" s="1346" t="str">
        <f t="shared" si="6"/>
        <v>Mkalizi</v>
      </c>
      <c r="AS5" s="1346" t="str">
        <f t="shared" si="6"/>
        <v>Musyani</v>
      </c>
      <c r="AT5" s="1346" t="str">
        <f t="shared" si="6"/>
        <v>Village</v>
      </c>
      <c r="AU5" s="1346" t="str">
        <f t="shared" si="6"/>
        <v>Village</v>
      </c>
      <c r="AV5" s="1346" t="str">
        <f t="shared" si="6"/>
        <v>Village</v>
      </c>
      <c r="AW5" s="1346" t="str">
        <f t="shared" si="6"/>
        <v>Village</v>
      </c>
      <c r="AX5" s="1346" t="str">
        <f t="shared" si="7"/>
        <v>Village</v>
      </c>
      <c r="AY5" s="1346" t="str">
        <f t="shared" si="7"/>
        <v>Village</v>
      </c>
      <c r="AZ5" s="1346" t="str">
        <f t="shared" si="7"/>
        <v>Village</v>
      </c>
      <c r="BA5" s="1607" t="str">
        <f t="shared" si="7"/>
        <v>Village</v>
      </c>
      <c r="BB5" s="1345" t="str">
        <f t="shared" si="7"/>
        <v>Saulo Kela</v>
      </c>
      <c r="BC5" s="1346" t="str">
        <f t="shared" si="7"/>
        <v>Kaka</v>
      </c>
      <c r="BD5" s="1346" t="str">
        <f t="shared" si="7"/>
        <v>David Chikoti</v>
      </c>
      <c r="BE5" s="1346" t="str">
        <f t="shared" si="7"/>
        <v>Shem</v>
      </c>
      <c r="BF5" s="1346" t="str">
        <f t="shared" si="7"/>
        <v>Kazembe</v>
      </c>
      <c r="BG5" s="1346" t="str">
        <f t="shared" si="7"/>
        <v>Nakapata</v>
      </c>
      <c r="BH5" s="1346" t="str">
        <f t="shared" si="8"/>
        <v>Ntatumbila</v>
      </c>
      <c r="BI5" s="1346" t="str">
        <f t="shared" si="8"/>
        <v>Mkalizi</v>
      </c>
      <c r="BJ5" s="1346" t="str">
        <f t="shared" si="8"/>
        <v>Musyani</v>
      </c>
      <c r="BK5" s="1607" t="str">
        <f t="shared" si="8"/>
        <v>Village</v>
      </c>
      <c r="BL5" s="1346" t="str">
        <f t="shared" si="8"/>
        <v>Village</v>
      </c>
      <c r="BM5" s="1346" t="str">
        <f t="shared" si="8"/>
        <v>Village</v>
      </c>
      <c r="BN5" s="1346" t="str">
        <f t="shared" si="8"/>
        <v>Village</v>
      </c>
      <c r="BO5" s="1346" t="str">
        <f t="shared" si="8"/>
        <v>Village</v>
      </c>
      <c r="BP5" s="1346" t="str">
        <f t="shared" si="8"/>
        <v>Village</v>
      </c>
      <c r="BQ5" s="1346" t="str">
        <f t="shared" si="8"/>
        <v>Village</v>
      </c>
      <c r="BR5" s="1346" t="str">
        <f t="shared" si="9"/>
        <v>Village</v>
      </c>
      <c r="BS5" s="1345" t="str">
        <f t="shared" si="9"/>
        <v>Saulo Kela</v>
      </c>
      <c r="BT5" s="1346" t="str">
        <f t="shared" si="9"/>
        <v>Kaka</v>
      </c>
      <c r="BU5" s="1346" t="str">
        <f t="shared" si="9"/>
        <v>David Chikoti</v>
      </c>
      <c r="BV5" s="1346" t="str">
        <f t="shared" si="9"/>
        <v>Shem</v>
      </c>
      <c r="BW5" s="1346" t="str">
        <f t="shared" si="9"/>
        <v>Kazembe</v>
      </c>
      <c r="BX5" s="1346" t="str">
        <f t="shared" si="9"/>
        <v>Nakapata</v>
      </c>
      <c r="BY5" s="1346" t="str">
        <f t="shared" si="9"/>
        <v>Ntatumbila</v>
      </c>
      <c r="BZ5" s="1346" t="str">
        <f t="shared" si="9"/>
        <v>Mkalizi</v>
      </c>
      <c r="CA5" s="1346" t="str">
        <f t="shared" si="9"/>
        <v>Musyani</v>
      </c>
      <c r="CB5" s="1346" t="str">
        <f t="shared" si="10"/>
        <v>Village</v>
      </c>
      <c r="CC5" s="1346" t="str">
        <f t="shared" si="10"/>
        <v>Village</v>
      </c>
      <c r="CD5" s="1346" t="str">
        <f t="shared" si="10"/>
        <v>Village</v>
      </c>
      <c r="CE5" s="1346" t="str">
        <f t="shared" si="10"/>
        <v>Village</v>
      </c>
      <c r="CF5" s="1346" t="str">
        <f t="shared" si="10"/>
        <v>Village</v>
      </c>
      <c r="CG5" s="1346" t="str">
        <f t="shared" si="10"/>
        <v>Village</v>
      </c>
      <c r="CH5" s="1346" t="str">
        <f t="shared" si="10"/>
        <v>Village</v>
      </c>
      <c r="CI5" s="1347" t="str">
        <f t="shared" si="10"/>
        <v>Village</v>
      </c>
      <c r="CJ5" s="36"/>
      <c r="CK5" s="1073"/>
      <c r="CL5" s="1074"/>
      <c r="CM5" s="1075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8" t="s">
        <v>52</v>
      </c>
      <c r="B6" s="1349"/>
      <c r="C6" s="1350">
        <v>1</v>
      </c>
      <c r="D6" s="1351">
        <v>2</v>
      </c>
      <c r="E6" s="1351">
        <v>3</v>
      </c>
      <c r="F6" s="1351">
        <v>4</v>
      </c>
      <c r="G6" s="1351">
        <v>5</v>
      </c>
      <c r="H6" s="1351">
        <v>6</v>
      </c>
      <c r="I6" s="1351">
        <v>7</v>
      </c>
      <c r="J6" s="1351">
        <v>8</v>
      </c>
      <c r="K6" s="1351">
        <v>9</v>
      </c>
      <c r="L6" s="1725">
        <v>10</v>
      </c>
      <c r="M6" s="1351">
        <v>11</v>
      </c>
      <c r="N6" s="1351">
        <v>12</v>
      </c>
      <c r="O6" s="1351">
        <v>13</v>
      </c>
      <c r="P6" s="1351">
        <v>14</v>
      </c>
      <c r="Q6" s="1351">
        <v>15</v>
      </c>
      <c r="R6" s="1351">
        <v>16</v>
      </c>
      <c r="S6" s="1352">
        <v>17</v>
      </c>
      <c r="T6" s="1350">
        <v>1</v>
      </c>
      <c r="U6" s="1353">
        <v>2</v>
      </c>
      <c r="V6" s="1353">
        <v>3</v>
      </c>
      <c r="W6" s="1353">
        <v>4</v>
      </c>
      <c r="X6" s="1353">
        <v>5</v>
      </c>
      <c r="Y6" s="1353">
        <v>6</v>
      </c>
      <c r="Z6" s="1353">
        <v>7</v>
      </c>
      <c r="AA6" s="1353">
        <v>8</v>
      </c>
      <c r="AB6" s="1353">
        <v>9</v>
      </c>
      <c r="AC6" s="1353">
        <v>10</v>
      </c>
      <c r="AD6" s="1353">
        <v>11</v>
      </c>
      <c r="AE6" s="1353">
        <v>12</v>
      </c>
      <c r="AF6" s="1353">
        <v>13</v>
      </c>
      <c r="AG6" s="1353">
        <v>14</v>
      </c>
      <c r="AH6" s="1351">
        <v>15</v>
      </c>
      <c r="AI6" s="1351">
        <v>16</v>
      </c>
      <c r="AJ6" s="1715">
        <v>17</v>
      </c>
      <c r="AK6" s="1354">
        <v>18</v>
      </c>
      <c r="AL6" s="1355">
        <v>19</v>
      </c>
      <c r="AM6" s="1355">
        <v>20</v>
      </c>
      <c r="AN6" s="1355">
        <v>21</v>
      </c>
      <c r="AO6" s="1355">
        <v>22</v>
      </c>
      <c r="AP6" s="1355">
        <v>23</v>
      </c>
      <c r="AQ6" s="1355">
        <v>24</v>
      </c>
      <c r="AR6" s="1355">
        <v>25</v>
      </c>
      <c r="AS6" s="1355">
        <v>26</v>
      </c>
      <c r="AT6" s="1355">
        <v>27</v>
      </c>
      <c r="AU6" s="1355">
        <v>28</v>
      </c>
      <c r="AV6" s="1355">
        <v>29</v>
      </c>
      <c r="AW6" s="1355">
        <v>30</v>
      </c>
      <c r="AX6" s="1355">
        <v>31</v>
      </c>
      <c r="AY6" s="1355">
        <v>32</v>
      </c>
      <c r="AZ6" s="1355">
        <v>33</v>
      </c>
      <c r="BA6" s="1693">
        <v>34</v>
      </c>
      <c r="BB6" s="1354">
        <v>35</v>
      </c>
      <c r="BC6" s="1355">
        <v>36</v>
      </c>
      <c r="BD6" s="1355">
        <v>37</v>
      </c>
      <c r="BE6" s="1355">
        <v>38</v>
      </c>
      <c r="BF6" s="1355">
        <v>39</v>
      </c>
      <c r="BG6" s="1355">
        <v>40</v>
      </c>
      <c r="BH6" s="1355">
        <v>41</v>
      </c>
      <c r="BI6" s="1355">
        <v>42</v>
      </c>
      <c r="BJ6" s="1355">
        <v>43</v>
      </c>
      <c r="BK6" s="1671">
        <v>44</v>
      </c>
      <c r="BL6" s="1355">
        <v>45</v>
      </c>
      <c r="BM6" s="1355">
        <v>46</v>
      </c>
      <c r="BN6" s="1355">
        <v>47</v>
      </c>
      <c r="BO6" s="1355">
        <v>48</v>
      </c>
      <c r="BP6" s="1355">
        <v>49</v>
      </c>
      <c r="BQ6" s="1355">
        <v>50</v>
      </c>
      <c r="BR6" s="1356">
        <v>51</v>
      </c>
      <c r="BS6" s="1550">
        <v>52</v>
      </c>
      <c r="BT6" s="1550">
        <v>53</v>
      </c>
      <c r="BU6" s="1550">
        <v>54</v>
      </c>
      <c r="BV6" s="1355">
        <v>55</v>
      </c>
      <c r="BW6" s="1355">
        <v>56</v>
      </c>
      <c r="BX6" s="1355">
        <v>57</v>
      </c>
      <c r="BY6" s="1355">
        <v>58</v>
      </c>
      <c r="BZ6" s="1355">
        <v>59</v>
      </c>
      <c r="CA6" s="1355">
        <v>60</v>
      </c>
      <c r="CB6" s="1355">
        <v>61</v>
      </c>
      <c r="CC6" s="1355">
        <v>62</v>
      </c>
      <c r="CD6" s="1355">
        <v>63</v>
      </c>
      <c r="CE6" s="1355">
        <v>64</v>
      </c>
      <c r="CF6" s="1355">
        <v>65</v>
      </c>
      <c r="CG6" s="1355">
        <v>66</v>
      </c>
      <c r="CH6" s="1355">
        <v>67</v>
      </c>
      <c r="CI6" s="1356">
        <v>68</v>
      </c>
      <c r="CJ6" s="61"/>
      <c r="CK6" s="1076"/>
      <c r="CL6" s="1077"/>
      <c r="CM6" s="1078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7" t="s">
        <v>53</v>
      </c>
      <c r="B7" s="1358"/>
      <c r="C7" s="1359" t="s">
        <v>842</v>
      </c>
      <c r="D7" s="1360" t="s">
        <v>783</v>
      </c>
      <c r="E7" s="1360" t="s">
        <v>782</v>
      </c>
      <c r="F7" s="1360" t="s">
        <v>892</v>
      </c>
      <c r="G7" s="1360" t="s">
        <v>900</v>
      </c>
      <c r="H7" s="1360" t="s">
        <v>782</v>
      </c>
      <c r="I7" s="1744" t="s">
        <v>782</v>
      </c>
      <c r="J7" s="1360"/>
      <c r="K7" s="1744" t="s">
        <v>915</v>
      </c>
      <c r="L7" s="1726"/>
      <c r="M7" s="1360"/>
      <c r="N7" s="1361"/>
      <c r="O7" s="1361"/>
      <c r="P7" s="1360"/>
      <c r="Q7" s="1360"/>
      <c r="R7" s="1360"/>
      <c r="S7" s="1362"/>
      <c r="T7" s="1363" t="s">
        <v>842</v>
      </c>
      <c r="U7" s="1364" t="s">
        <v>782</v>
      </c>
      <c r="V7" s="1364" t="s">
        <v>782</v>
      </c>
      <c r="W7" s="1364" t="s">
        <v>902</v>
      </c>
      <c r="X7" s="1592" t="s">
        <v>906</v>
      </c>
      <c r="Y7" s="1592" t="s">
        <v>907</v>
      </c>
      <c r="Z7" s="1364"/>
      <c r="AA7" s="1592" t="s">
        <v>900</v>
      </c>
      <c r="AB7" s="1364"/>
      <c r="AC7" s="1364"/>
      <c r="AD7" s="1364"/>
      <c r="AE7" s="1364"/>
      <c r="AF7" s="1364"/>
      <c r="AG7" s="1364"/>
      <c r="AH7" s="1361"/>
      <c r="AI7" s="1361"/>
      <c r="AJ7" s="1716"/>
      <c r="AK7" s="1363" t="s">
        <v>853</v>
      </c>
      <c r="AL7" s="1364" t="s">
        <v>877</v>
      </c>
      <c r="AM7" s="1364" t="s">
        <v>887</v>
      </c>
      <c r="AN7" s="1592" t="s">
        <v>904</v>
      </c>
      <c r="AO7" s="1592" t="s">
        <v>900</v>
      </c>
      <c r="AP7" s="1592" t="s">
        <v>909</v>
      </c>
      <c r="AQ7" s="1592" t="s">
        <v>892</v>
      </c>
      <c r="AR7" s="1592" t="s">
        <v>892</v>
      </c>
      <c r="AS7" s="1592" t="s">
        <v>920</v>
      </c>
      <c r="AT7" s="1364"/>
      <c r="AU7" s="1364"/>
      <c r="AV7" s="1364"/>
      <c r="AW7" s="1364"/>
      <c r="AX7" s="1364"/>
      <c r="AY7" s="1364"/>
      <c r="AZ7" s="1364"/>
      <c r="BA7" s="1694"/>
      <c r="BB7" s="1365" t="s">
        <v>842</v>
      </c>
      <c r="BC7" s="1366" t="s">
        <v>782</v>
      </c>
      <c r="BD7" s="1366" t="s">
        <v>890</v>
      </c>
      <c r="BE7" s="1593" t="s">
        <v>782</v>
      </c>
      <c r="BF7" s="1593" t="s">
        <v>782</v>
      </c>
      <c r="BG7" s="1593" t="s">
        <v>782</v>
      </c>
      <c r="BH7" s="1593" t="s">
        <v>911</v>
      </c>
      <c r="BI7" s="1593" t="s">
        <v>921</v>
      </c>
      <c r="BJ7" s="1593" t="s">
        <v>922</v>
      </c>
      <c r="BK7" s="1672"/>
      <c r="BL7" s="1366"/>
      <c r="BM7" s="1366"/>
      <c r="BN7" s="1366"/>
      <c r="BO7" s="1366"/>
      <c r="BP7" s="1366"/>
      <c r="BQ7" s="1366"/>
      <c r="BR7" s="1367"/>
      <c r="BS7" s="1354" t="s">
        <v>866</v>
      </c>
      <c r="BT7" s="1355" t="s">
        <v>885</v>
      </c>
      <c r="BU7" s="1749" t="s">
        <v>923</v>
      </c>
      <c r="BV7" s="1593" t="s">
        <v>782</v>
      </c>
      <c r="BW7" s="1593" t="s">
        <v>924</v>
      </c>
      <c r="BX7" s="1593" t="s">
        <v>900</v>
      </c>
      <c r="BY7" s="1593" t="s">
        <v>782</v>
      </c>
      <c r="BZ7" s="1593" t="s">
        <v>925</v>
      </c>
      <c r="CA7" s="1366">
        <v>3</v>
      </c>
      <c r="CB7" s="1366"/>
      <c r="CC7" s="1366"/>
      <c r="CD7" s="1366"/>
      <c r="CE7" s="1368"/>
      <c r="CF7" s="1366"/>
      <c r="CG7" s="1366"/>
      <c r="CH7" s="1366"/>
      <c r="CI7" s="1367"/>
      <c r="CJ7" s="61"/>
      <c r="CK7" s="1079"/>
      <c r="CL7" s="1080"/>
      <c r="CM7" s="1081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9" t="s">
        <v>58</v>
      </c>
      <c r="B8" s="1370"/>
      <c r="C8" s="1371"/>
      <c r="D8" s="1372"/>
      <c r="E8" s="1372"/>
      <c r="F8" s="1373"/>
      <c r="G8" s="1372"/>
      <c r="H8" s="1372"/>
      <c r="I8" s="1372"/>
      <c r="J8" s="1372"/>
      <c r="K8" s="1372"/>
      <c r="L8" s="1727"/>
      <c r="M8" s="1372"/>
      <c r="N8" s="1372"/>
      <c r="O8" s="1372"/>
      <c r="P8" s="1372"/>
      <c r="Q8" s="1372"/>
      <c r="R8" s="1372"/>
      <c r="S8" s="1374"/>
      <c r="T8" s="1375"/>
      <c r="U8" s="1376"/>
      <c r="V8" s="1376"/>
      <c r="W8" s="1376"/>
      <c r="X8" s="1376"/>
      <c r="Y8" s="1376"/>
      <c r="Z8" s="1376"/>
      <c r="AA8" s="1376"/>
      <c r="AB8" s="1376"/>
      <c r="AC8" s="1377"/>
      <c r="AD8" s="1377"/>
      <c r="AE8" s="1377"/>
      <c r="AF8" s="1377"/>
      <c r="AG8" s="1376"/>
      <c r="AH8" s="1376"/>
      <c r="AI8" s="1376"/>
      <c r="AJ8" s="1717"/>
      <c r="AK8" s="1378"/>
      <c r="AL8" s="1379"/>
      <c r="AM8" s="1379"/>
      <c r="AN8" s="1379"/>
      <c r="AO8" s="1379"/>
      <c r="AP8" s="1379"/>
      <c r="AQ8" s="1379"/>
      <c r="AR8" s="1379"/>
      <c r="AS8" s="1379"/>
      <c r="AT8" s="1379"/>
      <c r="AU8" s="1379"/>
      <c r="AV8" s="1380"/>
      <c r="AW8" s="1379"/>
      <c r="AX8" s="1380"/>
      <c r="AY8" s="1379"/>
      <c r="AZ8" s="1379"/>
      <c r="BA8" s="1695"/>
      <c r="BB8" s="1381"/>
      <c r="BC8" s="1382"/>
      <c r="BD8" s="1382"/>
      <c r="BE8" s="1382"/>
      <c r="BF8" s="1382"/>
      <c r="BG8" s="1382"/>
      <c r="BH8" s="1382"/>
      <c r="BI8" s="1382"/>
      <c r="BJ8" s="1382"/>
      <c r="BK8" s="1673"/>
      <c r="BL8" s="1382"/>
      <c r="BM8" s="1382"/>
      <c r="BN8" s="1382"/>
      <c r="BO8" s="1382"/>
      <c r="BP8" s="1382"/>
      <c r="BQ8" s="1382"/>
      <c r="BR8" s="1383"/>
      <c r="BS8" s="1381"/>
      <c r="BT8" s="1382"/>
      <c r="BU8" s="1382"/>
      <c r="BV8" s="1382"/>
      <c r="BW8" s="1382"/>
      <c r="BX8" s="1382"/>
      <c r="BY8" s="1382"/>
      <c r="BZ8" s="1382"/>
      <c r="CA8" s="1382"/>
      <c r="CB8" s="1382"/>
      <c r="CC8" s="1382"/>
      <c r="CD8" s="1382"/>
      <c r="CE8" s="1382"/>
      <c r="CF8" s="1382"/>
      <c r="CG8" s="1382"/>
      <c r="CH8" s="1382"/>
      <c r="CI8" s="1383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4" t="s">
        <v>59</v>
      </c>
      <c r="B9" s="1385" t="s">
        <v>60</v>
      </c>
      <c r="C9" s="1386">
        <v>46</v>
      </c>
      <c r="D9" s="1387">
        <v>43</v>
      </c>
      <c r="E9" s="1387">
        <v>58</v>
      </c>
      <c r="F9" s="1387">
        <v>47</v>
      </c>
      <c r="G9" s="1387">
        <v>44</v>
      </c>
      <c r="H9" s="1388">
        <v>69</v>
      </c>
      <c r="I9" s="1388">
        <v>46</v>
      </c>
      <c r="J9" s="1388">
        <v>42</v>
      </c>
      <c r="K9" s="1389">
        <v>25</v>
      </c>
      <c r="L9" s="1728"/>
      <c r="M9" s="1389"/>
      <c r="N9" s="1389"/>
      <c r="O9" s="1389"/>
      <c r="P9" s="1389"/>
      <c r="Q9" s="1389"/>
      <c r="R9" s="1389"/>
      <c r="S9" s="1390"/>
      <c r="T9" s="1386">
        <v>40</v>
      </c>
      <c r="U9" s="1388">
        <v>42</v>
      </c>
      <c r="V9" s="1388">
        <v>41</v>
      </c>
      <c r="W9" s="1391">
        <v>43</v>
      </c>
      <c r="X9" s="1391">
        <v>41</v>
      </c>
      <c r="Y9" s="1391">
        <v>46</v>
      </c>
      <c r="Z9" s="1391">
        <v>48</v>
      </c>
      <c r="AA9" s="1391">
        <v>35</v>
      </c>
      <c r="AB9" s="1391">
        <v>40</v>
      </c>
      <c r="AC9" s="1392"/>
      <c r="AD9" s="1392"/>
      <c r="AE9" s="1392"/>
      <c r="AF9" s="1392"/>
      <c r="AG9" s="1391"/>
      <c r="AH9" s="1391"/>
      <c r="AI9" s="1391"/>
      <c r="AJ9" s="1696"/>
      <c r="AK9" s="1386">
        <v>51</v>
      </c>
      <c r="AL9" s="1388">
        <v>56</v>
      </c>
      <c r="AM9" s="1388">
        <v>44</v>
      </c>
      <c r="AN9" s="1391">
        <v>22</v>
      </c>
      <c r="AO9" s="1391">
        <v>61</v>
      </c>
      <c r="AP9" s="1391">
        <v>59</v>
      </c>
      <c r="AQ9" s="1391">
        <v>60</v>
      </c>
      <c r="AR9" s="1391">
        <v>44</v>
      </c>
      <c r="AS9" s="1391">
        <v>25</v>
      </c>
      <c r="AT9" s="1391"/>
      <c r="AU9" s="1391"/>
      <c r="AV9" s="1391"/>
      <c r="AW9" s="1391"/>
      <c r="AX9" s="1391"/>
      <c r="AY9" s="1391"/>
      <c r="AZ9" s="1391"/>
      <c r="BA9" s="1696"/>
      <c r="BB9" s="1386">
        <v>44</v>
      </c>
      <c r="BC9" s="1388">
        <v>42</v>
      </c>
      <c r="BD9" s="1391">
        <v>36</v>
      </c>
      <c r="BE9" s="1391">
        <v>47</v>
      </c>
      <c r="BF9" s="1391">
        <v>44</v>
      </c>
      <c r="BG9" s="1391">
        <v>51</v>
      </c>
      <c r="BH9" s="1391">
        <v>67</v>
      </c>
      <c r="BI9" s="1391">
        <v>47</v>
      </c>
      <c r="BJ9" s="1391">
        <v>46</v>
      </c>
      <c r="BK9" s="1674"/>
      <c r="BL9" s="1391"/>
      <c r="BM9" s="1391"/>
      <c r="BN9" s="1391"/>
      <c r="BO9" s="1391"/>
      <c r="BP9" s="1391"/>
      <c r="BQ9" s="1391"/>
      <c r="BR9" s="1393"/>
      <c r="BS9" s="1394">
        <v>57</v>
      </c>
      <c r="BT9" s="1391">
        <v>56</v>
      </c>
      <c r="BU9" s="1391">
        <v>42</v>
      </c>
      <c r="BV9" s="1391">
        <v>53</v>
      </c>
      <c r="BW9" s="1391">
        <v>41</v>
      </c>
      <c r="BX9" s="1391">
        <v>60</v>
      </c>
      <c r="BY9" s="1391">
        <v>53</v>
      </c>
      <c r="BZ9" s="1391">
        <v>36</v>
      </c>
      <c r="CA9" s="1391">
        <v>48</v>
      </c>
      <c r="CB9" s="1391"/>
      <c r="CC9" s="1391"/>
      <c r="CD9" s="1391"/>
      <c r="CE9" s="1391"/>
      <c r="CF9" s="1391"/>
      <c r="CG9" s="1391"/>
      <c r="CH9" s="1391"/>
      <c r="CI9" s="1393"/>
      <c r="CJ9" s="61"/>
      <c r="CK9" s="1083">
        <v>0.42</v>
      </c>
      <c r="CL9" s="1083">
        <v>0.4</v>
      </c>
      <c r="CM9" s="1083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5"/>
      <c r="B10" s="1396" t="s">
        <v>61</v>
      </c>
      <c r="C10" s="1397">
        <v>39</v>
      </c>
      <c r="D10" s="1398">
        <v>29</v>
      </c>
      <c r="E10" s="1398">
        <v>26</v>
      </c>
      <c r="F10" s="1398">
        <v>31</v>
      </c>
      <c r="G10" s="1398">
        <v>36</v>
      </c>
      <c r="H10" s="1399">
        <v>14</v>
      </c>
      <c r="I10" s="1399">
        <v>31</v>
      </c>
      <c r="J10" s="1399">
        <v>32</v>
      </c>
      <c r="K10" s="1400">
        <v>60</v>
      </c>
      <c r="L10" s="1729"/>
      <c r="M10" s="1400"/>
      <c r="N10" s="1400"/>
      <c r="O10" s="1400"/>
      <c r="P10" s="1400"/>
      <c r="Q10" s="1400"/>
      <c r="R10" s="1400"/>
      <c r="S10" s="1401"/>
      <c r="T10" s="1397">
        <v>29</v>
      </c>
      <c r="U10" s="1399">
        <v>26</v>
      </c>
      <c r="V10" s="1399">
        <v>28</v>
      </c>
      <c r="W10" s="1402">
        <v>21</v>
      </c>
      <c r="X10" s="1402">
        <v>25</v>
      </c>
      <c r="Y10" s="1402">
        <v>30</v>
      </c>
      <c r="Z10" s="1402">
        <v>27</v>
      </c>
      <c r="AA10" s="1402">
        <v>27</v>
      </c>
      <c r="AB10" s="1402">
        <v>29</v>
      </c>
      <c r="AC10" s="1403"/>
      <c r="AD10" s="1403"/>
      <c r="AE10" s="1403"/>
      <c r="AF10" s="1403"/>
      <c r="AG10" s="1402"/>
      <c r="AH10" s="1402"/>
      <c r="AI10" s="1402"/>
      <c r="AJ10" s="1718"/>
      <c r="AK10" s="1397">
        <v>25</v>
      </c>
      <c r="AL10" s="1399">
        <v>21</v>
      </c>
      <c r="AM10" s="1399">
        <v>25</v>
      </c>
      <c r="AN10" s="1404">
        <v>57</v>
      </c>
      <c r="AO10" s="1404">
        <v>24</v>
      </c>
      <c r="AP10" s="1404">
        <v>26</v>
      </c>
      <c r="AQ10" s="1404">
        <v>21</v>
      </c>
      <c r="AR10" s="1404">
        <v>28</v>
      </c>
      <c r="AS10" s="1404">
        <v>50</v>
      </c>
      <c r="AT10" s="1404"/>
      <c r="AU10" s="1404"/>
      <c r="AV10" s="1404"/>
      <c r="AW10" s="1404"/>
      <c r="AX10" s="1404"/>
      <c r="AY10" s="1404"/>
      <c r="AZ10" s="1404"/>
      <c r="BA10" s="1697"/>
      <c r="BB10" s="1397">
        <v>27</v>
      </c>
      <c r="BC10" s="1399">
        <v>29</v>
      </c>
      <c r="BD10" s="1404">
        <v>25</v>
      </c>
      <c r="BE10" s="1404">
        <v>29</v>
      </c>
      <c r="BF10" s="1404">
        <v>30</v>
      </c>
      <c r="BG10" s="1404">
        <v>31</v>
      </c>
      <c r="BH10" s="1404">
        <v>23</v>
      </c>
      <c r="BI10" s="1404">
        <v>30</v>
      </c>
      <c r="BJ10" s="1404">
        <v>29</v>
      </c>
      <c r="BK10" s="1675"/>
      <c r="BL10" s="1404"/>
      <c r="BM10" s="1404"/>
      <c r="BN10" s="1404"/>
      <c r="BO10" s="1404"/>
      <c r="BP10" s="1404"/>
      <c r="BQ10" s="1404"/>
      <c r="BR10" s="1405"/>
      <c r="BS10" s="1406">
        <v>18</v>
      </c>
      <c r="BT10" s="1404">
        <v>19</v>
      </c>
      <c r="BU10" s="1404">
        <v>27</v>
      </c>
      <c r="BV10" s="1404">
        <v>27</v>
      </c>
      <c r="BW10" s="1404">
        <v>29</v>
      </c>
      <c r="BX10" s="1404">
        <v>17</v>
      </c>
      <c r="BY10" s="1404">
        <v>24</v>
      </c>
      <c r="BZ10" s="1404">
        <v>28</v>
      </c>
      <c r="CA10" s="1404">
        <v>31</v>
      </c>
      <c r="CB10" s="1404"/>
      <c r="CC10" s="1404"/>
      <c r="CD10" s="1404"/>
      <c r="CE10" s="1404"/>
      <c r="CF10" s="1404"/>
      <c r="CG10" s="1404"/>
      <c r="CH10" s="1404"/>
      <c r="CI10" s="1405"/>
      <c r="CJ10" s="61"/>
      <c r="CK10" s="1083">
        <v>0.32</v>
      </c>
      <c r="CL10" s="1083">
        <v>0.25</v>
      </c>
      <c r="CM10" s="1083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5"/>
      <c r="B11" s="1396" t="s">
        <v>62</v>
      </c>
      <c r="C11" s="1397">
        <v>12</v>
      </c>
      <c r="D11" s="1398">
        <v>18</v>
      </c>
      <c r="E11" s="1398">
        <v>11</v>
      </c>
      <c r="F11" s="1398">
        <v>12</v>
      </c>
      <c r="G11" s="1398">
        <v>16</v>
      </c>
      <c r="H11" s="1399">
        <v>13</v>
      </c>
      <c r="I11" s="1399">
        <v>18</v>
      </c>
      <c r="J11" s="1399">
        <v>17</v>
      </c>
      <c r="K11" s="1400">
        <v>10</v>
      </c>
      <c r="L11" s="1729"/>
      <c r="M11" s="1400"/>
      <c r="N11" s="1400"/>
      <c r="O11" s="1400"/>
      <c r="P11" s="1400"/>
      <c r="Q11" s="1400"/>
      <c r="R11" s="1400"/>
      <c r="S11" s="1401"/>
      <c r="T11" s="1397">
        <v>22</v>
      </c>
      <c r="U11" s="1399">
        <v>19</v>
      </c>
      <c r="V11" s="1399">
        <v>19</v>
      </c>
      <c r="W11" s="1402">
        <v>20</v>
      </c>
      <c r="X11" s="1402">
        <v>19</v>
      </c>
      <c r="Y11" s="1402">
        <v>18</v>
      </c>
      <c r="Z11" s="1402">
        <v>16</v>
      </c>
      <c r="AA11" s="1402">
        <v>22</v>
      </c>
      <c r="AB11" s="1402">
        <v>21</v>
      </c>
      <c r="AC11" s="1403"/>
      <c r="AD11" s="1403"/>
      <c r="AE11" s="1403"/>
      <c r="AF11" s="1403"/>
      <c r="AG11" s="1402"/>
      <c r="AH11" s="1402"/>
      <c r="AI11" s="1402"/>
      <c r="AJ11" s="1718"/>
      <c r="AK11" s="1397">
        <v>15</v>
      </c>
      <c r="AL11" s="1399">
        <v>17</v>
      </c>
      <c r="AM11" s="1399">
        <v>18</v>
      </c>
      <c r="AN11" s="1404">
        <v>16</v>
      </c>
      <c r="AO11" s="1404">
        <v>10</v>
      </c>
      <c r="AP11" s="1404">
        <v>12</v>
      </c>
      <c r="AQ11" s="1404">
        <v>13</v>
      </c>
      <c r="AR11" s="1404">
        <v>16</v>
      </c>
      <c r="AS11" s="1404">
        <v>25</v>
      </c>
      <c r="AT11" s="1404"/>
      <c r="AU11" s="1404"/>
      <c r="AV11" s="1404"/>
      <c r="AW11" s="1404"/>
      <c r="AX11" s="1404"/>
      <c r="AY11" s="1404"/>
      <c r="AZ11" s="1404"/>
      <c r="BA11" s="1697"/>
      <c r="BB11" s="1397">
        <v>16</v>
      </c>
      <c r="BC11" s="1399">
        <v>17</v>
      </c>
      <c r="BD11" s="1404">
        <v>21</v>
      </c>
      <c r="BE11" s="1404">
        <v>14</v>
      </c>
      <c r="BF11" s="1404">
        <v>16</v>
      </c>
      <c r="BG11" s="1404">
        <v>12</v>
      </c>
      <c r="BH11" s="1404">
        <v>6</v>
      </c>
      <c r="BI11" s="1404">
        <v>15</v>
      </c>
      <c r="BJ11" s="1404">
        <v>18</v>
      </c>
      <c r="BK11" s="1675"/>
      <c r="BL11" s="1404"/>
      <c r="BM11" s="1404"/>
      <c r="BN11" s="1404"/>
      <c r="BO11" s="1404"/>
      <c r="BP11" s="1404"/>
      <c r="BQ11" s="1404"/>
      <c r="BR11" s="1405"/>
      <c r="BS11" s="1406">
        <v>14</v>
      </c>
      <c r="BT11" s="1404">
        <v>17</v>
      </c>
      <c r="BU11" s="1404">
        <v>20</v>
      </c>
      <c r="BV11" s="1404">
        <v>15</v>
      </c>
      <c r="BW11" s="1404">
        <v>19</v>
      </c>
      <c r="BX11" s="1404">
        <v>13</v>
      </c>
      <c r="BY11" s="1404">
        <v>15</v>
      </c>
      <c r="BZ11" s="1404">
        <v>20</v>
      </c>
      <c r="CA11" s="1404">
        <v>15</v>
      </c>
      <c r="CB11" s="1404"/>
      <c r="CC11" s="1404"/>
      <c r="CD11" s="1404"/>
      <c r="CE11" s="1404"/>
      <c r="CF11" s="1404"/>
      <c r="CG11" s="1404"/>
      <c r="CH11" s="1404"/>
      <c r="CI11" s="1405"/>
      <c r="CJ11" s="61"/>
      <c r="CK11" s="1083">
        <v>0.16</v>
      </c>
      <c r="CL11" s="1083">
        <v>0.12</v>
      </c>
      <c r="CM11" s="1083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7"/>
      <c r="B12" s="1408" t="s">
        <v>63</v>
      </c>
      <c r="C12" s="1409">
        <v>3</v>
      </c>
      <c r="D12" s="1410">
        <v>10</v>
      </c>
      <c r="E12" s="1410">
        <v>5</v>
      </c>
      <c r="F12" s="1410">
        <v>10</v>
      </c>
      <c r="G12" s="1410">
        <v>4</v>
      </c>
      <c r="H12" s="1411">
        <v>4</v>
      </c>
      <c r="I12" s="1411">
        <v>5</v>
      </c>
      <c r="J12" s="1411">
        <v>9</v>
      </c>
      <c r="K12" s="1412">
        <v>5</v>
      </c>
      <c r="L12" s="1730"/>
      <c r="M12" s="1412"/>
      <c r="N12" s="1412"/>
      <c r="O12" s="1412"/>
      <c r="P12" s="1412"/>
      <c r="Q12" s="1412"/>
      <c r="R12" s="1412"/>
      <c r="S12" s="1413"/>
      <c r="T12" s="1409">
        <v>9</v>
      </c>
      <c r="U12" s="1411">
        <v>13</v>
      </c>
      <c r="V12" s="1411">
        <v>12</v>
      </c>
      <c r="W12" s="1414">
        <v>16</v>
      </c>
      <c r="X12" s="1414">
        <v>15</v>
      </c>
      <c r="Y12" s="1414">
        <v>6</v>
      </c>
      <c r="Z12" s="1414">
        <v>9</v>
      </c>
      <c r="AA12" s="1414">
        <v>16</v>
      </c>
      <c r="AB12" s="1414">
        <v>10</v>
      </c>
      <c r="AC12" s="1415"/>
      <c r="AD12" s="1415"/>
      <c r="AE12" s="1415"/>
      <c r="AF12" s="1415"/>
      <c r="AG12" s="1414"/>
      <c r="AH12" s="1414"/>
      <c r="AI12" s="1414"/>
      <c r="AJ12" s="1719"/>
      <c r="AK12" s="1409">
        <v>9</v>
      </c>
      <c r="AL12" s="1411">
        <v>6</v>
      </c>
      <c r="AM12" s="1411">
        <v>13</v>
      </c>
      <c r="AN12" s="1416">
        <v>5</v>
      </c>
      <c r="AO12" s="1416">
        <v>5</v>
      </c>
      <c r="AP12" s="1416">
        <v>3</v>
      </c>
      <c r="AQ12" s="1416">
        <v>6</v>
      </c>
      <c r="AR12" s="1416">
        <v>12</v>
      </c>
      <c r="AS12" s="1416">
        <v>10</v>
      </c>
      <c r="AT12" s="1416"/>
      <c r="AU12" s="1416"/>
      <c r="AV12" s="1416"/>
      <c r="AW12" s="1416"/>
      <c r="AX12" s="1416"/>
      <c r="AY12" s="1416"/>
      <c r="AZ12" s="1416"/>
      <c r="BA12" s="1698"/>
      <c r="BB12" s="1409">
        <v>13</v>
      </c>
      <c r="BC12" s="1411">
        <v>12</v>
      </c>
      <c r="BD12" s="1416">
        <v>18</v>
      </c>
      <c r="BE12" s="1416">
        <v>10</v>
      </c>
      <c r="BF12" s="1416">
        <v>10</v>
      </c>
      <c r="BG12" s="1416">
        <v>6</v>
      </c>
      <c r="BH12" s="1416">
        <v>4</v>
      </c>
      <c r="BI12" s="1416">
        <v>8</v>
      </c>
      <c r="BJ12" s="1416">
        <v>7</v>
      </c>
      <c r="BK12" s="1676"/>
      <c r="BL12" s="1416"/>
      <c r="BM12" s="1416"/>
      <c r="BN12" s="1416"/>
      <c r="BO12" s="1416"/>
      <c r="BP12" s="1416"/>
      <c r="BQ12" s="1416"/>
      <c r="BR12" s="1417"/>
      <c r="BS12" s="1418">
        <v>11</v>
      </c>
      <c r="BT12" s="1416">
        <v>8</v>
      </c>
      <c r="BU12" s="1416">
        <v>11</v>
      </c>
      <c r="BV12" s="1416">
        <v>5</v>
      </c>
      <c r="BW12" s="1416">
        <v>11</v>
      </c>
      <c r="BX12" s="1416">
        <v>10</v>
      </c>
      <c r="BY12" s="1416">
        <v>8</v>
      </c>
      <c r="BZ12" s="1416">
        <v>16</v>
      </c>
      <c r="CA12" s="1416">
        <v>6</v>
      </c>
      <c r="CB12" s="1416"/>
      <c r="CC12" s="1416"/>
      <c r="CD12" s="1416"/>
      <c r="CE12" s="1416"/>
      <c r="CF12" s="1416"/>
      <c r="CG12" s="1416"/>
      <c r="CH12" s="1416"/>
      <c r="CI12" s="1417"/>
      <c r="CJ12" s="81"/>
      <c r="CK12" s="1083">
        <v>0.1</v>
      </c>
      <c r="CL12" s="1083">
        <v>0.04</v>
      </c>
      <c r="CM12" s="1083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9"/>
      <c r="B13" s="1370"/>
      <c r="C13" s="1419">
        <f t="shared" ref="C13:AH13" si="19">IF(SUM(C9:C12)=0,"",SUM(C9:C12))</f>
        <v>100</v>
      </c>
      <c r="D13" s="1420">
        <f t="shared" si="19"/>
        <v>100</v>
      </c>
      <c r="E13" s="1420">
        <f t="shared" si="19"/>
        <v>100</v>
      </c>
      <c r="F13" s="1420">
        <f t="shared" si="19"/>
        <v>100</v>
      </c>
      <c r="G13" s="1420">
        <f t="shared" si="19"/>
        <v>100</v>
      </c>
      <c r="H13" s="1420">
        <f t="shared" si="19"/>
        <v>100</v>
      </c>
      <c r="I13" s="1420">
        <f t="shared" si="19"/>
        <v>100</v>
      </c>
      <c r="J13" s="1420">
        <f t="shared" si="19"/>
        <v>100</v>
      </c>
      <c r="K13" s="1420">
        <f t="shared" si="19"/>
        <v>100</v>
      </c>
      <c r="L13" s="1677" t="str">
        <f t="shared" si="19"/>
        <v/>
      </c>
      <c r="M13" s="1420" t="str">
        <f t="shared" si="19"/>
        <v/>
      </c>
      <c r="N13" s="1420" t="str">
        <f t="shared" si="19"/>
        <v/>
      </c>
      <c r="O13" s="1420" t="str">
        <f t="shared" si="19"/>
        <v/>
      </c>
      <c r="P13" s="1420" t="str">
        <f t="shared" si="19"/>
        <v/>
      </c>
      <c r="Q13" s="1420" t="str">
        <f t="shared" si="19"/>
        <v/>
      </c>
      <c r="R13" s="1420" t="str">
        <f t="shared" si="19"/>
        <v/>
      </c>
      <c r="S13" s="1420" t="str">
        <f t="shared" si="19"/>
        <v/>
      </c>
      <c r="T13" s="1419">
        <f t="shared" si="19"/>
        <v>100</v>
      </c>
      <c r="U13" s="1420">
        <f t="shared" si="19"/>
        <v>100</v>
      </c>
      <c r="V13" s="1420">
        <f t="shared" si="19"/>
        <v>100</v>
      </c>
      <c r="W13" s="1420">
        <f t="shared" si="19"/>
        <v>100</v>
      </c>
      <c r="X13" s="1420">
        <f t="shared" si="19"/>
        <v>100</v>
      </c>
      <c r="Y13" s="1420">
        <f t="shared" si="19"/>
        <v>100</v>
      </c>
      <c r="Z13" s="1420">
        <f t="shared" si="19"/>
        <v>100</v>
      </c>
      <c r="AA13" s="1420">
        <f t="shared" si="19"/>
        <v>100</v>
      </c>
      <c r="AB13" s="1420">
        <f t="shared" si="19"/>
        <v>100</v>
      </c>
      <c r="AC13" s="1420" t="str">
        <f t="shared" si="19"/>
        <v/>
      </c>
      <c r="AD13" s="1420" t="str">
        <f t="shared" si="19"/>
        <v/>
      </c>
      <c r="AE13" s="1420" t="str">
        <f t="shared" si="19"/>
        <v/>
      </c>
      <c r="AF13" s="1420" t="str">
        <f t="shared" si="19"/>
        <v/>
      </c>
      <c r="AG13" s="1420" t="str">
        <f t="shared" si="19"/>
        <v/>
      </c>
      <c r="AH13" s="1420" t="str">
        <f t="shared" si="19"/>
        <v/>
      </c>
      <c r="AI13" s="1420" t="str">
        <f t="shared" ref="AI13:BJ13" si="20">IF(SUM(AI9:AI12)=0,"",SUM(AI9:AI12))</f>
        <v/>
      </c>
      <c r="AJ13" s="1677" t="str">
        <f t="shared" si="20"/>
        <v/>
      </c>
      <c r="AK13" s="1419">
        <f t="shared" si="20"/>
        <v>100</v>
      </c>
      <c r="AL13" s="1420">
        <f t="shared" si="20"/>
        <v>100</v>
      </c>
      <c r="AM13" s="1420">
        <f t="shared" si="20"/>
        <v>100</v>
      </c>
      <c r="AN13" s="1420">
        <f t="shared" si="20"/>
        <v>100</v>
      </c>
      <c r="AO13" s="1420">
        <f t="shared" si="20"/>
        <v>100</v>
      </c>
      <c r="AP13" s="1420">
        <f t="shared" si="20"/>
        <v>100</v>
      </c>
      <c r="AQ13" s="1420">
        <f t="shared" si="20"/>
        <v>100</v>
      </c>
      <c r="AR13" s="1420">
        <f t="shared" si="20"/>
        <v>100</v>
      </c>
      <c r="AS13" s="1420">
        <f t="shared" si="20"/>
        <v>110</v>
      </c>
      <c r="AT13" s="1420" t="str">
        <f t="shared" si="20"/>
        <v/>
      </c>
      <c r="AU13" s="1420" t="str">
        <f t="shared" si="20"/>
        <v/>
      </c>
      <c r="AV13" s="1420" t="str">
        <f t="shared" si="20"/>
        <v/>
      </c>
      <c r="AW13" s="1420" t="str">
        <f t="shared" si="20"/>
        <v/>
      </c>
      <c r="AX13" s="1420" t="str">
        <f t="shared" si="20"/>
        <v/>
      </c>
      <c r="AY13" s="1420" t="str">
        <f t="shared" si="20"/>
        <v/>
      </c>
      <c r="AZ13" s="1420" t="str">
        <f t="shared" si="20"/>
        <v/>
      </c>
      <c r="BA13" s="1677" t="str">
        <f t="shared" si="20"/>
        <v/>
      </c>
      <c r="BB13" s="1419">
        <f t="shared" si="20"/>
        <v>100</v>
      </c>
      <c r="BC13" s="1420">
        <f t="shared" si="20"/>
        <v>100</v>
      </c>
      <c r="BD13" s="1420">
        <f t="shared" si="20"/>
        <v>100</v>
      </c>
      <c r="BE13" s="1420">
        <f t="shared" si="20"/>
        <v>100</v>
      </c>
      <c r="BF13" s="1420">
        <f t="shared" si="20"/>
        <v>100</v>
      </c>
      <c r="BG13" s="1420">
        <f t="shared" si="20"/>
        <v>100</v>
      </c>
      <c r="BH13" s="1420">
        <f t="shared" si="20"/>
        <v>100</v>
      </c>
      <c r="BI13" s="1420">
        <f t="shared" si="20"/>
        <v>100</v>
      </c>
      <c r="BJ13" s="1420">
        <f t="shared" si="20"/>
        <v>100</v>
      </c>
      <c r="BK13" s="1677"/>
      <c r="BL13" s="1420"/>
      <c r="BM13" s="1420" t="str">
        <f t="shared" ref="BM13:BX13" si="21">IF(SUM(BM9:BM12)=0,"",SUM(BM9:BM12))</f>
        <v/>
      </c>
      <c r="BN13" s="1420" t="str">
        <f t="shared" si="21"/>
        <v/>
      </c>
      <c r="BO13" s="1420" t="str">
        <f t="shared" si="21"/>
        <v/>
      </c>
      <c r="BP13" s="1420" t="str">
        <f t="shared" si="21"/>
        <v/>
      </c>
      <c r="BQ13" s="1420" t="str">
        <f t="shared" si="21"/>
        <v/>
      </c>
      <c r="BR13" s="1420" t="str">
        <f t="shared" si="21"/>
        <v/>
      </c>
      <c r="BS13" s="1419">
        <f t="shared" si="21"/>
        <v>100</v>
      </c>
      <c r="BT13" s="1420">
        <f t="shared" si="21"/>
        <v>100</v>
      </c>
      <c r="BU13" s="1420">
        <f t="shared" si="21"/>
        <v>100</v>
      </c>
      <c r="BV13" s="1420">
        <f t="shared" si="21"/>
        <v>100</v>
      </c>
      <c r="BW13" s="1420">
        <f t="shared" si="21"/>
        <v>100</v>
      </c>
      <c r="BX13" s="1420">
        <f t="shared" si="21"/>
        <v>100</v>
      </c>
      <c r="BY13" s="1420">
        <f t="shared" ref="BY13:CI13" si="22">IF(SUM(BY9:BY12)=0,"",SUM(BY9:BY12))</f>
        <v>100</v>
      </c>
      <c r="BZ13" s="1420">
        <f t="shared" si="22"/>
        <v>100</v>
      </c>
      <c r="CA13" s="1420">
        <f t="shared" si="22"/>
        <v>100</v>
      </c>
      <c r="CB13" s="1420" t="str">
        <f t="shared" si="22"/>
        <v/>
      </c>
      <c r="CC13" s="1420" t="str">
        <f t="shared" si="22"/>
        <v/>
      </c>
      <c r="CD13" s="1420" t="str">
        <f t="shared" si="22"/>
        <v/>
      </c>
      <c r="CE13" s="1420" t="str">
        <f t="shared" si="22"/>
        <v/>
      </c>
      <c r="CF13" s="1420" t="str">
        <f t="shared" si="22"/>
        <v/>
      </c>
      <c r="CG13" s="1420" t="str">
        <f t="shared" si="22"/>
        <v/>
      </c>
      <c r="CH13" s="1420" t="str">
        <f t="shared" si="22"/>
        <v/>
      </c>
      <c r="CI13" s="1420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4" t="s">
        <v>64</v>
      </c>
      <c r="B14" s="1421" t="str">
        <f>$B$9</f>
        <v>VP</v>
      </c>
      <c r="C14" s="1386">
        <v>4</v>
      </c>
      <c r="D14" s="1387">
        <v>8</v>
      </c>
      <c r="E14" s="1387">
        <v>3</v>
      </c>
      <c r="F14" s="1389">
        <v>6</v>
      </c>
      <c r="G14" s="1389">
        <v>8</v>
      </c>
      <c r="H14" s="1389">
        <v>10</v>
      </c>
      <c r="I14" s="1389">
        <v>10</v>
      </c>
      <c r="J14" s="1389">
        <v>8</v>
      </c>
      <c r="K14" s="1389">
        <v>5</v>
      </c>
      <c r="L14" s="1728"/>
      <c r="M14" s="1389"/>
      <c r="N14" s="1389"/>
      <c r="O14" s="1389"/>
      <c r="P14" s="1389"/>
      <c r="Q14" s="1389"/>
      <c r="R14" s="1389"/>
      <c r="S14" s="1390"/>
      <c r="T14" s="1422">
        <v>10</v>
      </c>
      <c r="U14" s="1423">
        <v>7</v>
      </c>
      <c r="V14" s="1423">
        <v>6</v>
      </c>
      <c r="W14" s="1423">
        <v>6</v>
      </c>
      <c r="X14" s="1423">
        <v>6</v>
      </c>
      <c r="Y14" s="1423">
        <v>8</v>
      </c>
      <c r="Z14" s="1423">
        <v>6</v>
      </c>
      <c r="AA14" s="1423">
        <v>6</v>
      </c>
      <c r="AB14" s="1423">
        <v>7</v>
      </c>
      <c r="AC14" s="1423"/>
      <c r="AD14" s="1423"/>
      <c r="AE14" s="1423"/>
      <c r="AF14" s="1423"/>
      <c r="AG14" s="1423"/>
      <c r="AH14" s="1424"/>
      <c r="AI14" s="1423"/>
      <c r="AJ14" s="1720"/>
      <c r="AK14" s="1425"/>
      <c r="AL14" s="1426"/>
      <c r="AM14" s="1426"/>
      <c r="AN14" s="1426"/>
      <c r="AO14" s="1426"/>
      <c r="AP14" s="1426"/>
      <c r="AQ14" s="1426"/>
      <c r="AR14" s="1426"/>
      <c r="AS14" s="1426"/>
      <c r="AT14" s="1426"/>
      <c r="AU14" s="1426"/>
      <c r="AV14" s="1426"/>
      <c r="AW14" s="1426"/>
      <c r="AX14" s="1426"/>
      <c r="AY14" s="1426"/>
      <c r="AZ14" s="1426"/>
      <c r="BA14" s="1699"/>
      <c r="BB14" s="1427"/>
      <c r="BC14" s="1428"/>
      <c r="BD14" s="1428"/>
      <c r="BE14" s="1428"/>
      <c r="BF14" s="1428"/>
      <c r="BG14" s="1428"/>
      <c r="BH14" s="1428"/>
      <c r="BI14" s="1428"/>
      <c r="BJ14" s="1428"/>
      <c r="BK14" s="1678"/>
      <c r="BL14" s="1428"/>
      <c r="BM14" s="1428"/>
      <c r="BN14" s="1428"/>
      <c r="BO14" s="1428"/>
      <c r="BP14" s="1428"/>
      <c r="BQ14" s="1428"/>
      <c r="BR14" s="1429"/>
      <c r="BS14" s="1427"/>
      <c r="BT14" s="1428"/>
      <c r="BU14" s="1428"/>
      <c r="BV14" s="1428"/>
      <c r="BW14" s="1428"/>
      <c r="BX14" s="1428"/>
      <c r="BY14" s="1428"/>
      <c r="BZ14" s="1428"/>
      <c r="CA14" s="1428"/>
      <c r="CB14" s="1428"/>
      <c r="CC14" s="1428"/>
      <c r="CD14" s="1428"/>
      <c r="CE14" s="1428"/>
      <c r="CF14" s="1428"/>
      <c r="CG14" s="1428"/>
      <c r="CH14" s="1428"/>
      <c r="CI14" s="1429"/>
      <c r="CJ14" s="89"/>
      <c r="CK14" s="1082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5"/>
      <c r="B15" s="1430" t="str">
        <f>$B$10</f>
        <v>P</v>
      </c>
      <c r="C15" s="1397">
        <v>6</v>
      </c>
      <c r="D15" s="1398">
        <v>8</v>
      </c>
      <c r="E15" s="1398">
        <v>5</v>
      </c>
      <c r="F15" s="1400">
        <v>6</v>
      </c>
      <c r="G15" s="1400">
        <v>6</v>
      </c>
      <c r="H15" s="1400">
        <v>8</v>
      </c>
      <c r="I15" s="1400">
        <v>8</v>
      </c>
      <c r="J15" s="1400">
        <v>8</v>
      </c>
      <c r="K15" s="1400">
        <v>7</v>
      </c>
      <c r="L15" s="1729"/>
      <c r="M15" s="1400"/>
      <c r="N15" s="1400"/>
      <c r="O15" s="1400"/>
      <c r="P15" s="1400"/>
      <c r="Q15" s="1400"/>
      <c r="R15" s="1400"/>
      <c r="S15" s="1401"/>
      <c r="T15" s="1431"/>
      <c r="U15" s="1432"/>
      <c r="V15" s="1432"/>
      <c r="W15" s="1432"/>
      <c r="X15" s="1432"/>
      <c r="Y15" s="1432"/>
      <c r="Z15" s="1432"/>
      <c r="AA15" s="1432"/>
      <c r="AB15" s="1432"/>
      <c r="AC15" s="1432"/>
      <c r="AD15" s="1432"/>
      <c r="AE15" s="1432"/>
      <c r="AF15" s="1432"/>
      <c r="AG15" s="1432"/>
      <c r="AH15" s="1433"/>
      <c r="AI15" s="1432"/>
      <c r="AJ15" s="1701"/>
      <c r="AK15" s="1397">
        <v>8</v>
      </c>
      <c r="AL15" s="1399">
        <v>11</v>
      </c>
      <c r="AM15" s="1399">
        <v>12</v>
      </c>
      <c r="AN15" s="1434">
        <v>10</v>
      </c>
      <c r="AO15" s="1434">
        <v>8</v>
      </c>
      <c r="AP15" s="1434">
        <v>7</v>
      </c>
      <c r="AQ15" s="1434">
        <v>8</v>
      </c>
      <c r="AR15" s="1434">
        <v>10</v>
      </c>
      <c r="AS15" s="1434">
        <v>7</v>
      </c>
      <c r="AT15" s="1434"/>
      <c r="AU15" s="1434"/>
      <c r="AV15" s="1434"/>
      <c r="AW15" s="1434"/>
      <c r="AX15" s="1434"/>
      <c r="AY15" s="1434"/>
      <c r="AZ15" s="1434"/>
      <c r="BA15" s="1700"/>
      <c r="BB15" s="1436"/>
      <c r="BC15" s="1437"/>
      <c r="BD15" s="1437"/>
      <c r="BE15" s="1437"/>
      <c r="BF15" s="1437"/>
      <c r="BG15" s="1437"/>
      <c r="BH15" s="1437"/>
      <c r="BI15" s="1437"/>
      <c r="BJ15" s="1437"/>
      <c r="BK15" s="1679"/>
      <c r="BL15" s="1437"/>
      <c r="BM15" s="1437"/>
      <c r="BN15" s="1437"/>
      <c r="BO15" s="1437"/>
      <c r="BP15" s="1437"/>
      <c r="BQ15" s="1437"/>
      <c r="BR15" s="1438"/>
      <c r="BS15" s="1439"/>
      <c r="BT15" s="1440"/>
      <c r="BU15" s="1440"/>
      <c r="BV15" s="1440"/>
      <c r="BW15" s="1440"/>
      <c r="BX15" s="1440"/>
      <c r="BY15" s="1440"/>
      <c r="BZ15" s="1440"/>
      <c r="CA15" s="1440"/>
      <c r="CB15" s="1440"/>
      <c r="CC15" s="1440"/>
      <c r="CD15" s="1440"/>
      <c r="CE15" s="1440"/>
      <c r="CF15" s="1440"/>
      <c r="CG15" s="1440"/>
      <c r="CH15" s="1440"/>
      <c r="CI15" s="1441"/>
      <c r="CJ15" s="61"/>
      <c r="CK15" s="1082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5"/>
      <c r="B16" s="1430" t="str">
        <f>$B$11</f>
        <v>M</v>
      </c>
      <c r="C16" s="1397">
        <v>8</v>
      </c>
      <c r="D16" s="1398">
        <v>9</v>
      </c>
      <c r="E16" s="1398">
        <v>8</v>
      </c>
      <c r="F16" s="1400">
        <v>8</v>
      </c>
      <c r="G16" s="1400">
        <v>6</v>
      </c>
      <c r="H16" s="1400">
        <v>6</v>
      </c>
      <c r="I16" s="1400">
        <v>6</v>
      </c>
      <c r="J16" s="1400">
        <v>9</v>
      </c>
      <c r="K16" s="1400">
        <v>10</v>
      </c>
      <c r="L16" s="1729"/>
      <c r="M16" s="1400"/>
      <c r="N16" s="1400"/>
      <c r="O16" s="1400"/>
      <c r="P16" s="1400"/>
      <c r="Q16" s="1400"/>
      <c r="R16" s="1400"/>
      <c r="S16" s="1401"/>
      <c r="T16" s="1442"/>
      <c r="U16" s="1443"/>
      <c r="V16" s="1443"/>
      <c r="W16" s="1443"/>
      <c r="X16" s="1443"/>
      <c r="Y16" s="1443"/>
      <c r="Z16" s="1443"/>
      <c r="AA16" s="1443"/>
      <c r="AB16" s="1443"/>
      <c r="AC16" s="1443"/>
      <c r="AD16" s="1443"/>
      <c r="AE16" s="1443"/>
      <c r="AF16" s="1443"/>
      <c r="AG16" s="1443"/>
      <c r="AH16" s="1444"/>
      <c r="AI16" s="1443"/>
      <c r="AJ16" s="1713"/>
      <c r="AK16" s="1431"/>
      <c r="AL16" s="1432"/>
      <c r="AM16" s="1432"/>
      <c r="AN16" s="1432"/>
      <c r="AO16" s="1432"/>
      <c r="AP16" s="1432"/>
      <c r="AQ16" s="1432"/>
      <c r="AR16" s="1432"/>
      <c r="AS16" s="1432"/>
      <c r="AT16" s="1432"/>
      <c r="AU16" s="1432"/>
      <c r="AV16" s="1432"/>
      <c r="AW16" s="1432"/>
      <c r="AX16" s="1432"/>
      <c r="AY16" s="1432"/>
      <c r="AZ16" s="1432"/>
      <c r="BA16" s="1701"/>
      <c r="BB16" s="1446">
        <v>11</v>
      </c>
      <c r="BC16" s="1447">
        <v>12</v>
      </c>
      <c r="BD16" s="1447">
        <v>8</v>
      </c>
      <c r="BE16" s="1447">
        <v>8</v>
      </c>
      <c r="BF16" s="1447">
        <v>6</v>
      </c>
      <c r="BG16" s="1447">
        <v>6</v>
      </c>
      <c r="BH16" s="1447">
        <v>8</v>
      </c>
      <c r="BI16" s="1447">
        <v>8</v>
      </c>
      <c r="BJ16" s="1447">
        <v>10</v>
      </c>
      <c r="BK16" s="1680"/>
      <c r="BL16" s="1447"/>
      <c r="BM16" s="1447"/>
      <c r="BN16" s="1447"/>
      <c r="BO16" s="1447"/>
      <c r="BP16" s="1447"/>
      <c r="BQ16" s="1447"/>
      <c r="BR16" s="1448"/>
      <c r="BS16" s="1436"/>
      <c r="BT16" s="1437"/>
      <c r="BU16" s="1437"/>
      <c r="BV16" s="1437"/>
      <c r="BW16" s="1437"/>
      <c r="BX16" s="1437" t="s">
        <v>255</v>
      </c>
      <c r="BY16" s="1437"/>
      <c r="BZ16" s="1437"/>
      <c r="CA16" s="1437"/>
      <c r="CB16" s="1437"/>
      <c r="CC16" s="1437"/>
      <c r="CD16" s="1437"/>
      <c r="CE16" s="1437"/>
      <c r="CF16" s="1437"/>
      <c r="CG16" s="1437"/>
      <c r="CH16" s="1437"/>
      <c r="CI16" s="1438"/>
      <c r="CJ16" s="61"/>
      <c r="CK16" s="1082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8"/>
      <c r="B17" s="1449" t="str">
        <f>$B$12</f>
        <v>BO</v>
      </c>
      <c r="C17" s="1409">
        <v>10</v>
      </c>
      <c r="D17" s="1410">
        <v>10</v>
      </c>
      <c r="E17" s="1410">
        <v>10</v>
      </c>
      <c r="F17" s="1360">
        <v>10</v>
      </c>
      <c r="G17" s="1360">
        <v>4</v>
      </c>
      <c r="H17" s="1360">
        <v>5</v>
      </c>
      <c r="I17" s="1360">
        <v>5</v>
      </c>
      <c r="J17" s="1360">
        <v>12</v>
      </c>
      <c r="K17" s="1360">
        <v>8</v>
      </c>
      <c r="L17" s="1726"/>
      <c r="M17" s="1360"/>
      <c r="N17" s="1360"/>
      <c r="O17" s="1360"/>
      <c r="P17" s="1360"/>
      <c r="Q17" s="1360"/>
      <c r="R17" s="1360"/>
      <c r="S17" s="1362"/>
      <c r="T17" s="1450"/>
      <c r="U17" s="1451"/>
      <c r="V17" s="1451"/>
      <c r="W17" s="1451"/>
      <c r="X17" s="1451"/>
      <c r="Y17" s="1451"/>
      <c r="Z17" s="1451"/>
      <c r="AA17" s="1451"/>
      <c r="AB17" s="1451"/>
      <c r="AC17" s="1451"/>
      <c r="AD17" s="1451"/>
      <c r="AE17" s="1451"/>
      <c r="AF17" s="1451"/>
      <c r="AG17" s="1451"/>
      <c r="AH17" s="1452"/>
      <c r="AI17" s="1451"/>
      <c r="AJ17" s="1702"/>
      <c r="AK17" s="1450"/>
      <c r="AL17" s="1451"/>
      <c r="AM17" s="1451"/>
      <c r="AN17" s="1451"/>
      <c r="AO17" s="1451"/>
      <c r="AP17" s="1451"/>
      <c r="AQ17" s="1451"/>
      <c r="AR17" s="1451"/>
      <c r="AS17" s="1451"/>
      <c r="AT17" s="1451"/>
      <c r="AU17" s="1451"/>
      <c r="AV17" s="1451"/>
      <c r="AW17" s="1451"/>
      <c r="AX17" s="1451"/>
      <c r="AY17" s="1451"/>
      <c r="AZ17" s="1451"/>
      <c r="BA17" s="1702"/>
      <c r="BB17" s="1454"/>
      <c r="BC17" s="1455"/>
      <c r="BD17" s="1455"/>
      <c r="BE17" s="1455"/>
      <c r="BF17" s="1455"/>
      <c r="BG17" s="1455"/>
      <c r="BH17" s="1455"/>
      <c r="BI17" s="1455"/>
      <c r="BJ17" s="1455"/>
      <c r="BK17" s="1681"/>
      <c r="BL17" s="1455"/>
      <c r="BM17" s="1455"/>
      <c r="BN17" s="1455"/>
      <c r="BO17" s="1455"/>
      <c r="BP17" s="1455"/>
      <c r="BQ17" s="1455"/>
      <c r="BR17" s="1456"/>
      <c r="BS17" s="1457">
        <v>12</v>
      </c>
      <c r="BT17" s="1458">
        <v>12</v>
      </c>
      <c r="BU17" s="1458">
        <v>10</v>
      </c>
      <c r="BV17" s="1458">
        <v>10</v>
      </c>
      <c r="BW17" s="1458">
        <v>10</v>
      </c>
      <c r="BX17" s="1458">
        <v>7</v>
      </c>
      <c r="BY17" s="1458">
        <v>6</v>
      </c>
      <c r="BZ17" s="1458">
        <v>12</v>
      </c>
      <c r="CA17" s="1458">
        <v>9</v>
      </c>
      <c r="CB17" s="1458"/>
      <c r="CC17" s="1458"/>
      <c r="CD17" s="1458"/>
      <c r="CE17" s="1458"/>
      <c r="CF17" s="1458"/>
      <c r="CG17" s="1458"/>
      <c r="CH17" s="1458"/>
      <c r="CI17" s="1459"/>
      <c r="CJ17" s="105"/>
      <c r="CK17" s="1084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4" t="s">
        <v>829</v>
      </c>
      <c r="B18" s="1421" t="str">
        <f>$B$9</f>
        <v>VP</v>
      </c>
      <c r="C18" s="1386">
        <v>0.5</v>
      </c>
      <c r="D18" s="1389">
        <v>3</v>
      </c>
      <c r="E18" s="1389">
        <v>4</v>
      </c>
      <c r="F18" s="1389">
        <v>2</v>
      </c>
      <c r="G18" s="1389">
        <v>3</v>
      </c>
      <c r="H18" s="1389">
        <v>4</v>
      </c>
      <c r="I18" s="1389">
        <v>6</v>
      </c>
      <c r="J18" s="1389">
        <v>5</v>
      </c>
      <c r="K18" s="1389">
        <v>5</v>
      </c>
      <c r="L18" s="1728"/>
      <c r="M18" s="1389"/>
      <c r="N18" s="1389"/>
      <c r="O18" s="1389"/>
      <c r="P18" s="1389"/>
      <c r="Q18" s="1389"/>
      <c r="R18" s="1389"/>
      <c r="S18" s="1390"/>
      <c r="T18" s="1460">
        <v>5</v>
      </c>
      <c r="U18" s="1461">
        <v>5</v>
      </c>
      <c r="V18" s="1461">
        <v>4</v>
      </c>
      <c r="W18" s="1461">
        <v>1</v>
      </c>
      <c r="X18" s="1461">
        <v>2</v>
      </c>
      <c r="Y18" s="1461">
        <v>1.5</v>
      </c>
      <c r="Z18" s="1461">
        <v>1</v>
      </c>
      <c r="AA18" s="1461">
        <v>1</v>
      </c>
      <c r="AB18" s="1461">
        <v>8</v>
      </c>
      <c r="AC18" s="1461"/>
      <c r="AD18" s="1461"/>
      <c r="AE18" s="1461"/>
      <c r="AF18" s="1461"/>
      <c r="AG18" s="1461"/>
      <c r="AH18" s="1424"/>
      <c r="AI18" s="1461"/>
      <c r="AJ18" s="1707"/>
      <c r="AK18" s="1425"/>
      <c r="AL18" s="1426"/>
      <c r="AM18" s="1426"/>
      <c r="AN18" s="1426"/>
      <c r="AO18" s="1426"/>
      <c r="AP18" s="1426"/>
      <c r="AQ18" s="1426"/>
      <c r="AR18" s="1426"/>
      <c r="AS18" s="1426"/>
      <c r="AT18" s="1426"/>
      <c r="AU18" s="1426"/>
      <c r="AV18" s="1426"/>
      <c r="AW18" s="1426"/>
      <c r="AX18" s="1426"/>
      <c r="AY18" s="1426"/>
      <c r="AZ18" s="1426"/>
      <c r="BA18" s="1699"/>
      <c r="BB18" s="1427"/>
      <c r="BC18" s="1428"/>
      <c r="BD18" s="1428"/>
      <c r="BE18" s="1428"/>
      <c r="BF18" s="1428"/>
      <c r="BG18" s="1428"/>
      <c r="BH18" s="1428"/>
      <c r="BI18" s="1428"/>
      <c r="BJ18" s="1428"/>
      <c r="BK18" s="1678"/>
      <c r="BL18" s="1428"/>
      <c r="BM18" s="1428"/>
      <c r="BN18" s="1428"/>
      <c r="BO18" s="1428"/>
      <c r="BP18" s="1428"/>
      <c r="BQ18" s="1428"/>
      <c r="BR18" s="1429"/>
      <c r="BS18" s="1427"/>
      <c r="BT18" s="1428"/>
      <c r="BU18" s="1428"/>
      <c r="BV18" s="1428"/>
      <c r="BW18" s="1428"/>
      <c r="BX18" s="1428"/>
      <c r="BY18" s="1428"/>
      <c r="BZ18" s="1428"/>
      <c r="CA18" s="1428"/>
      <c r="CB18" s="1428"/>
      <c r="CC18" s="1428"/>
      <c r="CD18" s="1428"/>
      <c r="CE18" s="1428"/>
      <c r="CF18" s="1428"/>
      <c r="CG18" s="1428"/>
      <c r="CH18" s="1428"/>
      <c r="CI18" s="1429"/>
      <c r="CJ18" s="89"/>
      <c r="CK18" s="1267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5"/>
      <c r="B19" s="1430" t="str">
        <f>$B$10</f>
        <v>P</v>
      </c>
      <c r="C19" s="1397">
        <v>2</v>
      </c>
      <c r="D19" s="1400">
        <v>5</v>
      </c>
      <c r="E19" s="1400">
        <v>6</v>
      </c>
      <c r="F19" s="1400">
        <v>1</v>
      </c>
      <c r="G19" s="1400">
        <v>4</v>
      </c>
      <c r="H19" s="1400">
        <v>6</v>
      </c>
      <c r="I19" s="1400">
        <v>4</v>
      </c>
      <c r="J19" s="1400">
        <v>7</v>
      </c>
      <c r="K19" s="1400">
        <v>7</v>
      </c>
      <c r="L19" s="1729"/>
      <c r="M19" s="1400"/>
      <c r="N19" s="1400"/>
      <c r="O19" s="1400"/>
      <c r="P19" s="1400"/>
      <c r="Q19" s="1400"/>
      <c r="R19" s="1400"/>
      <c r="S19" s="1401"/>
      <c r="T19" s="1431"/>
      <c r="U19" s="1432"/>
      <c r="V19" s="1432"/>
      <c r="W19" s="1432"/>
      <c r="X19" s="1432"/>
      <c r="Y19" s="1432"/>
      <c r="Z19" s="1432"/>
      <c r="AA19" s="1432"/>
      <c r="AB19" s="1432"/>
      <c r="AC19" s="1432"/>
      <c r="AD19" s="1432"/>
      <c r="AE19" s="1432"/>
      <c r="AF19" s="1432"/>
      <c r="AG19" s="1432"/>
      <c r="AH19" s="1433"/>
      <c r="AI19" s="1432"/>
      <c r="AJ19" s="1701"/>
      <c r="AK19" s="1397">
        <v>2</v>
      </c>
      <c r="AL19" s="1399">
        <v>5</v>
      </c>
      <c r="AM19" s="1399">
        <v>5</v>
      </c>
      <c r="AN19" s="1434">
        <v>2</v>
      </c>
      <c r="AO19" s="1434">
        <v>1</v>
      </c>
      <c r="AP19" s="1434">
        <v>1</v>
      </c>
      <c r="AQ19" s="1434">
        <v>5</v>
      </c>
      <c r="AR19" s="1434">
        <v>2</v>
      </c>
      <c r="AS19" s="1434">
        <v>7</v>
      </c>
      <c r="AT19" s="1434"/>
      <c r="AU19" s="1434"/>
      <c r="AV19" s="1463"/>
      <c r="AW19" s="1434"/>
      <c r="AX19" s="1463"/>
      <c r="AY19" s="1434"/>
      <c r="AZ19" s="1434"/>
      <c r="BA19" s="1700"/>
      <c r="BB19" s="1436"/>
      <c r="BC19" s="1437"/>
      <c r="BD19" s="1437"/>
      <c r="BE19" s="1437"/>
      <c r="BF19" s="1437"/>
      <c r="BG19" s="1437"/>
      <c r="BH19" s="1437"/>
      <c r="BI19" s="1437"/>
      <c r="BJ19" s="1437"/>
      <c r="BK19" s="1679"/>
      <c r="BL19" s="1437"/>
      <c r="BM19" s="1437"/>
      <c r="BN19" s="1437"/>
      <c r="BO19" s="1437"/>
      <c r="BP19" s="1437"/>
      <c r="BQ19" s="1437"/>
      <c r="BR19" s="1438"/>
      <c r="BS19" s="1439"/>
      <c r="BT19" s="1440"/>
      <c r="BU19" s="1440"/>
      <c r="BV19" s="1440"/>
      <c r="BW19" s="1440"/>
      <c r="BX19" s="1440"/>
      <c r="BY19" s="1440"/>
      <c r="BZ19" s="1440"/>
      <c r="CA19" s="1440"/>
      <c r="CB19" s="1440"/>
      <c r="CC19" s="1440"/>
      <c r="CD19" s="1440"/>
      <c r="CE19" s="1440"/>
      <c r="CF19" s="1440"/>
      <c r="CG19" s="1440"/>
      <c r="CH19" s="1440"/>
      <c r="CI19" s="1441"/>
      <c r="CJ19" s="61"/>
      <c r="CK19" s="1267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5"/>
      <c r="B20" s="1430" t="str">
        <f>$B$11</f>
        <v>M</v>
      </c>
      <c r="C20" s="1397">
        <v>3</v>
      </c>
      <c r="D20" s="1400">
        <v>9</v>
      </c>
      <c r="E20" s="1400">
        <v>8</v>
      </c>
      <c r="F20" s="1400">
        <v>2</v>
      </c>
      <c r="G20" s="1400">
        <v>6</v>
      </c>
      <c r="H20" s="1400">
        <v>8</v>
      </c>
      <c r="I20" s="1400">
        <v>8</v>
      </c>
      <c r="J20" s="1400">
        <v>8</v>
      </c>
      <c r="K20" s="1400">
        <v>8</v>
      </c>
      <c r="L20" s="1729"/>
      <c r="M20" s="1400"/>
      <c r="N20" s="1400"/>
      <c r="O20" s="1400"/>
      <c r="P20" s="1400"/>
      <c r="Q20" s="1400"/>
      <c r="R20" s="1400"/>
      <c r="S20" s="1401"/>
      <c r="T20" s="1442"/>
      <c r="U20" s="1443"/>
      <c r="V20" s="1443"/>
      <c r="W20" s="1443"/>
      <c r="X20" s="1443"/>
      <c r="Y20" s="1443"/>
      <c r="Z20" s="1443"/>
      <c r="AA20" s="1443"/>
      <c r="AB20" s="1443"/>
      <c r="AC20" s="1443"/>
      <c r="AD20" s="1443"/>
      <c r="AE20" s="1443"/>
      <c r="AF20" s="1443"/>
      <c r="AG20" s="1443"/>
      <c r="AH20" s="1444"/>
      <c r="AI20" s="1443"/>
      <c r="AJ20" s="1713"/>
      <c r="AK20" s="1431"/>
      <c r="AL20" s="1432"/>
      <c r="AM20" s="1432"/>
      <c r="AN20" s="1432"/>
      <c r="AO20" s="1432"/>
      <c r="AP20" s="1432"/>
      <c r="AQ20" s="1432"/>
      <c r="AR20" s="1432"/>
      <c r="AS20" s="1432"/>
      <c r="AT20" s="1432"/>
      <c r="AU20" s="1432"/>
      <c r="AV20" s="1432"/>
      <c r="AW20" s="1432"/>
      <c r="AX20" s="1432"/>
      <c r="AY20" s="1432"/>
      <c r="AZ20" s="1432"/>
      <c r="BA20" s="1701"/>
      <c r="BB20" s="1446">
        <v>8</v>
      </c>
      <c r="BC20" s="1447">
        <v>5</v>
      </c>
      <c r="BD20" s="1447">
        <v>5</v>
      </c>
      <c r="BE20" s="1447">
        <v>15</v>
      </c>
      <c r="BF20" s="1447">
        <v>5</v>
      </c>
      <c r="BG20" s="1447">
        <v>6</v>
      </c>
      <c r="BH20" s="1447">
        <v>8</v>
      </c>
      <c r="BI20" s="1447">
        <v>8</v>
      </c>
      <c r="BJ20" s="1447">
        <v>10</v>
      </c>
      <c r="BK20" s="1680"/>
      <c r="BL20" s="1447"/>
      <c r="BM20" s="1447"/>
      <c r="BN20" s="1447"/>
      <c r="BO20" s="1447"/>
      <c r="BP20" s="1447"/>
      <c r="BQ20" s="1447"/>
      <c r="BR20" s="1448"/>
      <c r="BS20" s="1436"/>
      <c r="BT20" s="1437"/>
      <c r="BU20" s="1437"/>
      <c r="BV20" s="1437"/>
      <c r="BW20" s="1437"/>
      <c r="BX20" s="1437"/>
      <c r="BY20" s="1437"/>
      <c r="BZ20" s="1437"/>
      <c r="CA20" s="1437"/>
      <c r="CB20" s="1437"/>
      <c r="CC20" s="1437"/>
      <c r="CD20" s="1437"/>
      <c r="CE20" s="1437"/>
      <c r="CF20" s="1437"/>
      <c r="CG20" s="1437"/>
      <c r="CH20" s="1437"/>
      <c r="CI20" s="1438"/>
      <c r="CJ20" s="61"/>
      <c r="CK20" s="1267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8"/>
      <c r="B21" s="1449" t="str">
        <f>$B$12</f>
        <v>BO</v>
      </c>
      <c r="C21" s="1409">
        <v>5</v>
      </c>
      <c r="D21" s="1360">
        <v>10</v>
      </c>
      <c r="E21" s="1464">
        <v>10</v>
      </c>
      <c r="F21" s="1360">
        <v>5</v>
      </c>
      <c r="G21" s="1360">
        <v>10</v>
      </c>
      <c r="H21" s="1360">
        <v>20</v>
      </c>
      <c r="I21" s="1360">
        <v>10</v>
      </c>
      <c r="J21" s="1360">
        <v>12</v>
      </c>
      <c r="K21" s="1360">
        <v>15</v>
      </c>
      <c r="L21" s="1726"/>
      <c r="M21" s="1360"/>
      <c r="N21" s="1360"/>
      <c r="O21" s="1360"/>
      <c r="P21" s="1360"/>
      <c r="Q21" s="1360"/>
      <c r="R21" s="1360"/>
      <c r="S21" s="1362"/>
      <c r="T21" s="1450"/>
      <c r="U21" s="1451"/>
      <c r="V21" s="1451"/>
      <c r="W21" s="1451"/>
      <c r="X21" s="1451"/>
      <c r="Y21" s="1451"/>
      <c r="Z21" s="1451"/>
      <c r="AA21" s="1451"/>
      <c r="AB21" s="1451"/>
      <c r="AC21" s="1451"/>
      <c r="AD21" s="1451"/>
      <c r="AE21" s="1451"/>
      <c r="AF21" s="1451"/>
      <c r="AG21" s="1451"/>
      <c r="AH21" s="1452"/>
      <c r="AI21" s="1451"/>
      <c r="AJ21" s="1702"/>
      <c r="AK21" s="1450"/>
      <c r="AL21" s="1451"/>
      <c r="AM21" s="1451"/>
      <c r="AN21" s="1451"/>
      <c r="AO21" s="1451"/>
      <c r="AP21" s="1451"/>
      <c r="AQ21" s="1451"/>
      <c r="AR21" s="1451"/>
      <c r="AS21" s="1451"/>
      <c r="AT21" s="1451"/>
      <c r="AU21" s="1451"/>
      <c r="AV21" s="1451"/>
      <c r="AW21" s="1451"/>
      <c r="AX21" s="1451"/>
      <c r="AY21" s="1451"/>
      <c r="AZ21" s="1451"/>
      <c r="BA21" s="1702"/>
      <c r="BB21" s="1454"/>
      <c r="BC21" s="1455"/>
      <c r="BD21" s="1455"/>
      <c r="BE21" s="1455"/>
      <c r="BF21" s="1455"/>
      <c r="BG21" s="1455"/>
      <c r="BH21" s="1455"/>
      <c r="BI21" s="1455"/>
      <c r="BJ21" s="1455"/>
      <c r="BK21" s="1681"/>
      <c r="BL21" s="1455"/>
      <c r="BM21" s="1455"/>
      <c r="BN21" s="1455"/>
      <c r="BO21" s="1455"/>
      <c r="BP21" s="1455"/>
      <c r="BQ21" s="1455"/>
      <c r="BR21" s="1456"/>
      <c r="BS21" s="1457">
        <v>10</v>
      </c>
      <c r="BT21" s="1458">
        <v>8</v>
      </c>
      <c r="BU21" s="1458">
        <v>15</v>
      </c>
      <c r="BV21" s="1458">
        <v>10</v>
      </c>
      <c r="BW21" s="1458">
        <v>6</v>
      </c>
      <c r="BX21" s="1458">
        <v>4</v>
      </c>
      <c r="BY21" s="1458">
        <v>10</v>
      </c>
      <c r="BZ21" s="1458">
        <v>20</v>
      </c>
      <c r="CA21" s="1458">
        <v>15</v>
      </c>
      <c r="CB21" s="1458"/>
      <c r="CC21" s="1458"/>
      <c r="CD21" s="1458"/>
      <c r="CE21" s="1458"/>
      <c r="CF21" s="1458"/>
      <c r="CG21" s="1458"/>
      <c r="CH21" s="1458"/>
      <c r="CI21" s="1459"/>
      <c r="CJ21" s="105"/>
      <c r="CK21" s="1268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4" t="s">
        <v>830</v>
      </c>
      <c r="B22" s="1421" t="str">
        <f>$B$9</f>
        <v>VP</v>
      </c>
      <c r="C22" s="1465">
        <v>0.5</v>
      </c>
      <c r="D22" s="1389">
        <v>0.375</v>
      </c>
      <c r="E22" s="1389">
        <v>0.5</v>
      </c>
      <c r="F22" s="1389">
        <v>1</v>
      </c>
      <c r="G22" s="1389">
        <v>0.375</v>
      </c>
      <c r="H22" s="1389">
        <v>1</v>
      </c>
      <c r="I22" s="1389">
        <v>0.25</v>
      </c>
      <c r="J22" s="1389">
        <v>1</v>
      </c>
      <c r="K22" s="1389">
        <v>0.375</v>
      </c>
      <c r="L22" s="1728"/>
      <c r="M22" s="1389"/>
      <c r="N22" s="1389"/>
      <c r="O22" s="1389"/>
      <c r="P22" s="1389"/>
      <c r="Q22" s="1389"/>
      <c r="R22" s="1389"/>
      <c r="S22" s="1390"/>
      <c r="T22" s="1460">
        <v>1</v>
      </c>
      <c r="U22" s="1461">
        <v>0.375</v>
      </c>
      <c r="V22" s="1461">
        <v>0.5</v>
      </c>
      <c r="W22" s="1461">
        <v>1</v>
      </c>
      <c r="X22" s="1461">
        <v>1</v>
      </c>
      <c r="Y22" s="1461">
        <v>1</v>
      </c>
      <c r="Z22" s="1461">
        <v>1</v>
      </c>
      <c r="AA22" s="1461">
        <v>0.5</v>
      </c>
      <c r="AB22" s="1461">
        <v>1</v>
      </c>
      <c r="AC22" s="1461"/>
      <c r="AD22" s="1461"/>
      <c r="AE22" s="1461"/>
      <c r="AF22" s="1461"/>
      <c r="AG22" s="1461"/>
      <c r="AH22" s="1424"/>
      <c r="AI22" s="1461"/>
      <c r="AJ22" s="1707"/>
      <c r="AK22" s="1425"/>
      <c r="AL22" s="1426"/>
      <c r="AM22" s="1426"/>
      <c r="AN22" s="1426"/>
      <c r="AO22" s="1426"/>
      <c r="AP22" s="1426"/>
      <c r="AQ22" s="1426"/>
      <c r="AR22" s="1426"/>
      <c r="AS22" s="1426"/>
      <c r="AT22" s="1426"/>
      <c r="AU22" s="1426"/>
      <c r="AV22" s="1426"/>
      <c r="AW22" s="1426"/>
      <c r="AX22" s="1426"/>
      <c r="AY22" s="1426"/>
      <c r="AZ22" s="1426"/>
      <c r="BA22" s="1699"/>
      <c r="BB22" s="1427"/>
      <c r="BC22" s="1428"/>
      <c r="BD22" s="1428"/>
      <c r="BE22" s="1428"/>
      <c r="BF22" s="1428"/>
      <c r="BG22" s="1428"/>
      <c r="BH22" s="1428"/>
      <c r="BI22" s="1428"/>
      <c r="BJ22" s="1428"/>
      <c r="BK22" s="1678"/>
      <c r="BL22" s="1428"/>
      <c r="BM22" s="1428"/>
      <c r="BN22" s="1428"/>
      <c r="BO22" s="1428"/>
      <c r="BP22" s="1428"/>
      <c r="BQ22" s="1428"/>
      <c r="BR22" s="1429"/>
      <c r="BS22" s="1427"/>
      <c r="BT22" s="1428"/>
      <c r="BU22" s="1428"/>
      <c r="BV22" s="1428"/>
      <c r="BW22" s="1428"/>
      <c r="BX22" s="1428"/>
      <c r="BY22" s="1428"/>
      <c r="BZ22" s="1428"/>
      <c r="CA22" s="1428"/>
      <c r="CB22" s="1428"/>
      <c r="CC22" s="1428"/>
      <c r="CD22" s="1428"/>
      <c r="CE22" s="1428"/>
      <c r="CF22" s="1428"/>
      <c r="CG22" s="1428"/>
      <c r="CH22" s="1428"/>
      <c r="CI22" s="1429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5"/>
      <c r="B23" s="1430" t="str">
        <f>$B$10</f>
        <v>P</v>
      </c>
      <c r="C23" s="1466">
        <v>2</v>
      </c>
      <c r="D23" s="1400">
        <v>1.5</v>
      </c>
      <c r="E23" s="1400">
        <v>1</v>
      </c>
      <c r="F23" s="1400">
        <v>0.5</v>
      </c>
      <c r="G23" s="1400">
        <v>0.5</v>
      </c>
      <c r="H23" s="1400">
        <v>1.5</v>
      </c>
      <c r="I23" s="1400">
        <v>0.25</v>
      </c>
      <c r="J23" s="1400">
        <v>1.5</v>
      </c>
      <c r="K23" s="1400">
        <v>1</v>
      </c>
      <c r="L23" s="1729"/>
      <c r="M23" s="1400"/>
      <c r="N23" s="1400"/>
      <c r="O23" s="1400"/>
      <c r="P23" s="1400"/>
      <c r="Q23" s="1400"/>
      <c r="R23" s="1400"/>
      <c r="S23" s="1401"/>
      <c r="T23" s="1431"/>
      <c r="U23" s="1432"/>
      <c r="V23" s="1432"/>
      <c r="W23" s="1432"/>
      <c r="X23" s="1432"/>
      <c r="Y23" s="1432"/>
      <c r="Z23" s="1432"/>
      <c r="AA23" s="1432"/>
      <c r="AB23" s="1432"/>
      <c r="AC23" s="1432"/>
      <c r="AD23" s="1432"/>
      <c r="AE23" s="1432"/>
      <c r="AF23" s="1432"/>
      <c r="AG23" s="1432"/>
      <c r="AH23" s="1433"/>
      <c r="AI23" s="1432"/>
      <c r="AJ23" s="1701"/>
      <c r="AK23" s="1397">
        <v>0.5</v>
      </c>
      <c r="AL23" s="1399">
        <v>1.5</v>
      </c>
      <c r="AM23" s="1399">
        <v>1</v>
      </c>
      <c r="AN23" s="1434">
        <v>1.5</v>
      </c>
      <c r="AO23" s="1434">
        <v>0.5</v>
      </c>
      <c r="AP23" s="1434">
        <v>0.5</v>
      </c>
      <c r="AQ23" s="1434">
        <v>1</v>
      </c>
      <c r="AR23" s="1434">
        <v>1.125</v>
      </c>
      <c r="AS23" s="1434">
        <v>2</v>
      </c>
      <c r="AT23" s="1434"/>
      <c r="AU23" s="1434"/>
      <c r="AV23" s="1463"/>
      <c r="AW23" s="1434"/>
      <c r="AX23" s="1463"/>
      <c r="AY23" s="1434"/>
      <c r="AZ23" s="1434"/>
      <c r="BA23" s="1700"/>
      <c r="BB23" s="1436"/>
      <c r="BC23" s="1437"/>
      <c r="BD23" s="1437"/>
      <c r="BE23" s="1437"/>
      <c r="BF23" s="1437"/>
      <c r="BG23" s="1437"/>
      <c r="BH23" s="1437"/>
      <c r="BI23" s="1437"/>
      <c r="BJ23" s="1437"/>
      <c r="BK23" s="1679"/>
      <c r="BL23" s="1437"/>
      <c r="BM23" s="1437"/>
      <c r="BN23" s="1437"/>
      <c r="BO23" s="1437"/>
      <c r="BP23" s="1437"/>
      <c r="BQ23" s="1437"/>
      <c r="BR23" s="1438"/>
      <c r="BS23" s="1439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1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5"/>
      <c r="B24" s="1430" t="str">
        <f>$B$11</f>
        <v>M</v>
      </c>
      <c r="C24" s="1466">
        <v>2.5</v>
      </c>
      <c r="D24" s="1400">
        <v>4</v>
      </c>
      <c r="E24" s="1400">
        <v>5</v>
      </c>
      <c r="F24" s="1400">
        <v>3</v>
      </c>
      <c r="G24" s="1400">
        <v>1.5</v>
      </c>
      <c r="H24" s="1400">
        <v>2</v>
      </c>
      <c r="I24" s="1400">
        <v>2</v>
      </c>
      <c r="J24" s="1400">
        <v>2</v>
      </c>
      <c r="K24" s="1400">
        <v>3</v>
      </c>
      <c r="L24" s="1729"/>
      <c r="M24" s="1400"/>
      <c r="N24" s="1400"/>
      <c r="O24" s="1400"/>
      <c r="P24" s="1400"/>
      <c r="Q24" s="1400"/>
      <c r="R24" s="1400"/>
      <c r="S24" s="1401"/>
      <c r="T24" s="1442"/>
      <c r="U24" s="1443"/>
      <c r="V24" s="1443"/>
      <c r="W24" s="1443"/>
      <c r="X24" s="1443"/>
      <c r="Y24" s="1443"/>
      <c r="Z24" s="1443"/>
      <c r="AA24" s="1443"/>
      <c r="AB24" s="1443"/>
      <c r="AC24" s="1443"/>
      <c r="AD24" s="1443"/>
      <c r="AE24" s="1443"/>
      <c r="AF24" s="1443"/>
      <c r="AG24" s="1443"/>
      <c r="AH24" s="1444"/>
      <c r="AI24" s="1443"/>
      <c r="AJ24" s="1713"/>
      <c r="AK24" s="1431"/>
      <c r="AL24" s="1432"/>
      <c r="AM24" s="1432"/>
      <c r="AN24" s="1432"/>
      <c r="AO24" s="1432"/>
      <c r="AP24" s="1432"/>
      <c r="AQ24" s="1432"/>
      <c r="AR24" s="1432"/>
      <c r="AS24" s="1432"/>
      <c r="AT24" s="1432"/>
      <c r="AU24" s="1432"/>
      <c r="AV24" s="1432"/>
      <c r="AW24" s="1432"/>
      <c r="AX24" s="1432"/>
      <c r="AY24" s="1432"/>
      <c r="AZ24" s="1432"/>
      <c r="BA24" s="1701"/>
      <c r="BB24" s="1446">
        <v>5</v>
      </c>
      <c r="BC24" s="1447">
        <v>4</v>
      </c>
      <c r="BD24" s="1447">
        <v>3.5</v>
      </c>
      <c r="BE24" s="1447">
        <v>3</v>
      </c>
      <c r="BF24" s="1447">
        <v>2.5</v>
      </c>
      <c r="BG24" s="1447">
        <v>2</v>
      </c>
      <c r="BH24" s="1447">
        <v>4</v>
      </c>
      <c r="BI24" s="1447">
        <v>4</v>
      </c>
      <c r="BJ24" s="1447">
        <v>4</v>
      </c>
      <c r="BK24" s="1680"/>
      <c r="BL24" s="1447"/>
      <c r="BM24" s="1447"/>
      <c r="BN24" s="1447"/>
      <c r="BO24" s="1447"/>
      <c r="BP24" s="1447"/>
      <c r="BQ24" s="1447"/>
      <c r="BR24" s="1448"/>
      <c r="BS24" s="1436"/>
      <c r="BT24" s="1437"/>
      <c r="BU24" s="1437"/>
      <c r="BV24" s="1437"/>
      <c r="BW24" s="1437"/>
      <c r="BX24" s="1437"/>
      <c r="BY24" s="1437"/>
      <c r="BZ24" s="1437"/>
      <c r="CA24" s="1437"/>
      <c r="CB24" s="1437"/>
      <c r="CC24" s="1437"/>
      <c r="CD24" s="1437"/>
      <c r="CE24" s="1437"/>
      <c r="CF24" s="1437"/>
      <c r="CG24" s="1437"/>
      <c r="CH24" s="1437"/>
      <c r="CI24" s="1438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8"/>
      <c r="B25" s="1449" t="str">
        <f>$B$12</f>
        <v>BO</v>
      </c>
      <c r="C25" s="1359">
        <v>4</v>
      </c>
      <c r="D25" s="1360">
        <v>10</v>
      </c>
      <c r="E25" s="1360">
        <v>8</v>
      </c>
      <c r="F25" s="1360">
        <v>4</v>
      </c>
      <c r="G25" s="1360">
        <v>7</v>
      </c>
      <c r="H25" s="1360">
        <v>5</v>
      </c>
      <c r="I25" s="1360">
        <v>4</v>
      </c>
      <c r="J25" s="1360">
        <v>4</v>
      </c>
      <c r="K25" s="1360">
        <v>5</v>
      </c>
      <c r="L25" s="1726"/>
      <c r="M25" s="1360"/>
      <c r="N25" s="1360"/>
      <c r="O25" s="1360"/>
      <c r="P25" s="1360"/>
      <c r="Q25" s="1360"/>
      <c r="R25" s="1360"/>
      <c r="S25" s="1362"/>
      <c r="T25" s="1450"/>
      <c r="U25" s="1451"/>
      <c r="V25" s="1451"/>
      <c r="W25" s="1451"/>
      <c r="X25" s="1451"/>
      <c r="Y25" s="1451"/>
      <c r="Z25" s="1451"/>
      <c r="AA25" s="1451"/>
      <c r="AB25" s="1451"/>
      <c r="AC25" s="1451"/>
      <c r="AD25" s="1451"/>
      <c r="AE25" s="1451"/>
      <c r="AF25" s="1451"/>
      <c r="AG25" s="1451"/>
      <c r="AH25" s="1452"/>
      <c r="AI25" s="1451"/>
      <c r="AJ25" s="1702"/>
      <c r="AK25" s="1450"/>
      <c r="AL25" s="1451"/>
      <c r="AM25" s="1451"/>
      <c r="AN25" s="1451"/>
      <c r="AO25" s="1451"/>
      <c r="AP25" s="1451"/>
      <c r="AQ25" s="1451"/>
      <c r="AR25" s="1451"/>
      <c r="AS25" s="1451"/>
      <c r="AT25" s="1451"/>
      <c r="AU25" s="1451"/>
      <c r="AV25" s="1451"/>
      <c r="AW25" s="1451"/>
      <c r="AX25" s="1451"/>
      <c r="AY25" s="1451"/>
      <c r="AZ25" s="1451"/>
      <c r="BA25" s="1702"/>
      <c r="BB25" s="1454"/>
      <c r="BC25" s="1455"/>
      <c r="BD25" s="1455"/>
      <c r="BE25" s="1455"/>
      <c r="BF25" s="1455"/>
      <c r="BG25" s="1455"/>
      <c r="BH25" s="1455"/>
      <c r="BI25" s="1455"/>
      <c r="BJ25" s="1455"/>
      <c r="BK25" s="1681"/>
      <c r="BL25" s="1455"/>
      <c r="BM25" s="1455"/>
      <c r="BN25" s="1455"/>
      <c r="BO25" s="1455"/>
      <c r="BP25" s="1455"/>
      <c r="BQ25" s="1455"/>
      <c r="BR25" s="1456"/>
      <c r="BS25" s="1457">
        <v>5</v>
      </c>
      <c r="BT25" s="1458">
        <v>6</v>
      </c>
      <c r="BU25" s="1458">
        <v>9</v>
      </c>
      <c r="BV25" s="1458">
        <v>4</v>
      </c>
      <c r="BW25" s="1458">
        <v>5</v>
      </c>
      <c r="BX25" s="1458">
        <v>2</v>
      </c>
      <c r="BY25" s="1458">
        <v>4</v>
      </c>
      <c r="BZ25" s="1458">
        <v>7</v>
      </c>
      <c r="CA25" s="1458">
        <v>8</v>
      </c>
      <c r="CB25" s="1458"/>
      <c r="CC25" s="1458"/>
      <c r="CD25" s="1458"/>
      <c r="CE25" s="1458"/>
      <c r="CF25" s="1458"/>
      <c r="CG25" s="1458"/>
      <c r="CH25" s="1458"/>
      <c r="CI25" s="1459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84" t="s">
        <v>831</v>
      </c>
      <c r="B26" s="1421" t="str">
        <f>$B$9</f>
        <v>VP</v>
      </c>
      <c r="C26" s="1465">
        <v>0</v>
      </c>
      <c r="D26" s="1389">
        <v>0.375</v>
      </c>
      <c r="E26" s="1389">
        <v>0.5</v>
      </c>
      <c r="F26" s="1389">
        <v>0.5</v>
      </c>
      <c r="G26" s="1389">
        <v>0.375</v>
      </c>
      <c r="H26" s="1389">
        <v>1</v>
      </c>
      <c r="I26" s="1389">
        <v>0.25</v>
      </c>
      <c r="J26" s="1389">
        <v>1</v>
      </c>
      <c r="K26" s="1389">
        <v>0.375</v>
      </c>
      <c r="L26" s="1728"/>
      <c r="M26" s="1389"/>
      <c r="N26" s="1389"/>
      <c r="O26" s="1389"/>
      <c r="P26" s="1389"/>
      <c r="Q26" s="1389"/>
      <c r="R26" s="1389"/>
      <c r="S26" s="1390"/>
      <c r="T26" s="1460">
        <v>1</v>
      </c>
      <c r="U26" s="1461">
        <v>0.375</v>
      </c>
      <c r="V26" s="1461">
        <v>0.5</v>
      </c>
      <c r="W26" s="1461">
        <v>1</v>
      </c>
      <c r="X26" s="1461">
        <v>1</v>
      </c>
      <c r="Y26" s="1461">
        <v>1</v>
      </c>
      <c r="Z26" s="1461">
        <v>1</v>
      </c>
      <c r="AA26" s="1461">
        <v>0.5</v>
      </c>
      <c r="AB26" s="1461">
        <v>1</v>
      </c>
      <c r="AC26" s="1461"/>
      <c r="AD26" s="1461"/>
      <c r="AE26" s="1461"/>
      <c r="AF26" s="1461"/>
      <c r="AG26" s="1461"/>
      <c r="AH26" s="1424"/>
      <c r="AI26" s="1461"/>
      <c r="AJ26" s="1707"/>
      <c r="AK26" s="1425"/>
      <c r="AL26" s="1426"/>
      <c r="AM26" s="1426"/>
      <c r="AN26" s="1426"/>
      <c r="AO26" s="1426"/>
      <c r="AP26" s="1426"/>
      <c r="AQ26" s="1426"/>
      <c r="AR26" s="1426"/>
      <c r="AS26" s="1426"/>
      <c r="AT26" s="1426"/>
      <c r="AU26" s="1426"/>
      <c r="AV26" s="1426"/>
      <c r="AW26" s="1426"/>
      <c r="AX26" s="1426"/>
      <c r="AY26" s="1426"/>
      <c r="AZ26" s="1426"/>
      <c r="BA26" s="1699"/>
      <c r="BB26" s="1427"/>
      <c r="BC26" s="1428"/>
      <c r="BD26" s="1428"/>
      <c r="BE26" s="1428"/>
      <c r="BF26" s="1428"/>
      <c r="BG26" s="1428"/>
      <c r="BH26" s="1428"/>
      <c r="BI26" s="1428"/>
      <c r="BJ26" s="1428"/>
      <c r="BK26" s="1678"/>
      <c r="BL26" s="1428"/>
      <c r="BM26" s="1428"/>
      <c r="BN26" s="1428"/>
      <c r="BO26" s="1428"/>
      <c r="BP26" s="1428"/>
      <c r="BQ26" s="1428"/>
      <c r="BR26" s="1429"/>
      <c r="BS26" s="1427"/>
      <c r="BT26" s="1428"/>
      <c r="BU26" s="1428"/>
      <c r="BV26" s="1428"/>
      <c r="BW26" s="1428"/>
      <c r="BX26" s="1428"/>
      <c r="BY26" s="1428"/>
      <c r="BZ26" s="1428"/>
      <c r="CA26" s="1428"/>
      <c r="CB26" s="1428"/>
      <c r="CC26" s="1428"/>
      <c r="CD26" s="1428"/>
      <c r="CE26" s="1428"/>
      <c r="CF26" s="1428"/>
      <c r="CG26" s="1428"/>
      <c r="CH26" s="1428"/>
      <c r="CI26" s="1429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7"/>
      <c r="B27" s="1430" t="str">
        <f>$B$10</f>
        <v>P</v>
      </c>
      <c r="C27" s="1466">
        <v>0</v>
      </c>
      <c r="D27" s="1400">
        <v>1.5</v>
      </c>
      <c r="E27" s="1400">
        <v>1</v>
      </c>
      <c r="F27" s="1400">
        <v>0.5</v>
      </c>
      <c r="G27" s="1400">
        <v>0.5</v>
      </c>
      <c r="H27" s="1400">
        <v>1.5</v>
      </c>
      <c r="I27" s="1400">
        <v>0.25</v>
      </c>
      <c r="J27" s="1400">
        <v>1.5</v>
      </c>
      <c r="K27" s="1400">
        <v>0.4</v>
      </c>
      <c r="L27" s="1729"/>
      <c r="M27" s="1400"/>
      <c r="N27" s="1400"/>
      <c r="O27" s="1400"/>
      <c r="P27" s="1400"/>
      <c r="Q27" s="1400"/>
      <c r="R27" s="1400"/>
      <c r="S27" s="1401"/>
      <c r="T27" s="1431"/>
      <c r="U27" s="1432"/>
      <c r="V27" s="1432"/>
      <c r="W27" s="1432"/>
      <c r="X27" s="1432"/>
      <c r="Y27" s="1432"/>
      <c r="Z27" s="1432"/>
      <c r="AA27" s="1432"/>
      <c r="AB27" s="1432"/>
      <c r="AC27" s="1432"/>
      <c r="AD27" s="1432"/>
      <c r="AE27" s="1432"/>
      <c r="AF27" s="1432"/>
      <c r="AG27" s="1432"/>
      <c r="AH27" s="1433"/>
      <c r="AI27" s="1432"/>
      <c r="AJ27" s="1701"/>
      <c r="AK27" s="1397">
        <v>0.5</v>
      </c>
      <c r="AL27" s="1399">
        <v>1.5</v>
      </c>
      <c r="AM27" s="1399">
        <v>1</v>
      </c>
      <c r="AN27" s="1434">
        <v>1.5</v>
      </c>
      <c r="AO27" s="1434">
        <v>0.5</v>
      </c>
      <c r="AP27" s="1434">
        <v>0.5</v>
      </c>
      <c r="AQ27" s="1434">
        <v>1</v>
      </c>
      <c r="AR27" s="1434">
        <v>1.125</v>
      </c>
      <c r="AS27" s="1434">
        <v>2</v>
      </c>
      <c r="AT27" s="1434"/>
      <c r="AU27" s="1434"/>
      <c r="AV27" s="1463"/>
      <c r="AW27" s="1434"/>
      <c r="AX27" s="1463"/>
      <c r="AY27" s="1434"/>
      <c r="AZ27" s="1434"/>
      <c r="BA27" s="1700"/>
      <c r="BB27" s="1436"/>
      <c r="BC27" s="1437"/>
      <c r="BD27" s="1437"/>
      <c r="BE27" s="1437"/>
      <c r="BF27" s="1437"/>
      <c r="BG27" s="1437"/>
      <c r="BH27" s="1437"/>
      <c r="BI27" s="1437"/>
      <c r="BJ27" s="1437"/>
      <c r="BK27" s="1679"/>
      <c r="BL27" s="1437"/>
      <c r="BM27" s="1437"/>
      <c r="BN27" s="1437"/>
      <c r="BO27" s="1437"/>
      <c r="BP27" s="1437"/>
      <c r="BQ27" s="1437"/>
      <c r="BR27" s="1438"/>
      <c r="BS27" s="1439"/>
      <c r="BT27" s="1440"/>
      <c r="BU27" s="1440"/>
      <c r="BV27" s="1440"/>
      <c r="BW27" s="1440"/>
      <c r="BX27" s="1440"/>
      <c r="BY27" s="1440"/>
      <c r="BZ27" s="1440"/>
      <c r="CA27" s="1440"/>
      <c r="CB27" s="1440"/>
      <c r="CC27" s="1440"/>
      <c r="CD27" s="1440"/>
      <c r="CE27" s="1440"/>
      <c r="CF27" s="1440"/>
      <c r="CG27" s="1440"/>
      <c r="CH27" s="1440"/>
      <c r="CI27" s="1441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7"/>
      <c r="B28" s="1430" t="str">
        <f>$B$11</f>
        <v>M</v>
      </c>
      <c r="C28" s="1466">
        <v>1</v>
      </c>
      <c r="D28" s="1400">
        <v>4</v>
      </c>
      <c r="E28" s="1400">
        <v>5</v>
      </c>
      <c r="F28" s="1400">
        <v>3</v>
      </c>
      <c r="G28" s="1400">
        <v>1.5</v>
      </c>
      <c r="H28" s="1400">
        <v>2</v>
      </c>
      <c r="I28" s="1400">
        <v>2</v>
      </c>
      <c r="J28" s="1400">
        <v>2</v>
      </c>
      <c r="K28" s="1400">
        <v>4</v>
      </c>
      <c r="L28" s="1729"/>
      <c r="M28" s="1400"/>
      <c r="N28" s="1400"/>
      <c r="O28" s="1400"/>
      <c r="P28" s="1400"/>
      <c r="Q28" s="1400"/>
      <c r="R28" s="1400"/>
      <c r="S28" s="1401"/>
      <c r="T28" s="1442"/>
      <c r="U28" s="1443"/>
      <c r="V28" s="1443"/>
      <c r="W28" s="1443"/>
      <c r="X28" s="1443"/>
      <c r="Y28" s="1443"/>
      <c r="Z28" s="1443"/>
      <c r="AA28" s="1443"/>
      <c r="AB28" s="1443"/>
      <c r="AC28" s="1443"/>
      <c r="AD28" s="1443"/>
      <c r="AE28" s="1443"/>
      <c r="AF28" s="1443"/>
      <c r="AG28" s="1443"/>
      <c r="AH28" s="1444"/>
      <c r="AI28" s="1443"/>
      <c r="AJ28" s="1713"/>
      <c r="AK28" s="1431"/>
      <c r="AL28" s="1432"/>
      <c r="AM28" s="1432"/>
      <c r="AN28" s="1432"/>
      <c r="AO28" s="1432"/>
      <c r="AP28" s="1432"/>
      <c r="AQ28" s="1432"/>
      <c r="AR28" s="1432"/>
      <c r="AS28" s="1432"/>
      <c r="AT28" s="1432"/>
      <c r="AU28" s="1432"/>
      <c r="AV28" s="1432"/>
      <c r="AW28" s="1432"/>
      <c r="AX28" s="1432"/>
      <c r="AY28" s="1432"/>
      <c r="AZ28" s="1432"/>
      <c r="BA28" s="1701"/>
      <c r="BB28" s="1446">
        <v>5</v>
      </c>
      <c r="BC28" s="1447">
        <v>4</v>
      </c>
      <c r="BD28" s="1447">
        <v>3.5</v>
      </c>
      <c r="BE28" s="1447">
        <v>3</v>
      </c>
      <c r="BF28" s="1447">
        <v>2.5</v>
      </c>
      <c r="BG28" s="1447">
        <v>2</v>
      </c>
      <c r="BH28" s="1447">
        <v>4</v>
      </c>
      <c r="BI28" s="1447">
        <v>4</v>
      </c>
      <c r="BJ28" s="1447">
        <v>4</v>
      </c>
      <c r="BK28" s="1680"/>
      <c r="BL28" s="1447"/>
      <c r="BM28" s="1447"/>
      <c r="BN28" s="1447"/>
      <c r="BO28" s="1447"/>
      <c r="BP28" s="1447"/>
      <c r="BQ28" s="1447"/>
      <c r="BR28" s="1448"/>
      <c r="BS28" s="1436"/>
      <c r="BT28" s="1437"/>
      <c r="BU28" s="1437"/>
      <c r="BV28" s="1437"/>
      <c r="BW28" s="1437"/>
      <c r="BX28" s="1437"/>
      <c r="BY28" s="1437"/>
      <c r="BZ28" s="1437"/>
      <c r="CA28" s="1437"/>
      <c r="CB28" s="1437"/>
      <c r="CC28" s="1437"/>
      <c r="CD28" s="1437"/>
      <c r="CE28" s="1437"/>
      <c r="CF28" s="1437"/>
      <c r="CG28" s="1437"/>
      <c r="CH28" s="1437"/>
      <c r="CI28" s="1438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7"/>
      <c r="B29" s="1449" t="str">
        <f>$B$12</f>
        <v>BO</v>
      </c>
      <c r="C29" s="1359">
        <v>1</v>
      </c>
      <c r="D29" s="1360">
        <v>8</v>
      </c>
      <c r="E29" s="1360">
        <v>6</v>
      </c>
      <c r="F29" s="1360">
        <v>4</v>
      </c>
      <c r="G29" s="1360">
        <v>7</v>
      </c>
      <c r="H29" s="1360">
        <v>5</v>
      </c>
      <c r="I29" s="1360">
        <v>4</v>
      </c>
      <c r="J29" s="1360">
        <v>4</v>
      </c>
      <c r="K29" s="1360">
        <v>6</v>
      </c>
      <c r="L29" s="1726"/>
      <c r="M29" s="1360"/>
      <c r="N29" s="1360"/>
      <c r="O29" s="1360"/>
      <c r="P29" s="1360"/>
      <c r="Q29" s="1360"/>
      <c r="R29" s="1360"/>
      <c r="S29" s="1362"/>
      <c r="T29" s="1450"/>
      <c r="U29" s="1451"/>
      <c r="V29" s="1451"/>
      <c r="W29" s="1451"/>
      <c r="X29" s="1451"/>
      <c r="Y29" s="1451"/>
      <c r="Z29" s="1451"/>
      <c r="AA29" s="1451"/>
      <c r="AB29" s="1451"/>
      <c r="AC29" s="1451"/>
      <c r="AD29" s="1451"/>
      <c r="AE29" s="1451"/>
      <c r="AF29" s="1451"/>
      <c r="AG29" s="1451"/>
      <c r="AH29" s="1452"/>
      <c r="AI29" s="1451"/>
      <c r="AJ29" s="1702"/>
      <c r="AK29" s="1450"/>
      <c r="AL29" s="1451"/>
      <c r="AM29" s="1451"/>
      <c r="AN29" s="1451"/>
      <c r="AO29" s="1451"/>
      <c r="AP29" s="1451"/>
      <c r="AQ29" s="1451"/>
      <c r="AR29" s="1451"/>
      <c r="AS29" s="1451"/>
      <c r="AT29" s="1451"/>
      <c r="AU29" s="1451"/>
      <c r="AV29" s="1451"/>
      <c r="AW29" s="1451"/>
      <c r="AX29" s="1451"/>
      <c r="AY29" s="1451"/>
      <c r="AZ29" s="1451"/>
      <c r="BA29" s="1702"/>
      <c r="BB29" s="1454"/>
      <c r="BC29" s="1455"/>
      <c r="BD29" s="1455"/>
      <c r="BE29" s="1455"/>
      <c r="BF29" s="1455"/>
      <c r="BG29" s="1455"/>
      <c r="BH29" s="1455"/>
      <c r="BI29" s="1455"/>
      <c r="BJ29" s="1455"/>
      <c r="BK29" s="1681"/>
      <c r="BL29" s="1455"/>
      <c r="BM29" s="1455"/>
      <c r="BN29" s="1455"/>
      <c r="BO29" s="1455"/>
      <c r="BP29" s="1455"/>
      <c r="BQ29" s="1455"/>
      <c r="BR29" s="1456"/>
      <c r="BS29" s="1457">
        <v>5</v>
      </c>
      <c r="BT29" s="1458">
        <v>6</v>
      </c>
      <c r="BU29" s="1458">
        <v>9</v>
      </c>
      <c r="BV29" s="1458">
        <v>4</v>
      </c>
      <c r="BW29" s="1458">
        <v>5</v>
      </c>
      <c r="BX29" s="1458">
        <v>2</v>
      </c>
      <c r="BY29" s="1458">
        <v>4</v>
      </c>
      <c r="BZ29" s="1458">
        <v>7</v>
      </c>
      <c r="CA29" s="1458">
        <v>8</v>
      </c>
      <c r="CB29" s="1458"/>
      <c r="CC29" s="1458"/>
      <c r="CD29" s="1458"/>
      <c r="CE29" s="1458"/>
      <c r="CF29" s="1458"/>
      <c r="CG29" s="1458"/>
      <c r="CH29" s="1458"/>
      <c r="CI29" s="1459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4" t="s">
        <v>832</v>
      </c>
      <c r="B30" s="1421" t="str">
        <f>$B$9</f>
        <v>VP</v>
      </c>
      <c r="C30" s="1465">
        <v>0</v>
      </c>
      <c r="D30" s="1389">
        <v>0</v>
      </c>
      <c r="E30" s="1389">
        <v>0</v>
      </c>
      <c r="F30" s="1389">
        <v>0</v>
      </c>
      <c r="G30" s="1389">
        <v>0</v>
      </c>
      <c r="H30" s="1389"/>
      <c r="I30" s="1389"/>
      <c r="J30" s="1389"/>
      <c r="K30" s="1389">
        <v>0</v>
      </c>
      <c r="L30" s="1728"/>
      <c r="M30" s="1389"/>
      <c r="N30" s="1389"/>
      <c r="O30" s="1389"/>
      <c r="P30" s="1389"/>
      <c r="Q30" s="1389"/>
      <c r="R30" s="1389"/>
      <c r="S30" s="1390"/>
      <c r="T30" s="1422"/>
      <c r="U30" s="1423"/>
      <c r="V30" s="1423"/>
      <c r="W30" s="1423"/>
      <c r="X30" s="1423"/>
      <c r="Y30" s="1423"/>
      <c r="Z30" s="1423"/>
      <c r="AA30" s="1423"/>
      <c r="AB30" s="1423"/>
      <c r="AC30" s="1423"/>
      <c r="AD30" s="1423"/>
      <c r="AE30" s="1423"/>
      <c r="AF30" s="1423"/>
      <c r="AG30" s="1423"/>
      <c r="AH30" s="1424"/>
      <c r="AI30" s="1423"/>
      <c r="AJ30" s="1720"/>
      <c r="AK30" s="1425"/>
      <c r="AL30" s="1426"/>
      <c r="AM30" s="1426"/>
      <c r="AN30" s="1426"/>
      <c r="AO30" s="1426"/>
      <c r="AP30" s="1426"/>
      <c r="AQ30" s="1426"/>
      <c r="AR30" s="1426"/>
      <c r="AS30" s="1426"/>
      <c r="AT30" s="1426"/>
      <c r="AU30" s="1426"/>
      <c r="AV30" s="1426"/>
      <c r="AW30" s="1426"/>
      <c r="AX30" s="1426"/>
      <c r="AY30" s="1426"/>
      <c r="AZ30" s="1426"/>
      <c r="BA30" s="1699"/>
      <c r="BB30" s="1427"/>
      <c r="BC30" s="1428"/>
      <c r="BD30" s="1428"/>
      <c r="BE30" s="1428"/>
      <c r="BF30" s="1428"/>
      <c r="BG30" s="1428"/>
      <c r="BH30" s="1428"/>
      <c r="BI30" s="1428"/>
      <c r="BJ30" s="1428"/>
      <c r="BK30" s="1678"/>
      <c r="BL30" s="1428"/>
      <c r="BM30" s="1428"/>
      <c r="BN30" s="1428"/>
      <c r="BO30" s="1428"/>
      <c r="BP30" s="1428"/>
      <c r="BQ30" s="1428"/>
      <c r="BR30" s="1429"/>
      <c r="BS30" s="1427"/>
      <c r="BT30" s="1428"/>
      <c r="BU30" s="1428"/>
      <c r="BV30" s="1428"/>
      <c r="BW30" s="1428"/>
      <c r="BX30" s="1428"/>
      <c r="BY30" s="1428"/>
      <c r="BZ30" s="1428"/>
      <c r="CA30" s="1428"/>
      <c r="CB30" s="1428"/>
      <c r="CC30" s="1428"/>
      <c r="CD30" s="1428"/>
      <c r="CE30" s="1428"/>
      <c r="CF30" s="1428"/>
      <c r="CG30" s="1428"/>
      <c r="CH30" s="1428"/>
      <c r="CI30" s="1429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7"/>
      <c r="B31" s="1430" t="str">
        <f>$B$10</f>
        <v>P</v>
      </c>
      <c r="C31" s="1466">
        <v>0</v>
      </c>
      <c r="D31" s="1400">
        <v>0</v>
      </c>
      <c r="E31" s="1400">
        <v>0</v>
      </c>
      <c r="F31" s="1400">
        <v>0</v>
      </c>
      <c r="G31" s="1400">
        <v>0</v>
      </c>
      <c r="H31" s="1400"/>
      <c r="I31" s="1400"/>
      <c r="J31" s="1400"/>
      <c r="K31" s="1400">
        <v>0</v>
      </c>
      <c r="L31" s="1729"/>
      <c r="M31" s="1400"/>
      <c r="N31" s="1400"/>
      <c r="O31" s="1400"/>
      <c r="P31" s="1400"/>
      <c r="Q31" s="1400"/>
      <c r="R31" s="1400"/>
      <c r="S31" s="1401"/>
      <c r="T31" s="1431"/>
      <c r="U31" s="1432"/>
      <c r="V31" s="1432"/>
      <c r="W31" s="1432"/>
      <c r="X31" s="1432"/>
      <c r="Y31" s="1432"/>
      <c r="Z31" s="1432"/>
      <c r="AA31" s="1432"/>
      <c r="AB31" s="1432"/>
      <c r="AC31" s="1432"/>
      <c r="AD31" s="1432"/>
      <c r="AE31" s="1432"/>
      <c r="AF31" s="1432"/>
      <c r="AG31" s="1432"/>
      <c r="AH31" s="1433"/>
      <c r="AI31" s="1432"/>
      <c r="AJ31" s="1701"/>
      <c r="AK31" s="1397"/>
      <c r="AL31" s="1399"/>
      <c r="AM31" s="1399"/>
      <c r="AN31" s="1434"/>
      <c r="AO31" s="1434"/>
      <c r="AP31" s="1434"/>
      <c r="AQ31" s="1434"/>
      <c r="AR31" s="1434"/>
      <c r="AS31" s="1434"/>
      <c r="AT31" s="1434"/>
      <c r="AU31" s="1434"/>
      <c r="AV31" s="1463"/>
      <c r="AW31" s="1434"/>
      <c r="AX31" s="1463"/>
      <c r="AY31" s="1434"/>
      <c r="AZ31" s="1434"/>
      <c r="BA31" s="1700"/>
      <c r="BB31" s="1436"/>
      <c r="BC31" s="1437"/>
      <c r="BD31" s="1437"/>
      <c r="BE31" s="1437"/>
      <c r="BF31" s="1437"/>
      <c r="BG31" s="1437"/>
      <c r="BH31" s="1437"/>
      <c r="BI31" s="1437"/>
      <c r="BJ31" s="1437"/>
      <c r="BK31" s="1679"/>
      <c r="BL31" s="1437"/>
      <c r="BM31" s="1437"/>
      <c r="BN31" s="1437"/>
      <c r="BO31" s="1437"/>
      <c r="BP31" s="1437"/>
      <c r="BQ31" s="1437"/>
      <c r="BR31" s="1438"/>
      <c r="BS31" s="1439"/>
      <c r="BT31" s="1440"/>
      <c r="BU31" s="1440"/>
      <c r="BV31" s="1440"/>
      <c r="BW31" s="1440"/>
      <c r="BX31" s="1440"/>
      <c r="BY31" s="1440"/>
      <c r="BZ31" s="1440"/>
      <c r="CA31" s="1440"/>
      <c r="CB31" s="1440"/>
      <c r="CC31" s="1440"/>
      <c r="CD31" s="1440"/>
      <c r="CE31" s="1440"/>
      <c r="CF31" s="1440"/>
      <c r="CG31" s="1440"/>
      <c r="CH31" s="1440"/>
      <c r="CI31" s="1441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7"/>
      <c r="B32" s="1430" t="str">
        <f>$B$11</f>
        <v>M</v>
      </c>
      <c r="C32" s="1466">
        <v>0</v>
      </c>
      <c r="D32" s="1400">
        <v>0</v>
      </c>
      <c r="E32" s="1400">
        <v>0</v>
      </c>
      <c r="F32" s="1400">
        <v>0</v>
      </c>
      <c r="G32" s="1400">
        <v>0</v>
      </c>
      <c r="H32" s="1400"/>
      <c r="I32" s="1400"/>
      <c r="J32" s="1400"/>
      <c r="K32" s="1400">
        <v>0</v>
      </c>
      <c r="L32" s="1729"/>
      <c r="M32" s="1400"/>
      <c r="N32" s="1400"/>
      <c r="O32" s="1400"/>
      <c r="P32" s="1400"/>
      <c r="Q32" s="1400"/>
      <c r="R32" s="1400"/>
      <c r="S32" s="1401"/>
      <c r="T32" s="1442"/>
      <c r="U32" s="1443"/>
      <c r="V32" s="1443"/>
      <c r="W32" s="1443"/>
      <c r="X32" s="1443"/>
      <c r="Y32" s="1443"/>
      <c r="Z32" s="1443"/>
      <c r="AA32" s="1443"/>
      <c r="AB32" s="1443"/>
      <c r="AC32" s="1443"/>
      <c r="AD32" s="1443"/>
      <c r="AE32" s="1443"/>
      <c r="AF32" s="1443"/>
      <c r="AG32" s="1443"/>
      <c r="AH32" s="1444"/>
      <c r="AI32" s="1443"/>
      <c r="AJ32" s="1713"/>
      <c r="AK32" s="1431"/>
      <c r="AL32" s="1432"/>
      <c r="AM32" s="1432"/>
      <c r="AN32" s="1432"/>
      <c r="AO32" s="1432"/>
      <c r="AP32" s="1432"/>
      <c r="AQ32" s="1432"/>
      <c r="AR32" s="1432"/>
      <c r="AS32" s="1432"/>
      <c r="AT32" s="1432"/>
      <c r="AU32" s="1432"/>
      <c r="AV32" s="1432"/>
      <c r="AW32" s="1432"/>
      <c r="AX32" s="1432"/>
      <c r="AY32" s="1432"/>
      <c r="AZ32" s="1432"/>
      <c r="BA32" s="1703"/>
      <c r="BB32" s="1447"/>
      <c r="BC32" s="1447"/>
      <c r="BD32" s="1447"/>
      <c r="BE32" s="1447"/>
      <c r="BF32" s="1447"/>
      <c r="BG32" s="1447"/>
      <c r="BH32" s="1447"/>
      <c r="BI32" s="1447"/>
      <c r="BJ32" s="1447"/>
      <c r="BK32" s="1680"/>
      <c r="BL32" s="1447"/>
      <c r="BM32" s="1447"/>
      <c r="BN32" s="1447"/>
      <c r="BO32" s="1447"/>
      <c r="BP32" s="1447"/>
      <c r="BQ32" s="1447"/>
      <c r="BR32" s="1447"/>
      <c r="BS32" s="1440"/>
      <c r="BT32" s="1440"/>
      <c r="BU32" s="1440"/>
      <c r="BV32" s="1440"/>
      <c r="BW32" s="1440"/>
      <c r="BX32" s="1440"/>
      <c r="BY32" s="1440"/>
      <c r="BZ32" s="1440"/>
      <c r="CA32" s="1440"/>
      <c r="CB32" s="1440"/>
      <c r="CC32" s="1440"/>
      <c r="CD32" s="1440"/>
      <c r="CE32" s="1440"/>
      <c r="CF32" s="1440"/>
      <c r="CG32" s="1440"/>
      <c r="CH32" s="1440"/>
      <c r="CI32" s="1441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7"/>
      <c r="B33" s="1449" t="str">
        <f>$B$12</f>
        <v>BO</v>
      </c>
      <c r="C33" s="1359">
        <v>1</v>
      </c>
      <c r="D33" s="1360">
        <v>2</v>
      </c>
      <c r="E33" s="1360">
        <v>2</v>
      </c>
      <c r="F33" s="1360">
        <v>0</v>
      </c>
      <c r="G33" s="1360">
        <v>0</v>
      </c>
      <c r="H33" s="1360"/>
      <c r="I33" s="1360"/>
      <c r="J33" s="1360"/>
      <c r="K33" s="1360">
        <v>0</v>
      </c>
      <c r="L33" s="1726"/>
      <c r="M33" s="1360"/>
      <c r="N33" s="1360"/>
      <c r="O33" s="1360"/>
      <c r="P33" s="1360"/>
      <c r="Q33" s="1360"/>
      <c r="R33" s="1360"/>
      <c r="S33" s="1362"/>
      <c r="T33" s="1450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2"/>
      <c r="AI33" s="1451"/>
      <c r="AJ33" s="1702"/>
      <c r="AK33" s="1450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702"/>
      <c r="BB33" s="1454"/>
      <c r="BC33" s="1455"/>
      <c r="BD33" s="1455"/>
      <c r="BE33" s="1455"/>
      <c r="BF33" s="1455"/>
      <c r="BG33" s="1455"/>
      <c r="BH33" s="1455"/>
      <c r="BI33" s="1455"/>
      <c r="BJ33" s="1455"/>
      <c r="BK33" s="1681"/>
      <c r="BL33" s="1455"/>
      <c r="BM33" s="1455"/>
      <c r="BN33" s="1455"/>
      <c r="BO33" s="1455"/>
      <c r="BP33" s="1455"/>
      <c r="BQ33" s="1455"/>
      <c r="BR33" s="1455"/>
      <c r="BS33" s="1458"/>
      <c r="BT33" s="1458"/>
      <c r="BU33" s="1458"/>
      <c r="BV33" s="1458"/>
      <c r="BW33" s="1458"/>
      <c r="BX33" s="1458"/>
      <c r="BY33" s="1458"/>
      <c r="BZ33" s="1458"/>
      <c r="CA33" s="1458"/>
      <c r="CB33" s="1458"/>
      <c r="CC33" s="1458"/>
      <c r="CD33" s="1458"/>
      <c r="CE33" s="1458"/>
      <c r="CF33" s="1458"/>
      <c r="CG33" s="1458"/>
      <c r="CH33" s="1458"/>
      <c r="CI33" s="1458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8" t="s">
        <v>833</v>
      </c>
      <c r="B34" s="1469" t="s">
        <v>73</v>
      </c>
      <c r="C34" s="1470"/>
      <c r="D34" s="1471"/>
      <c r="E34" s="1471"/>
      <c r="F34" s="1471"/>
      <c r="G34" s="1471"/>
      <c r="H34" s="1471"/>
      <c r="I34" s="1471"/>
      <c r="J34" s="1471"/>
      <c r="K34" s="1471"/>
      <c r="L34" s="1731"/>
      <c r="M34" s="1471"/>
      <c r="N34" s="1471"/>
      <c r="O34" s="1471"/>
      <c r="P34" s="1471"/>
      <c r="Q34" s="1471"/>
      <c r="R34" s="1471"/>
      <c r="S34" s="1472"/>
      <c r="T34" s="1473"/>
      <c r="U34" s="1474"/>
      <c r="V34" s="1474"/>
      <c r="W34" s="1474"/>
      <c r="X34" s="1474"/>
      <c r="Y34" s="1474"/>
      <c r="Z34" s="1474"/>
      <c r="AA34" s="1474"/>
      <c r="AB34" s="1475"/>
      <c r="AC34" s="1475"/>
      <c r="AD34" s="1475"/>
      <c r="AE34" s="1475"/>
      <c r="AF34" s="1475"/>
      <c r="AG34" s="1474"/>
      <c r="AH34" s="1476"/>
      <c r="AI34" s="1474"/>
      <c r="AJ34" s="1709"/>
      <c r="AK34" s="1478"/>
      <c r="AL34" s="1479"/>
      <c r="AM34" s="1479"/>
      <c r="AN34" s="1479"/>
      <c r="AO34" s="1479"/>
      <c r="AP34" s="1479"/>
      <c r="AQ34" s="1479"/>
      <c r="AR34" s="1479"/>
      <c r="AS34" s="1479"/>
      <c r="AT34" s="1479"/>
      <c r="AU34" s="1479"/>
      <c r="AV34" s="1480"/>
      <c r="AW34" s="1479"/>
      <c r="AX34" s="1480"/>
      <c r="AY34" s="1479"/>
      <c r="AZ34" s="1479"/>
      <c r="BA34" s="1704"/>
      <c r="BB34" s="1478"/>
      <c r="BC34" s="1479"/>
      <c r="BD34" s="1479"/>
      <c r="BE34" s="1479"/>
      <c r="BF34" s="1479"/>
      <c r="BG34" s="1479"/>
      <c r="BH34" s="1479"/>
      <c r="BI34" s="1479"/>
      <c r="BJ34" s="1479"/>
      <c r="BK34" s="1682"/>
      <c r="BL34" s="1479"/>
      <c r="BM34" s="1479"/>
      <c r="BN34" s="1479"/>
      <c r="BO34" s="1479"/>
      <c r="BP34" s="1479"/>
      <c r="BQ34" s="1479"/>
      <c r="BR34" s="1481"/>
      <c r="BS34" s="1478"/>
      <c r="BT34" s="1479"/>
      <c r="BU34" s="1479"/>
      <c r="BV34" s="1479"/>
      <c r="BW34" s="1479"/>
      <c r="BX34" s="1479"/>
      <c r="BY34" s="1479"/>
      <c r="BZ34" s="1482"/>
      <c r="CA34" s="1479"/>
      <c r="CB34" s="1479"/>
      <c r="CC34" s="1479"/>
      <c r="CD34" s="1479"/>
      <c r="CE34" s="1479"/>
      <c r="CF34" s="1478"/>
      <c r="CG34" s="1479"/>
      <c r="CH34" s="1479"/>
      <c r="CI34" s="1481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5" t="s">
        <v>75</v>
      </c>
      <c r="B35" s="1483" t="s">
        <v>73</v>
      </c>
      <c r="C35" s="1484"/>
      <c r="D35" s="1485"/>
      <c r="E35" s="1485"/>
      <c r="F35" s="1485"/>
      <c r="G35" s="1485"/>
      <c r="H35" s="1485"/>
      <c r="I35" s="1485"/>
      <c r="J35" s="1485"/>
      <c r="K35" s="1485"/>
      <c r="L35" s="1732"/>
      <c r="M35" s="1485"/>
      <c r="N35" s="1485"/>
      <c r="O35" s="1485"/>
      <c r="P35" s="1485"/>
      <c r="Q35" s="1485"/>
      <c r="R35" s="1485"/>
      <c r="S35" s="1486"/>
      <c r="T35" s="1446"/>
      <c r="U35" s="1447"/>
      <c r="V35" s="1447"/>
      <c r="W35" s="1447"/>
      <c r="X35" s="1447"/>
      <c r="Y35" s="1447"/>
      <c r="Z35" s="1447"/>
      <c r="AA35" s="1447"/>
      <c r="AB35" s="1475"/>
      <c r="AC35" s="1475"/>
      <c r="AD35" s="1475"/>
      <c r="AE35" s="1475"/>
      <c r="AF35" s="1475"/>
      <c r="AG35" s="1447"/>
      <c r="AH35" s="1487"/>
      <c r="AI35" s="1447"/>
      <c r="AJ35" s="1708"/>
      <c r="AK35" s="1478"/>
      <c r="AL35" s="1479"/>
      <c r="AM35" s="1479"/>
      <c r="AN35" s="1479"/>
      <c r="AO35" s="1479"/>
      <c r="AP35" s="1479"/>
      <c r="AQ35" s="1479"/>
      <c r="AR35" s="1479"/>
      <c r="AS35" s="1479"/>
      <c r="AT35" s="1479"/>
      <c r="AU35" s="1479"/>
      <c r="AV35" s="1480"/>
      <c r="AW35" s="1479"/>
      <c r="AX35" s="1480"/>
      <c r="AY35" s="1479"/>
      <c r="AZ35" s="1479"/>
      <c r="BA35" s="1704"/>
      <c r="BB35" s="1478"/>
      <c r="BC35" s="1479"/>
      <c r="BD35" s="1479"/>
      <c r="BE35" s="1479"/>
      <c r="BF35" s="1479"/>
      <c r="BG35" s="1479"/>
      <c r="BH35" s="1479"/>
      <c r="BI35" s="1479"/>
      <c r="BJ35" s="1479"/>
      <c r="BK35" s="1682"/>
      <c r="BL35" s="1479"/>
      <c r="BM35" s="1479"/>
      <c r="BN35" s="1479"/>
      <c r="BO35" s="1479"/>
      <c r="BP35" s="1479"/>
      <c r="BQ35" s="1479"/>
      <c r="BR35" s="1481"/>
      <c r="BS35" s="1478"/>
      <c r="BT35" s="1479"/>
      <c r="BU35" s="1479"/>
      <c r="BV35" s="1479"/>
      <c r="BW35" s="1479"/>
      <c r="BX35" s="1479"/>
      <c r="BY35" s="1479"/>
      <c r="BZ35" s="1482"/>
      <c r="CA35" s="1479"/>
      <c r="CB35" s="1479"/>
      <c r="CC35" s="1479"/>
      <c r="CD35" s="1479"/>
      <c r="CE35" s="1479"/>
      <c r="CF35" s="1478"/>
      <c r="CG35" s="1479"/>
      <c r="CH35" s="1479"/>
      <c r="CI35" s="1481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5" t="s">
        <v>76</v>
      </c>
      <c r="B36" s="1483" t="s">
        <v>73</v>
      </c>
      <c r="C36" s="1488"/>
      <c r="D36" s="1489"/>
      <c r="E36" s="1489"/>
      <c r="F36" s="1489"/>
      <c r="G36" s="1489"/>
      <c r="H36" s="1489"/>
      <c r="I36" s="1489"/>
      <c r="J36" s="1489"/>
      <c r="K36" s="1489"/>
      <c r="L36" s="1733"/>
      <c r="M36" s="1489"/>
      <c r="N36" s="1489"/>
      <c r="O36" s="1489"/>
      <c r="P36" s="1489"/>
      <c r="Q36" s="1489"/>
      <c r="R36" s="1489"/>
      <c r="S36" s="1490"/>
      <c r="T36" s="1446"/>
      <c r="U36" s="1447"/>
      <c r="V36" s="1447"/>
      <c r="W36" s="1447"/>
      <c r="X36" s="1447"/>
      <c r="Y36" s="1447"/>
      <c r="Z36" s="1447"/>
      <c r="AA36" s="1447"/>
      <c r="AB36" s="1475"/>
      <c r="AC36" s="1475"/>
      <c r="AD36" s="1475"/>
      <c r="AE36" s="1475"/>
      <c r="AF36" s="1475"/>
      <c r="AG36" s="1447"/>
      <c r="AH36" s="1487"/>
      <c r="AI36" s="1447"/>
      <c r="AJ36" s="1708"/>
      <c r="AK36" s="1478"/>
      <c r="AL36" s="1479"/>
      <c r="AM36" s="1479"/>
      <c r="AN36" s="1479"/>
      <c r="AO36" s="1479"/>
      <c r="AP36" s="1479"/>
      <c r="AQ36" s="1479"/>
      <c r="AR36" s="1479"/>
      <c r="AS36" s="1479"/>
      <c r="AT36" s="1479"/>
      <c r="AU36" s="1479"/>
      <c r="AV36" s="1480"/>
      <c r="AW36" s="1479"/>
      <c r="AX36" s="1480"/>
      <c r="AY36" s="1479"/>
      <c r="AZ36" s="1479"/>
      <c r="BA36" s="1704"/>
      <c r="BB36" s="1478"/>
      <c r="BC36" s="1479"/>
      <c r="BD36" s="1479"/>
      <c r="BE36" s="1479"/>
      <c r="BF36" s="1479"/>
      <c r="BG36" s="1479"/>
      <c r="BH36" s="1479"/>
      <c r="BI36" s="1479"/>
      <c r="BJ36" s="1479"/>
      <c r="BK36" s="1682"/>
      <c r="BL36" s="1479"/>
      <c r="BM36" s="1479"/>
      <c r="BN36" s="1479"/>
      <c r="BO36" s="1479"/>
      <c r="BP36" s="1479"/>
      <c r="BQ36" s="1479"/>
      <c r="BR36" s="1481"/>
      <c r="BS36" s="1478"/>
      <c r="BT36" s="1479"/>
      <c r="BU36" s="1479"/>
      <c r="BV36" s="1479"/>
      <c r="BW36" s="1479"/>
      <c r="BX36" s="1479"/>
      <c r="BY36" s="1479"/>
      <c r="BZ36" s="1482"/>
      <c r="CA36" s="1479"/>
      <c r="CB36" s="1479"/>
      <c r="CC36" s="1479"/>
      <c r="CD36" s="1479"/>
      <c r="CE36" s="1479"/>
      <c r="CF36" s="1478"/>
      <c r="CG36" s="1479"/>
      <c r="CH36" s="1479"/>
      <c r="CI36" s="1481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5" t="s">
        <v>77</v>
      </c>
      <c r="B37" s="1483" t="s">
        <v>73</v>
      </c>
      <c r="C37" s="1488"/>
      <c r="D37" s="1489"/>
      <c r="E37" s="1489"/>
      <c r="F37" s="1489"/>
      <c r="G37" s="1489"/>
      <c r="H37" s="1489"/>
      <c r="I37" s="1489"/>
      <c r="J37" s="1489"/>
      <c r="K37" s="1489"/>
      <c r="L37" s="1733"/>
      <c r="M37" s="1489"/>
      <c r="N37" s="1489"/>
      <c r="O37" s="1489"/>
      <c r="P37" s="1489"/>
      <c r="Q37" s="1489"/>
      <c r="R37" s="1489"/>
      <c r="S37" s="1490"/>
      <c r="T37" s="1446"/>
      <c r="U37" s="1447"/>
      <c r="V37" s="1447"/>
      <c r="W37" s="1447"/>
      <c r="X37" s="1447"/>
      <c r="Y37" s="1447"/>
      <c r="Z37" s="1447"/>
      <c r="AA37" s="1447"/>
      <c r="AB37" s="1475"/>
      <c r="AC37" s="1475"/>
      <c r="AD37" s="1475"/>
      <c r="AE37" s="1475"/>
      <c r="AF37" s="1475"/>
      <c r="AG37" s="1447"/>
      <c r="AH37" s="1487"/>
      <c r="AI37" s="1447"/>
      <c r="AJ37" s="1708"/>
      <c r="AK37" s="1491"/>
      <c r="AL37" s="1492"/>
      <c r="AM37" s="1492"/>
      <c r="AN37" s="1492"/>
      <c r="AO37" s="1492"/>
      <c r="AP37" s="1492"/>
      <c r="AQ37" s="1492"/>
      <c r="AR37" s="1492"/>
      <c r="AS37" s="1492"/>
      <c r="AT37" s="1492"/>
      <c r="AU37" s="1492"/>
      <c r="AV37" s="1493"/>
      <c r="AW37" s="1492"/>
      <c r="AX37" s="1493"/>
      <c r="AY37" s="1492"/>
      <c r="AZ37" s="1492"/>
      <c r="BA37" s="1705"/>
      <c r="BB37" s="1478"/>
      <c r="BC37" s="1479"/>
      <c r="BD37" s="1479"/>
      <c r="BE37" s="1479"/>
      <c r="BF37" s="1479"/>
      <c r="BG37" s="1479"/>
      <c r="BH37" s="1479"/>
      <c r="BI37" s="1479"/>
      <c r="BJ37" s="1479"/>
      <c r="BK37" s="1682"/>
      <c r="BL37" s="1479"/>
      <c r="BM37" s="1479"/>
      <c r="BN37" s="1479"/>
      <c r="BO37" s="1479"/>
      <c r="BP37" s="1479"/>
      <c r="BQ37" s="1479"/>
      <c r="BR37" s="1481"/>
      <c r="BS37" s="1478"/>
      <c r="BT37" s="1479"/>
      <c r="BU37" s="1479"/>
      <c r="BV37" s="1479"/>
      <c r="BW37" s="1479"/>
      <c r="BX37" s="1479"/>
      <c r="BY37" s="1479"/>
      <c r="BZ37" s="1482"/>
      <c r="CA37" s="1479"/>
      <c r="CB37" s="1479"/>
      <c r="CC37" s="1479"/>
      <c r="CD37" s="1479"/>
      <c r="CE37" s="1479"/>
      <c r="CF37" s="1478"/>
      <c r="CG37" s="1479"/>
      <c r="CH37" s="1479"/>
      <c r="CI37" s="1481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5" t="s">
        <v>78</v>
      </c>
      <c r="B38" s="1483" t="s">
        <v>73</v>
      </c>
      <c r="C38" s="1488"/>
      <c r="D38" s="1489"/>
      <c r="E38" s="1489"/>
      <c r="F38" s="1489"/>
      <c r="G38" s="1489"/>
      <c r="H38" s="1489"/>
      <c r="I38" s="1489"/>
      <c r="J38" s="1489"/>
      <c r="K38" s="1489"/>
      <c r="L38" s="1733"/>
      <c r="M38" s="1489"/>
      <c r="N38" s="1489"/>
      <c r="O38" s="1489"/>
      <c r="P38" s="1489"/>
      <c r="Q38" s="1489"/>
      <c r="R38" s="1489"/>
      <c r="S38" s="1490"/>
      <c r="T38" s="1446"/>
      <c r="U38" s="1447"/>
      <c r="V38" s="1447"/>
      <c r="W38" s="1447"/>
      <c r="X38" s="1447"/>
      <c r="Y38" s="1447"/>
      <c r="Z38" s="1447"/>
      <c r="AA38" s="1447"/>
      <c r="AB38" s="1475"/>
      <c r="AC38" s="1475"/>
      <c r="AD38" s="1475"/>
      <c r="AE38" s="1475"/>
      <c r="AF38" s="1475"/>
      <c r="AG38" s="1447"/>
      <c r="AH38" s="1487"/>
      <c r="AI38" s="1447"/>
      <c r="AJ38" s="1708"/>
      <c r="AK38" s="1491"/>
      <c r="AL38" s="1492"/>
      <c r="AM38" s="1492"/>
      <c r="AN38" s="1492"/>
      <c r="AO38" s="1492"/>
      <c r="AP38" s="1492"/>
      <c r="AQ38" s="1492"/>
      <c r="AR38" s="1492"/>
      <c r="AS38" s="1492"/>
      <c r="AT38" s="1492"/>
      <c r="AU38" s="1492"/>
      <c r="AV38" s="1493"/>
      <c r="AW38" s="1492"/>
      <c r="AX38" s="1493"/>
      <c r="AY38" s="1492"/>
      <c r="AZ38" s="1492"/>
      <c r="BA38" s="1705"/>
      <c r="BB38" s="1491"/>
      <c r="BC38" s="1492"/>
      <c r="BD38" s="1492"/>
      <c r="BE38" s="1492"/>
      <c r="BF38" s="1492"/>
      <c r="BG38" s="1492"/>
      <c r="BH38" s="1492"/>
      <c r="BI38" s="1492"/>
      <c r="BJ38" s="1492"/>
      <c r="BK38" s="1683"/>
      <c r="BL38" s="1492"/>
      <c r="BM38" s="1492"/>
      <c r="BN38" s="1492"/>
      <c r="BO38" s="1492"/>
      <c r="BP38" s="1492"/>
      <c r="BQ38" s="1492"/>
      <c r="BR38" s="1494"/>
      <c r="BS38" s="1478"/>
      <c r="BT38" s="1479"/>
      <c r="BU38" s="1479"/>
      <c r="BV38" s="1479"/>
      <c r="BW38" s="1479"/>
      <c r="BX38" s="1479"/>
      <c r="BY38" s="1479"/>
      <c r="BZ38" s="1482"/>
      <c r="CA38" s="1479"/>
      <c r="CB38" s="1479"/>
      <c r="CC38" s="1479"/>
      <c r="CD38" s="1479"/>
      <c r="CE38" s="1479"/>
      <c r="CF38" s="1478"/>
      <c r="CG38" s="1479"/>
      <c r="CH38" s="1479"/>
      <c r="CI38" s="1481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5" t="s">
        <v>79</v>
      </c>
      <c r="B39" s="1483" t="s">
        <v>73</v>
      </c>
      <c r="C39" s="1488"/>
      <c r="D39" s="1489"/>
      <c r="E39" s="1489"/>
      <c r="F39" s="1489"/>
      <c r="G39" s="1489"/>
      <c r="H39" s="1489"/>
      <c r="I39" s="1489"/>
      <c r="J39" s="1489"/>
      <c r="K39" s="1489"/>
      <c r="L39" s="1733"/>
      <c r="M39" s="1489"/>
      <c r="N39" s="1489"/>
      <c r="O39" s="1489"/>
      <c r="P39" s="1489"/>
      <c r="Q39" s="1489"/>
      <c r="R39" s="1489"/>
      <c r="S39" s="1490"/>
      <c r="T39" s="1446"/>
      <c r="U39" s="1447"/>
      <c r="V39" s="1447"/>
      <c r="W39" s="1447"/>
      <c r="X39" s="1447"/>
      <c r="Y39" s="1447"/>
      <c r="Z39" s="1447"/>
      <c r="AA39" s="1447"/>
      <c r="AB39" s="1475"/>
      <c r="AC39" s="1475"/>
      <c r="AD39" s="1475"/>
      <c r="AE39" s="1475"/>
      <c r="AF39" s="1475"/>
      <c r="AG39" s="1447"/>
      <c r="AH39" s="1487"/>
      <c r="AI39" s="1447"/>
      <c r="AJ39" s="1708"/>
      <c r="AK39" s="1491"/>
      <c r="AL39" s="1492"/>
      <c r="AM39" s="1492"/>
      <c r="AN39" s="1492"/>
      <c r="AO39" s="1492"/>
      <c r="AP39" s="1492"/>
      <c r="AQ39" s="1492"/>
      <c r="AR39" s="1492"/>
      <c r="AS39" s="1492"/>
      <c r="AT39" s="1492"/>
      <c r="AU39" s="1492"/>
      <c r="AV39" s="1493"/>
      <c r="AW39" s="1492"/>
      <c r="AX39" s="1493"/>
      <c r="AY39" s="1492"/>
      <c r="AZ39" s="1492"/>
      <c r="BA39" s="1705"/>
      <c r="BB39" s="1491"/>
      <c r="BC39" s="1492"/>
      <c r="BD39" s="1492"/>
      <c r="BE39" s="1492"/>
      <c r="BF39" s="1492"/>
      <c r="BG39" s="1492"/>
      <c r="BH39" s="1492"/>
      <c r="BI39" s="1492"/>
      <c r="BJ39" s="1492"/>
      <c r="BK39" s="1683"/>
      <c r="BL39" s="1492"/>
      <c r="BM39" s="1492"/>
      <c r="BN39" s="1492"/>
      <c r="BO39" s="1492"/>
      <c r="BP39" s="1492"/>
      <c r="BQ39" s="1492"/>
      <c r="BR39" s="1494"/>
      <c r="BS39" s="1478"/>
      <c r="BT39" s="1479"/>
      <c r="BU39" s="1479"/>
      <c r="BV39" s="1479"/>
      <c r="BW39" s="1479"/>
      <c r="BX39" s="1479"/>
      <c r="BY39" s="1479"/>
      <c r="BZ39" s="1482"/>
      <c r="CA39" s="1479"/>
      <c r="CB39" s="1479"/>
      <c r="CC39" s="1479"/>
      <c r="CD39" s="1479"/>
      <c r="CE39" s="1479"/>
      <c r="CF39" s="1478"/>
      <c r="CG39" s="1479"/>
      <c r="CH39" s="1479"/>
      <c r="CI39" s="1481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5" t="s">
        <v>80</v>
      </c>
      <c r="B40" s="1483" t="s">
        <v>73</v>
      </c>
      <c r="C40" s="1488"/>
      <c r="D40" s="1489"/>
      <c r="E40" s="1489"/>
      <c r="F40" s="1489"/>
      <c r="G40" s="1489"/>
      <c r="H40" s="1489"/>
      <c r="I40" s="1489"/>
      <c r="J40" s="1489"/>
      <c r="K40" s="1489"/>
      <c r="L40" s="1733"/>
      <c r="M40" s="1489"/>
      <c r="N40" s="1489"/>
      <c r="O40" s="1489"/>
      <c r="P40" s="1489"/>
      <c r="Q40" s="1489"/>
      <c r="R40" s="1489"/>
      <c r="S40" s="1490"/>
      <c r="T40" s="1446"/>
      <c r="U40" s="1447"/>
      <c r="V40" s="1447"/>
      <c r="W40" s="1447"/>
      <c r="X40" s="1447"/>
      <c r="Y40" s="1447"/>
      <c r="Z40" s="1447"/>
      <c r="AA40" s="1447"/>
      <c r="AB40" s="1475"/>
      <c r="AC40" s="1475"/>
      <c r="AD40" s="1475"/>
      <c r="AE40" s="1475"/>
      <c r="AF40" s="1475"/>
      <c r="AG40" s="1447"/>
      <c r="AH40" s="1487"/>
      <c r="AI40" s="1447"/>
      <c r="AJ40" s="1708"/>
      <c r="AK40" s="1491"/>
      <c r="AL40" s="1492"/>
      <c r="AM40" s="1492"/>
      <c r="AN40" s="1492"/>
      <c r="AO40" s="1492"/>
      <c r="AP40" s="1492"/>
      <c r="AQ40" s="1492"/>
      <c r="AR40" s="1492"/>
      <c r="AS40" s="1492"/>
      <c r="AT40" s="1492"/>
      <c r="AU40" s="1492"/>
      <c r="AV40" s="1493"/>
      <c r="AW40" s="1492"/>
      <c r="AX40" s="1493"/>
      <c r="AY40" s="1492"/>
      <c r="AZ40" s="1492"/>
      <c r="BA40" s="1705"/>
      <c r="BB40" s="1491"/>
      <c r="BC40" s="1492"/>
      <c r="BD40" s="1492"/>
      <c r="BE40" s="1492"/>
      <c r="BF40" s="1492"/>
      <c r="BG40" s="1492"/>
      <c r="BH40" s="1492"/>
      <c r="BI40" s="1492"/>
      <c r="BJ40" s="1492"/>
      <c r="BK40" s="1683"/>
      <c r="BL40" s="1492"/>
      <c r="BM40" s="1492"/>
      <c r="BN40" s="1492"/>
      <c r="BO40" s="1492"/>
      <c r="BP40" s="1492"/>
      <c r="BQ40" s="1492"/>
      <c r="BR40" s="1494"/>
      <c r="BS40" s="1478"/>
      <c r="BT40" s="1479"/>
      <c r="BU40" s="1479"/>
      <c r="BV40" s="1479"/>
      <c r="BW40" s="1479"/>
      <c r="BX40" s="1479"/>
      <c r="BY40" s="1479"/>
      <c r="BZ40" s="1482"/>
      <c r="CA40" s="1479"/>
      <c r="CB40" s="1479"/>
      <c r="CC40" s="1479"/>
      <c r="CD40" s="1479"/>
      <c r="CE40" s="1479"/>
      <c r="CF40" s="1479"/>
      <c r="CG40" s="1479"/>
      <c r="CH40" s="1479"/>
      <c r="CI40" s="1481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8" t="s">
        <v>81</v>
      </c>
      <c r="B41" s="1495" t="s">
        <v>73</v>
      </c>
      <c r="C41" s="1496" t="str">
        <f t="shared" ref="C41:AC41" si="79">IF(C34="","",SUM(C34,C36,-C37,-C38,-C39,C40))</f>
        <v/>
      </c>
      <c r="D41" s="1497" t="str">
        <f t="shared" si="79"/>
        <v/>
      </c>
      <c r="E41" s="1497" t="str">
        <f t="shared" si="79"/>
        <v/>
      </c>
      <c r="F41" s="1497" t="str">
        <f t="shared" si="79"/>
        <v/>
      </c>
      <c r="G41" s="1497" t="str">
        <f t="shared" si="79"/>
        <v/>
      </c>
      <c r="H41" s="1497" t="str">
        <f t="shared" si="79"/>
        <v/>
      </c>
      <c r="I41" s="1497" t="str">
        <f t="shared" si="79"/>
        <v/>
      </c>
      <c r="J41" s="1497" t="str">
        <f t="shared" si="79"/>
        <v/>
      </c>
      <c r="K41" s="1497" t="str">
        <f t="shared" si="79"/>
        <v/>
      </c>
      <c r="L41" s="1684" t="str">
        <f t="shared" si="79"/>
        <v/>
      </c>
      <c r="M41" s="1497" t="str">
        <f t="shared" si="79"/>
        <v/>
      </c>
      <c r="N41" s="1497" t="str">
        <f t="shared" si="79"/>
        <v/>
      </c>
      <c r="O41" s="1497" t="str">
        <f t="shared" si="79"/>
        <v/>
      </c>
      <c r="P41" s="1497" t="str">
        <f t="shared" si="79"/>
        <v/>
      </c>
      <c r="Q41" s="1497" t="str">
        <f t="shared" si="79"/>
        <v/>
      </c>
      <c r="R41" s="1497" t="str">
        <f t="shared" si="79"/>
        <v/>
      </c>
      <c r="S41" s="1497" t="str">
        <f t="shared" si="79"/>
        <v/>
      </c>
      <c r="T41" s="1496" t="str">
        <f t="shared" si="79"/>
        <v/>
      </c>
      <c r="U41" s="1497" t="str">
        <f t="shared" si="79"/>
        <v/>
      </c>
      <c r="V41" s="1497" t="str">
        <f t="shared" si="79"/>
        <v/>
      </c>
      <c r="W41" s="1497" t="str">
        <f t="shared" si="79"/>
        <v/>
      </c>
      <c r="X41" s="1497" t="str">
        <f t="shared" si="79"/>
        <v/>
      </c>
      <c r="Y41" s="1497" t="str">
        <f t="shared" si="79"/>
        <v/>
      </c>
      <c r="Z41" s="1497" t="str">
        <f t="shared" si="79"/>
        <v/>
      </c>
      <c r="AA41" s="1497" t="str">
        <f t="shared" si="79"/>
        <v/>
      </c>
      <c r="AB41" s="1497" t="str">
        <f t="shared" si="79"/>
        <v/>
      </c>
      <c r="AC41" s="1497" t="str">
        <f t="shared" si="79"/>
        <v/>
      </c>
      <c r="AD41" s="1497"/>
      <c r="AE41" s="1497"/>
      <c r="AF41" s="1497"/>
      <c r="AG41" s="1497" t="str">
        <f>IF(AG34="","",SUM(AG34,AG36,-AG37,-AG38,-AG39,AG40))</f>
        <v/>
      </c>
      <c r="AH41" s="1497" t="str">
        <f>IF(AH34="","",SUM(AH34,AH36,-AH37,-AH38,-AH39,AH40))</f>
        <v/>
      </c>
      <c r="AI41" s="1497" t="str">
        <f>IF(AI34="","",SUM(AI34,AI36,-AI37,-AI38,-AI39,AI40))</f>
        <v/>
      </c>
      <c r="AJ41" s="1684" t="str">
        <f>IF(AJ34="","",SUM(AJ34,AJ36,-AJ37,-AJ38,-AJ39,AJ40))</f>
        <v/>
      </c>
      <c r="AK41" s="1496"/>
      <c r="AL41" s="1497"/>
      <c r="AM41" s="1497"/>
      <c r="AN41" s="1497"/>
      <c r="AO41" s="1497"/>
      <c r="AP41" s="1497"/>
      <c r="AQ41" s="1497"/>
      <c r="AR41" s="1497"/>
      <c r="AS41" s="1497"/>
      <c r="AT41" s="1497"/>
      <c r="AU41" s="1497"/>
      <c r="AV41" s="1498"/>
      <c r="AW41" s="1497"/>
      <c r="AX41" s="1498"/>
      <c r="AY41" s="1497"/>
      <c r="AZ41" s="1497"/>
      <c r="BA41" s="1706"/>
      <c r="BB41" s="1496"/>
      <c r="BC41" s="1497"/>
      <c r="BD41" s="1497"/>
      <c r="BE41" s="1497"/>
      <c r="BF41" s="1497"/>
      <c r="BG41" s="1497"/>
      <c r="BH41" s="1497"/>
      <c r="BI41" s="1497"/>
      <c r="BJ41" s="1497"/>
      <c r="BK41" s="1684"/>
      <c r="BL41" s="1497"/>
      <c r="BM41" s="1497"/>
      <c r="BN41" s="1497"/>
      <c r="BO41" s="1497"/>
      <c r="BP41" s="1497"/>
      <c r="BQ41" s="1497"/>
      <c r="BR41" s="1499"/>
      <c r="BS41" s="1496"/>
      <c r="BT41" s="1497"/>
      <c r="BU41" s="1497"/>
      <c r="BV41" s="1497"/>
      <c r="BW41" s="1497"/>
      <c r="BX41" s="1497"/>
      <c r="BY41" s="1497"/>
      <c r="BZ41" s="1497"/>
      <c r="CA41" s="1497"/>
      <c r="CB41" s="1497"/>
      <c r="CC41" s="1497"/>
      <c r="CD41" s="1497"/>
      <c r="CE41" s="1497"/>
      <c r="CF41" s="1497"/>
      <c r="CG41" s="1497"/>
      <c r="CH41" s="1497"/>
      <c r="CI41" s="1499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8" t="s">
        <v>833</v>
      </c>
      <c r="B42" s="1500" t="s">
        <v>82</v>
      </c>
      <c r="C42" s="1501"/>
      <c r="D42" s="1502"/>
      <c r="E42" s="1502"/>
      <c r="F42" s="1502"/>
      <c r="G42" s="1502"/>
      <c r="H42" s="1502"/>
      <c r="I42" s="1502"/>
      <c r="J42" s="1502"/>
      <c r="K42" s="1502"/>
      <c r="L42" s="1734"/>
      <c r="M42" s="1502"/>
      <c r="N42" s="1502"/>
      <c r="O42" s="1502"/>
      <c r="P42" s="1502"/>
      <c r="Q42" s="1502"/>
      <c r="R42" s="1502"/>
      <c r="S42" s="1503"/>
      <c r="T42" s="1491"/>
      <c r="U42" s="1492"/>
      <c r="V42" s="1492"/>
      <c r="W42" s="1492"/>
      <c r="X42" s="1492"/>
      <c r="Y42" s="1492"/>
      <c r="Z42" s="1492"/>
      <c r="AA42" s="1492"/>
      <c r="AB42" s="1492"/>
      <c r="AC42" s="1493"/>
      <c r="AD42" s="1493"/>
      <c r="AE42" s="1493"/>
      <c r="AF42" s="1493"/>
      <c r="AG42" s="1492"/>
      <c r="AH42" s="1504"/>
      <c r="AI42" s="1492"/>
      <c r="AJ42" s="1705"/>
      <c r="AK42" s="1460"/>
      <c r="AL42" s="1461"/>
      <c r="AM42" s="1461"/>
      <c r="AN42" s="1461"/>
      <c r="AO42" s="1461"/>
      <c r="AP42" s="1461"/>
      <c r="AQ42" s="1461"/>
      <c r="AR42" s="1461"/>
      <c r="AS42" s="1461"/>
      <c r="AT42" s="1461"/>
      <c r="AU42" s="1461"/>
      <c r="AV42" s="1505"/>
      <c r="AW42" s="1461"/>
      <c r="AX42" s="1505"/>
      <c r="AY42" s="1461"/>
      <c r="AZ42" s="1461"/>
      <c r="BA42" s="1707"/>
      <c r="BB42" s="1478"/>
      <c r="BC42" s="1479"/>
      <c r="BD42" s="1479"/>
      <c r="BE42" s="1479"/>
      <c r="BF42" s="1479"/>
      <c r="BG42" s="1479"/>
      <c r="BH42" s="1479"/>
      <c r="BI42" s="1479"/>
      <c r="BJ42" s="1479"/>
      <c r="BK42" s="1682"/>
      <c r="BL42" s="1479"/>
      <c r="BM42" s="1479"/>
      <c r="BN42" s="1479"/>
      <c r="BO42" s="1479"/>
      <c r="BP42" s="1479"/>
      <c r="BQ42" s="1479"/>
      <c r="BR42" s="1481"/>
      <c r="BS42" s="1478"/>
      <c r="BT42" s="1479"/>
      <c r="BU42" s="1479"/>
      <c r="BV42" s="1479"/>
      <c r="BW42" s="1479"/>
      <c r="BX42" s="1479"/>
      <c r="BY42" s="1479"/>
      <c r="BZ42" s="1482"/>
      <c r="CA42" s="1479"/>
      <c r="CB42" s="1479"/>
      <c r="CC42" s="1479"/>
      <c r="CD42" s="1479"/>
      <c r="CE42" s="1479"/>
      <c r="CF42" s="1479"/>
      <c r="CG42" s="1479"/>
      <c r="CH42" s="1479"/>
      <c r="CI42" s="1481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5" t="s">
        <v>75</v>
      </c>
      <c r="B43" s="1483" t="s">
        <v>82</v>
      </c>
      <c r="C43" s="1484"/>
      <c r="D43" s="1485"/>
      <c r="E43" s="1485"/>
      <c r="F43" s="1485"/>
      <c r="G43" s="1485"/>
      <c r="H43" s="1485"/>
      <c r="I43" s="1485"/>
      <c r="J43" s="1485"/>
      <c r="K43" s="1485"/>
      <c r="L43" s="1732"/>
      <c r="M43" s="1485"/>
      <c r="N43" s="1485"/>
      <c r="O43" s="1485"/>
      <c r="P43" s="1485"/>
      <c r="Q43" s="1485"/>
      <c r="R43" s="1485"/>
      <c r="S43" s="1486"/>
      <c r="T43" s="1491"/>
      <c r="U43" s="1492"/>
      <c r="V43" s="1492"/>
      <c r="W43" s="1492"/>
      <c r="X43" s="1492"/>
      <c r="Y43" s="1492"/>
      <c r="Z43" s="1492"/>
      <c r="AA43" s="1492"/>
      <c r="AB43" s="1492"/>
      <c r="AC43" s="1493"/>
      <c r="AD43" s="1493"/>
      <c r="AE43" s="1493"/>
      <c r="AF43" s="1493"/>
      <c r="AG43" s="1492"/>
      <c r="AH43" s="1504"/>
      <c r="AI43" s="1492"/>
      <c r="AJ43" s="1705"/>
      <c r="AK43" s="1446"/>
      <c r="AL43" s="1447"/>
      <c r="AM43" s="1447"/>
      <c r="AN43" s="1447"/>
      <c r="AO43" s="1447"/>
      <c r="AP43" s="1447"/>
      <c r="AQ43" s="1447"/>
      <c r="AR43" s="1447"/>
      <c r="AS43" s="1447"/>
      <c r="AT43" s="1447"/>
      <c r="AU43" s="1447"/>
      <c r="AV43" s="1506"/>
      <c r="AW43" s="1447"/>
      <c r="AX43" s="1506"/>
      <c r="AY43" s="1447"/>
      <c r="AZ43" s="1447"/>
      <c r="BA43" s="1708"/>
      <c r="BB43" s="1478"/>
      <c r="BC43" s="1479"/>
      <c r="BD43" s="1479"/>
      <c r="BE43" s="1479"/>
      <c r="BF43" s="1479"/>
      <c r="BG43" s="1479"/>
      <c r="BH43" s="1479"/>
      <c r="BI43" s="1479"/>
      <c r="BJ43" s="1479"/>
      <c r="BK43" s="1682"/>
      <c r="BL43" s="1479"/>
      <c r="BM43" s="1479"/>
      <c r="BN43" s="1479"/>
      <c r="BO43" s="1479"/>
      <c r="BP43" s="1479"/>
      <c r="BQ43" s="1479"/>
      <c r="BR43" s="1481"/>
      <c r="BS43" s="1478"/>
      <c r="BT43" s="1479"/>
      <c r="BU43" s="1479"/>
      <c r="BV43" s="1479"/>
      <c r="BW43" s="1479"/>
      <c r="BX43" s="1479"/>
      <c r="BY43" s="1479"/>
      <c r="BZ43" s="1482"/>
      <c r="CA43" s="1479"/>
      <c r="CB43" s="1479"/>
      <c r="CC43" s="1479"/>
      <c r="CD43" s="1479"/>
      <c r="CE43" s="1479"/>
      <c r="CF43" s="1479"/>
      <c r="CG43" s="1479"/>
      <c r="CH43" s="1479"/>
      <c r="CI43" s="1481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5" t="s">
        <v>76</v>
      </c>
      <c r="B44" s="1483" t="s">
        <v>82</v>
      </c>
      <c r="C44" s="1488"/>
      <c r="D44" s="1489"/>
      <c r="E44" s="1489"/>
      <c r="F44" s="1489"/>
      <c r="G44" s="1489"/>
      <c r="H44" s="1489"/>
      <c r="I44" s="1489"/>
      <c r="J44" s="1489"/>
      <c r="K44" s="1489"/>
      <c r="L44" s="1733"/>
      <c r="M44" s="1489"/>
      <c r="N44" s="1489"/>
      <c r="O44" s="1489"/>
      <c r="P44" s="1489"/>
      <c r="Q44" s="1489"/>
      <c r="R44" s="1489"/>
      <c r="S44" s="1490"/>
      <c r="T44" s="1478"/>
      <c r="U44" s="1479"/>
      <c r="V44" s="1479"/>
      <c r="W44" s="1479"/>
      <c r="X44" s="1479"/>
      <c r="Y44" s="1479"/>
      <c r="Z44" s="1479"/>
      <c r="AA44" s="1479"/>
      <c r="AB44" s="1479"/>
      <c r="AC44" s="1479"/>
      <c r="AD44" s="1479"/>
      <c r="AE44" s="1479"/>
      <c r="AF44" s="1479"/>
      <c r="AG44" s="1479"/>
      <c r="AH44" s="1507"/>
      <c r="AI44" s="1479"/>
      <c r="AJ44" s="1704"/>
      <c r="AK44" s="1446"/>
      <c r="AL44" s="1447"/>
      <c r="AM44" s="1447"/>
      <c r="AN44" s="1447"/>
      <c r="AO44" s="1447"/>
      <c r="AP44" s="1447"/>
      <c r="AQ44" s="1447"/>
      <c r="AR44" s="1447"/>
      <c r="AS44" s="1447"/>
      <c r="AT44" s="1447"/>
      <c r="AU44" s="1447"/>
      <c r="AV44" s="1506"/>
      <c r="AW44" s="1447"/>
      <c r="AX44" s="1506"/>
      <c r="AY44" s="1447"/>
      <c r="AZ44" s="1447"/>
      <c r="BA44" s="1708"/>
      <c r="BB44" s="1478"/>
      <c r="BC44" s="1479"/>
      <c r="BD44" s="1479"/>
      <c r="BE44" s="1479"/>
      <c r="BF44" s="1479"/>
      <c r="BG44" s="1479"/>
      <c r="BH44" s="1479"/>
      <c r="BI44" s="1479"/>
      <c r="BJ44" s="1479"/>
      <c r="BK44" s="1682"/>
      <c r="BL44" s="1479"/>
      <c r="BM44" s="1479"/>
      <c r="BN44" s="1479"/>
      <c r="BO44" s="1479"/>
      <c r="BP44" s="1479"/>
      <c r="BQ44" s="1479"/>
      <c r="BR44" s="1481"/>
      <c r="BS44" s="1478"/>
      <c r="BT44" s="1479"/>
      <c r="BU44" s="1479"/>
      <c r="BV44" s="1479"/>
      <c r="BW44" s="1479"/>
      <c r="BX44" s="1479"/>
      <c r="BY44" s="1479"/>
      <c r="BZ44" s="1482"/>
      <c r="CA44" s="1479"/>
      <c r="CB44" s="1479"/>
      <c r="CC44" s="1479"/>
      <c r="CD44" s="1479"/>
      <c r="CE44" s="1479"/>
      <c r="CF44" s="1479"/>
      <c r="CG44" s="1479"/>
      <c r="CH44" s="1479"/>
      <c r="CI44" s="1481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5" t="s">
        <v>77</v>
      </c>
      <c r="B45" s="1483" t="s">
        <v>82</v>
      </c>
      <c r="C45" s="1488"/>
      <c r="D45" s="1489"/>
      <c r="E45" s="1489"/>
      <c r="F45" s="1489"/>
      <c r="G45" s="1489"/>
      <c r="H45" s="1489"/>
      <c r="I45" s="1489"/>
      <c r="J45" s="1489"/>
      <c r="K45" s="1489"/>
      <c r="L45" s="1733"/>
      <c r="M45" s="1489"/>
      <c r="N45" s="1489"/>
      <c r="O45" s="1489"/>
      <c r="P45" s="1489"/>
      <c r="Q45" s="1489"/>
      <c r="R45" s="1489"/>
      <c r="S45" s="1490"/>
      <c r="T45" s="1478"/>
      <c r="U45" s="1479"/>
      <c r="V45" s="1479"/>
      <c r="W45" s="1479"/>
      <c r="X45" s="1479"/>
      <c r="Y45" s="1479"/>
      <c r="Z45" s="1479"/>
      <c r="AA45" s="1479"/>
      <c r="AB45" s="1479"/>
      <c r="AC45" s="1479"/>
      <c r="AD45" s="1479"/>
      <c r="AE45" s="1479"/>
      <c r="AF45" s="1479"/>
      <c r="AG45" s="1479"/>
      <c r="AH45" s="1507"/>
      <c r="AI45" s="1479"/>
      <c r="AJ45" s="1704"/>
      <c r="AK45" s="1446"/>
      <c r="AL45" s="1447"/>
      <c r="AM45" s="1447"/>
      <c r="AN45" s="1447"/>
      <c r="AO45" s="1447"/>
      <c r="AP45" s="1447"/>
      <c r="AQ45" s="1447"/>
      <c r="AR45" s="1447"/>
      <c r="AS45" s="1447"/>
      <c r="AT45" s="1447"/>
      <c r="AU45" s="1447"/>
      <c r="AV45" s="1506"/>
      <c r="AW45" s="1447"/>
      <c r="AX45" s="1506"/>
      <c r="AY45" s="1447"/>
      <c r="AZ45" s="1447"/>
      <c r="BA45" s="1708"/>
      <c r="BB45" s="1478"/>
      <c r="BC45" s="1479"/>
      <c r="BD45" s="1479"/>
      <c r="BE45" s="1479"/>
      <c r="BF45" s="1479"/>
      <c r="BG45" s="1479"/>
      <c r="BH45" s="1479"/>
      <c r="BI45" s="1479"/>
      <c r="BJ45" s="1479"/>
      <c r="BK45" s="1682"/>
      <c r="BL45" s="1479"/>
      <c r="BM45" s="1479"/>
      <c r="BN45" s="1479"/>
      <c r="BO45" s="1479"/>
      <c r="BP45" s="1479"/>
      <c r="BQ45" s="1479"/>
      <c r="BR45" s="1481"/>
      <c r="BS45" s="1478"/>
      <c r="BT45" s="1479"/>
      <c r="BU45" s="1479"/>
      <c r="BV45" s="1479"/>
      <c r="BW45" s="1479"/>
      <c r="BX45" s="1479"/>
      <c r="BY45" s="1479"/>
      <c r="BZ45" s="1482"/>
      <c r="CA45" s="1479"/>
      <c r="CB45" s="1479"/>
      <c r="CC45" s="1479"/>
      <c r="CD45" s="1479"/>
      <c r="CE45" s="1479"/>
      <c r="CF45" s="1479"/>
      <c r="CG45" s="1479"/>
      <c r="CH45" s="1479"/>
      <c r="CI45" s="1481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5" t="s">
        <v>78</v>
      </c>
      <c r="B46" s="1483" t="s">
        <v>82</v>
      </c>
      <c r="C46" s="1488"/>
      <c r="D46" s="1489"/>
      <c r="E46" s="1489"/>
      <c r="F46" s="1489"/>
      <c r="G46" s="1489"/>
      <c r="H46" s="1489"/>
      <c r="I46" s="1489"/>
      <c r="J46" s="1489"/>
      <c r="K46" s="1489"/>
      <c r="L46" s="1733"/>
      <c r="M46" s="1489"/>
      <c r="N46" s="1489"/>
      <c r="O46" s="1489"/>
      <c r="P46" s="1489"/>
      <c r="Q46" s="1489"/>
      <c r="R46" s="1489"/>
      <c r="S46" s="1490"/>
      <c r="T46" s="1478"/>
      <c r="U46" s="1479"/>
      <c r="V46" s="1479"/>
      <c r="W46" s="1479"/>
      <c r="X46" s="1479"/>
      <c r="Y46" s="1479"/>
      <c r="Z46" s="1479"/>
      <c r="AA46" s="1479"/>
      <c r="AB46" s="1479"/>
      <c r="AC46" s="1479"/>
      <c r="AD46" s="1479"/>
      <c r="AE46" s="1479"/>
      <c r="AF46" s="1479"/>
      <c r="AG46" s="1479"/>
      <c r="AH46" s="1507"/>
      <c r="AI46" s="1479"/>
      <c r="AJ46" s="1704"/>
      <c r="AK46" s="1446"/>
      <c r="AL46" s="1447"/>
      <c r="AM46" s="1447"/>
      <c r="AN46" s="1447"/>
      <c r="AO46" s="1447"/>
      <c r="AP46" s="1447"/>
      <c r="AQ46" s="1447"/>
      <c r="AR46" s="1447"/>
      <c r="AS46" s="1447"/>
      <c r="AT46" s="1447"/>
      <c r="AU46" s="1447"/>
      <c r="AV46" s="1506"/>
      <c r="AW46" s="1447"/>
      <c r="AX46" s="1506"/>
      <c r="AY46" s="1447"/>
      <c r="AZ46" s="1447"/>
      <c r="BA46" s="1708"/>
      <c r="BB46" s="1491"/>
      <c r="BC46" s="1492"/>
      <c r="BD46" s="1492"/>
      <c r="BE46" s="1492"/>
      <c r="BF46" s="1492"/>
      <c r="BG46" s="1492"/>
      <c r="BH46" s="1492"/>
      <c r="BI46" s="1492"/>
      <c r="BJ46" s="1492"/>
      <c r="BK46" s="1683"/>
      <c r="BL46" s="1492"/>
      <c r="BM46" s="1492"/>
      <c r="BN46" s="1492"/>
      <c r="BO46" s="1492"/>
      <c r="BP46" s="1492"/>
      <c r="BQ46" s="1492"/>
      <c r="BR46" s="1494"/>
      <c r="BS46" s="1478"/>
      <c r="BT46" s="1479"/>
      <c r="BU46" s="1479"/>
      <c r="BV46" s="1479"/>
      <c r="BW46" s="1479"/>
      <c r="BX46" s="1479"/>
      <c r="BY46" s="1479"/>
      <c r="BZ46" s="1482"/>
      <c r="CA46" s="1479"/>
      <c r="CB46" s="1479"/>
      <c r="CC46" s="1479"/>
      <c r="CD46" s="1479"/>
      <c r="CE46" s="1479"/>
      <c r="CF46" s="1479"/>
      <c r="CG46" s="1479"/>
      <c r="CH46" s="1479"/>
      <c r="CI46" s="1481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5" t="s">
        <v>79</v>
      </c>
      <c r="B47" s="1483" t="s">
        <v>82</v>
      </c>
      <c r="C47" s="1488"/>
      <c r="D47" s="1489"/>
      <c r="E47" s="1489"/>
      <c r="F47" s="1489"/>
      <c r="G47" s="1489"/>
      <c r="H47" s="1489"/>
      <c r="I47" s="1489"/>
      <c r="J47" s="1489"/>
      <c r="K47" s="1489"/>
      <c r="L47" s="1733"/>
      <c r="M47" s="1489"/>
      <c r="N47" s="1489"/>
      <c r="O47" s="1489"/>
      <c r="P47" s="1489"/>
      <c r="Q47" s="1489"/>
      <c r="R47" s="1489"/>
      <c r="S47" s="1490"/>
      <c r="T47" s="1478"/>
      <c r="U47" s="1479"/>
      <c r="V47" s="1479"/>
      <c r="W47" s="1479"/>
      <c r="X47" s="1479"/>
      <c r="Y47" s="1479"/>
      <c r="Z47" s="1479"/>
      <c r="AA47" s="1479"/>
      <c r="AB47" s="1479"/>
      <c r="AC47" s="1479"/>
      <c r="AD47" s="1479"/>
      <c r="AE47" s="1479"/>
      <c r="AF47" s="1479"/>
      <c r="AG47" s="1479"/>
      <c r="AH47" s="1507"/>
      <c r="AI47" s="1479"/>
      <c r="AJ47" s="1704"/>
      <c r="AK47" s="1446"/>
      <c r="AL47" s="1447"/>
      <c r="AM47" s="1447"/>
      <c r="AN47" s="1447"/>
      <c r="AO47" s="1447"/>
      <c r="AP47" s="1447"/>
      <c r="AQ47" s="1447"/>
      <c r="AR47" s="1447"/>
      <c r="AS47" s="1447"/>
      <c r="AT47" s="1447"/>
      <c r="AU47" s="1447"/>
      <c r="AV47" s="1506"/>
      <c r="AW47" s="1447"/>
      <c r="AX47" s="1506"/>
      <c r="AY47" s="1447"/>
      <c r="AZ47" s="1447"/>
      <c r="BA47" s="1708"/>
      <c r="BB47" s="1491"/>
      <c r="BC47" s="1492"/>
      <c r="BD47" s="1492"/>
      <c r="BE47" s="1492"/>
      <c r="BF47" s="1492"/>
      <c r="BG47" s="1492"/>
      <c r="BH47" s="1492"/>
      <c r="BI47" s="1492"/>
      <c r="BJ47" s="1492"/>
      <c r="BK47" s="1683"/>
      <c r="BL47" s="1492"/>
      <c r="BM47" s="1492"/>
      <c r="BN47" s="1492"/>
      <c r="BO47" s="1492"/>
      <c r="BP47" s="1492"/>
      <c r="BQ47" s="1492"/>
      <c r="BR47" s="1494"/>
      <c r="BS47" s="1478"/>
      <c r="BT47" s="1479"/>
      <c r="BU47" s="1479"/>
      <c r="BV47" s="1479"/>
      <c r="BW47" s="1479"/>
      <c r="BX47" s="1479"/>
      <c r="BY47" s="1479"/>
      <c r="BZ47" s="1482"/>
      <c r="CA47" s="1479"/>
      <c r="CB47" s="1479"/>
      <c r="CC47" s="1479"/>
      <c r="CD47" s="1479"/>
      <c r="CE47" s="1479"/>
      <c r="CF47" s="1479"/>
      <c r="CG47" s="1479"/>
      <c r="CH47" s="1479"/>
      <c r="CI47" s="1481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5" t="s">
        <v>80</v>
      </c>
      <c r="B48" s="1483" t="s">
        <v>82</v>
      </c>
      <c r="C48" s="1488"/>
      <c r="D48" s="1489"/>
      <c r="E48" s="1489"/>
      <c r="F48" s="1489"/>
      <c r="G48" s="1489"/>
      <c r="H48" s="1489"/>
      <c r="I48" s="1489"/>
      <c r="J48" s="1489"/>
      <c r="K48" s="1489"/>
      <c r="L48" s="1733"/>
      <c r="M48" s="1489"/>
      <c r="N48" s="1489"/>
      <c r="O48" s="1489"/>
      <c r="P48" s="1489"/>
      <c r="Q48" s="1489"/>
      <c r="R48" s="1489"/>
      <c r="S48" s="1490"/>
      <c r="T48" s="1478"/>
      <c r="U48" s="1479"/>
      <c r="V48" s="1479"/>
      <c r="W48" s="1479"/>
      <c r="X48" s="1479"/>
      <c r="Y48" s="1479"/>
      <c r="Z48" s="1479"/>
      <c r="AA48" s="1479"/>
      <c r="AB48" s="1479"/>
      <c r="AC48" s="1479"/>
      <c r="AD48" s="1479"/>
      <c r="AE48" s="1479"/>
      <c r="AF48" s="1479"/>
      <c r="AG48" s="1479"/>
      <c r="AH48" s="1507"/>
      <c r="AI48" s="1479"/>
      <c r="AJ48" s="1704"/>
      <c r="AK48" s="1446"/>
      <c r="AL48" s="1447"/>
      <c r="AM48" s="1447"/>
      <c r="AN48" s="1447"/>
      <c r="AO48" s="1447"/>
      <c r="AP48" s="1447"/>
      <c r="AQ48" s="1447"/>
      <c r="AR48" s="1447"/>
      <c r="AS48" s="1447"/>
      <c r="AT48" s="1447"/>
      <c r="AU48" s="1447"/>
      <c r="AV48" s="1506"/>
      <c r="AW48" s="1447"/>
      <c r="AX48" s="1506"/>
      <c r="AY48" s="1447"/>
      <c r="AZ48" s="1447"/>
      <c r="BA48" s="1708"/>
      <c r="BB48" s="1491"/>
      <c r="BC48" s="1492"/>
      <c r="BD48" s="1492"/>
      <c r="BE48" s="1492"/>
      <c r="BF48" s="1492"/>
      <c r="BG48" s="1492"/>
      <c r="BH48" s="1492"/>
      <c r="BI48" s="1492"/>
      <c r="BJ48" s="1492"/>
      <c r="BK48" s="1683"/>
      <c r="BL48" s="1492"/>
      <c r="BM48" s="1492"/>
      <c r="BN48" s="1492"/>
      <c r="BO48" s="1492"/>
      <c r="BP48" s="1492"/>
      <c r="BQ48" s="1492"/>
      <c r="BR48" s="1494"/>
      <c r="BS48" s="1478"/>
      <c r="BT48" s="1479"/>
      <c r="BU48" s="1479"/>
      <c r="BV48" s="1479"/>
      <c r="BW48" s="1479"/>
      <c r="BX48" s="1479"/>
      <c r="BY48" s="1479"/>
      <c r="BZ48" s="1482"/>
      <c r="CA48" s="1479"/>
      <c r="CB48" s="1479"/>
      <c r="CC48" s="1479"/>
      <c r="CD48" s="1479"/>
      <c r="CE48" s="1479"/>
      <c r="CF48" s="1479"/>
      <c r="CG48" s="1479"/>
      <c r="CH48" s="1479"/>
      <c r="CI48" s="1481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8" t="s">
        <v>81</v>
      </c>
      <c r="B49" s="1495" t="s">
        <v>82</v>
      </c>
      <c r="C49" s="1496" t="str">
        <f t="shared" ref="C49:S49" si="80">IF(C42="","",SUM(C42,C44,-C45,-C46,-C47,C48))</f>
        <v/>
      </c>
      <c r="D49" s="1497" t="str">
        <f t="shared" si="80"/>
        <v/>
      </c>
      <c r="E49" s="1497" t="str">
        <f t="shared" si="80"/>
        <v/>
      </c>
      <c r="F49" s="1497" t="str">
        <f t="shared" si="80"/>
        <v/>
      </c>
      <c r="G49" s="1497" t="str">
        <f t="shared" si="80"/>
        <v/>
      </c>
      <c r="H49" s="1497" t="str">
        <f t="shared" si="80"/>
        <v/>
      </c>
      <c r="I49" s="1497" t="str">
        <f t="shared" si="80"/>
        <v/>
      </c>
      <c r="J49" s="1497" t="str">
        <f t="shared" si="80"/>
        <v/>
      </c>
      <c r="K49" s="1497" t="str">
        <f t="shared" si="80"/>
        <v/>
      </c>
      <c r="L49" s="1684" t="str">
        <f t="shared" si="80"/>
        <v/>
      </c>
      <c r="M49" s="1497" t="str">
        <f t="shared" si="80"/>
        <v/>
      </c>
      <c r="N49" s="1497" t="str">
        <f t="shared" si="80"/>
        <v/>
      </c>
      <c r="O49" s="1497" t="str">
        <f t="shared" si="80"/>
        <v/>
      </c>
      <c r="P49" s="1497" t="str">
        <f t="shared" si="80"/>
        <v/>
      </c>
      <c r="Q49" s="1497" t="str">
        <f t="shared" si="80"/>
        <v/>
      </c>
      <c r="R49" s="1497" t="str">
        <f t="shared" si="80"/>
        <v/>
      </c>
      <c r="S49" s="1497" t="str">
        <f t="shared" si="80"/>
        <v/>
      </c>
      <c r="T49" s="1496"/>
      <c r="U49" s="1497"/>
      <c r="V49" s="1497"/>
      <c r="W49" s="1497"/>
      <c r="X49" s="1497"/>
      <c r="Y49" s="1497"/>
      <c r="Z49" s="1497"/>
      <c r="AA49" s="1497"/>
      <c r="AB49" s="1497"/>
      <c r="AC49" s="1497"/>
      <c r="AD49" s="1497"/>
      <c r="AE49" s="1497"/>
      <c r="AF49" s="1497"/>
      <c r="AG49" s="1497"/>
      <c r="AH49" s="1508"/>
      <c r="AI49" s="1497"/>
      <c r="AJ49" s="1706"/>
      <c r="AK49" s="1496" t="str">
        <f t="shared" ref="AK49:BA49" si="81">IF(AK42="","",SUM(AK42,AK44,-AK45,-AK46,-AK47,AK48))</f>
        <v/>
      </c>
      <c r="AL49" s="1497" t="str">
        <f t="shared" si="81"/>
        <v/>
      </c>
      <c r="AM49" s="1497" t="str">
        <f t="shared" si="81"/>
        <v/>
      </c>
      <c r="AN49" s="1497" t="str">
        <f t="shared" si="81"/>
        <v/>
      </c>
      <c r="AO49" s="1497" t="str">
        <f t="shared" si="81"/>
        <v/>
      </c>
      <c r="AP49" s="1497" t="str">
        <f t="shared" si="81"/>
        <v/>
      </c>
      <c r="AQ49" s="1497" t="str">
        <f t="shared" si="81"/>
        <v/>
      </c>
      <c r="AR49" s="1497" t="str">
        <f t="shared" si="81"/>
        <v/>
      </c>
      <c r="AS49" s="1497" t="str">
        <f t="shared" si="81"/>
        <v/>
      </c>
      <c r="AT49" s="1497" t="str">
        <f t="shared" si="81"/>
        <v/>
      </c>
      <c r="AU49" s="1497" t="str">
        <f t="shared" si="81"/>
        <v/>
      </c>
      <c r="AV49" s="1497" t="str">
        <f t="shared" si="81"/>
        <v/>
      </c>
      <c r="AW49" s="1497" t="str">
        <f t="shared" si="81"/>
        <v/>
      </c>
      <c r="AX49" s="1497" t="str">
        <f t="shared" si="81"/>
        <v/>
      </c>
      <c r="AY49" s="1497" t="str">
        <f t="shared" si="81"/>
        <v/>
      </c>
      <c r="AZ49" s="1497" t="str">
        <f t="shared" si="81"/>
        <v/>
      </c>
      <c r="BA49" s="1684" t="str">
        <f t="shared" si="81"/>
        <v/>
      </c>
      <c r="BB49" s="1496"/>
      <c r="BC49" s="1497"/>
      <c r="BD49" s="1497"/>
      <c r="BE49" s="1497"/>
      <c r="BF49" s="1497"/>
      <c r="BG49" s="1497"/>
      <c r="BH49" s="1497"/>
      <c r="BI49" s="1497"/>
      <c r="BJ49" s="1497"/>
      <c r="BK49" s="1684"/>
      <c r="BL49" s="1497"/>
      <c r="BM49" s="1497"/>
      <c r="BN49" s="1497"/>
      <c r="BO49" s="1497"/>
      <c r="BP49" s="1497"/>
      <c r="BQ49" s="1497"/>
      <c r="BR49" s="1499"/>
      <c r="BS49" s="1496"/>
      <c r="BT49" s="1497"/>
      <c r="BU49" s="1497"/>
      <c r="BV49" s="1497"/>
      <c r="BW49" s="1497"/>
      <c r="BX49" s="1497"/>
      <c r="BY49" s="1497"/>
      <c r="BZ49" s="1497"/>
      <c r="CA49" s="1497"/>
      <c r="CB49" s="1497"/>
      <c r="CC49" s="1497"/>
      <c r="CD49" s="1497"/>
      <c r="CE49" s="1497"/>
      <c r="CF49" s="1497"/>
      <c r="CG49" s="1497"/>
      <c r="CH49" s="1497"/>
      <c r="CI49" s="1499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8" t="s">
        <v>833</v>
      </c>
      <c r="B50" s="1500" t="s">
        <v>62</v>
      </c>
      <c r="C50" s="1501"/>
      <c r="D50" s="1502"/>
      <c r="E50" s="1502"/>
      <c r="F50" s="1502"/>
      <c r="G50" s="1502"/>
      <c r="H50" s="1502"/>
      <c r="I50" s="1502"/>
      <c r="J50" s="1502"/>
      <c r="K50" s="1502"/>
      <c r="L50" s="1734"/>
      <c r="M50" s="1502"/>
      <c r="N50" s="1502"/>
      <c r="O50" s="1502"/>
      <c r="P50" s="1502"/>
      <c r="Q50" s="1502"/>
      <c r="R50" s="1502"/>
      <c r="S50" s="1503"/>
      <c r="T50" s="1491"/>
      <c r="U50" s="1492"/>
      <c r="V50" s="1492"/>
      <c r="W50" s="1492"/>
      <c r="X50" s="1492"/>
      <c r="Y50" s="1492"/>
      <c r="Z50" s="1492"/>
      <c r="AA50" s="1492"/>
      <c r="AB50" s="1492"/>
      <c r="AC50" s="1493"/>
      <c r="AD50" s="1493"/>
      <c r="AE50" s="1493"/>
      <c r="AF50" s="1493"/>
      <c r="AG50" s="1492"/>
      <c r="AH50" s="1504"/>
      <c r="AI50" s="1492"/>
      <c r="AJ50" s="1705"/>
      <c r="AK50" s="1491"/>
      <c r="AL50" s="1492"/>
      <c r="AM50" s="1492"/>
      <c r="AN50" s="1492"/>
      <c r="AO50" s="1492"/>
      <c r="AP50" s="1492"/>
      <c r="AQ50" s="1492"/>
      <c r="AR50" s="1492"/>
      <c r="AS50" s="1492"/>
      <c r="AT50" s="1492"/>
      <c r="AU50" s="1492"/>
      <c r="AV50" s="1493"/>
      <c r="AW50" s="1492"/>
      <c r="AX50" s="1493"/>
      <c r="AY50" s="1492"/>
      <c r="AZ50" s="1492"/>
      <c r="BA50" s="1705"/>
      <c r="BB50" s="1460"/>
      <c r="BC50" s="1461"/>
      <c r="BD50" s="1461"/>
      <c r="BE50" s="1461"/>
      <c r="BF50" s="1461"/>
      <c r="BG50" s="1461"/>
      <c r="BH50" s="1461"/>
      <c r="BI50" s="1461"/>
      <c r="BJ50" s="1461"/>
      <c r="BK50" s="1685"/>
      <c r="BL50" s="1461"/>
      <c r="BM50" s="1461"/>
      <c r="BN50" s="1461"/>
      <c r="BO50" s="1461"/>
      <c r="BP50" s="1461"/>
      <c r="BQ50" s="1461"/>
      <c r="BR50" s="1462"/>
      <c r="BS50" s="1478"/>
      <c r="BT50" s="1479"/>
      <c r="BU50" s="1479"/>
      <c r="BV50" s="1479"/>
      <c r="BW50" s="1479"/>
      <c r="BX50" s="1479"/>
      <c r="BY50" s="1479"/>
      <c r="BZ50" s="1482"/>
      <c r="CA50" s="1479"/>
      <c r="CB50" s="1479"/>
      <c r="CC50" s="1479"/>
      <c r="CD50" s="1479"/>
      <c r="CE50" s="1479"/>
      <c r="CF50" s="1479"/>
      <c r="CG50" s="1479"/>
      <c r="CH50" s="1479"/>
      <c r="CI50" s="1481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5" t="s">
        <v>75</v>
      </c>
      <c r="B51" s="1483" t="s">
        <v>62</v>
      </c>
      <c r="C51" s="1484"/>
      <c r="D51" s="1485"/>
      <c r="E51" s="1485"/>
      <c r="F51" s="1485"/>
      <c r="G51" s="1485"/>
      <c r="H51" s="1485"/>
      <c r="I51" s="1485"/>
      <c r="J51" s="1485"/>
      <c r="K51" s="1485"/>
      <c r="L51" s="1732"/>
      <c r="M51" s="1485"/>
      <c r="N51" s="1485"/>
      <c r="O51" s="1485"/>
      <c r="P51" s="1485"/>
      <c r="Q51" s="1485"/>
      <c r="R51" s="1485"/>
      <c r="S51" s="1486"/>
      <c r="T51" s="1491"/>
      <c r="U51" s="1492"/>
      <c r="V51" s="1492"/>
      <c r="W51" s="1492"/>
      <c r="X51" s="1492"/>
      <c r="Y51" s="1492"/>
      <c r="Z51" s="1492"/>
      <c r="AA51" s="1492"/>
      <c r="AB51" s="1492"/>
      <c r="AC51" s="1492"/>
      <c r="AD51" s="1492"/>
      <c r="AE51" s="1492"/>
      <c r="AF51" s="1492"/>
      <c r="AG51" s="1492"/>
      <c r="AH51" s="1504"/>
      <c r="AI51" s="1492"/>
      <c r="AJ51" s="1705"/>
      <c r="AK51" s="1491"/>
      <c r="AL51" s="1492"/>
      <c r="AM51" s="1492"/>
      <c r="AN51" s="1492"/>
      <c r="AO51" s="1492"/>
      <c r="AP51" s="1492"/>
      <c r="AQ51" s="1492"/>
      <c r="AR51" s="1492"/>
      <c r="AS51" s="1492"/>
      <c r="AT51" s="1492"/>
      <c r="AU51" s="1492"/>
      <c r="AV51" s="1493"/>
      <c r="AW51" s="1492"/>
      <c r="AX51" s="1493"/>
      <c r="AY51" s="1492"/>
      <c r="AZ51" s="1492"/>
      <c r="BA51" s="1705"/>
      <c r="BB51" s="1446"/>
      <c r="BC51" s="1447"/>
      <c r="BD51" s="1447"/>
      <c r="BE51" s="1447"/>
      <c r="BF51" s="1447"/>
      <c r="BG51" s="1447"/>
      <c r="BH51" s="1447"/>
      <c r="BI51" s="1447"/>
      <c r="BJ51" s="1447"/>
      <c r="BK51" s="1680"/>
      <c r="BL51" s="1447"/>
      <c r="BM51" s="1447"/>
      <c r="BN51" s="1447"/>
      <c r="BO51" s="1447"/>
      <c r="BP51" s="1447"/>
      <c r="BQ51" s="1447"/>
      <c r="BR51" s="1448"/>
      <c r="BS51" s="1478"/>
      <c r="BT51" s="1479"/>
      <c r="BU51" s="1479"/>
      <c r="BV51" s="1479"/>
      <c r="BW51" s="1479"/>
      <c r="BX51" s="1479"/>
      <c r="BY51" s="1479"/>
      <c r="BZ51" s="1482"/>
      <c r="CA51" s="1479"/>
      <c r="CB51" s="1479"/>
      <c r="CC51" s="1479"/>
      <c r="CD51" s="1479"/>
      <c r="CE51" s="1479"/>
      <c r="CF51" s="1479"/>
      <c r="CG51" s="1479"/>
      <c r="CH51" s="1479"/>
      <c r="CI51" s="1481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5" t="s">
        <v>76</v>
      </c>
      <c r="B52" s="1483" t="s">
        <v>62</v>
      </c>
      <c r="C52" s="1488"/>
      <c r="D52" s="1489"/>
      <c r="E52" s="1489"/>
      <c r="F52" s="1489"/>
      <c r="G52" s="1489"/>
      <c r="H52" s="1489"/>
      <c r="I52" s="1489"/>
      <c r="J52" s="1489"/>
      <c r="K52" s="1489"/>
      <c r="L52" s="1733"/>
      <c r="M52" s="1489"/>
      <c r="N52" s="1489"/>
      <c r="O52" s="1489"/>
      <c r="P52" s="1489"/>
      <c r="Q52" s="1489"/>
      <c r="R52" s="1489"/>
      <c r="S52" s="1490"/>
      <c r="T52" s="1478"/>
      <c r="U52" s="1479"/>
      <c r="V52" s="1479"/>
      <c r="W52" s="1479"/>
      <c r="X52" s="1479"/>
      <c r="Y52" s="1479"/>
      <c r="Z52" s="1479"/>
      <c r="AA52" s="1479"/>
      <c r="AB52" s="1479"/>
      <c r="AC52" s="1479"/>
      <c r="AD52" s="1479"/>
      <c r="AE52" s="1479"/>
      <c r="AF52" s="1479"/>
      <c r="AG52" s="1479"/>
      <c r="AH52" s="1507"/>
      <c r="AI52" s="1479"/>
      <c r="AJ52" s="1704"/>
      <c r="AK52" s="1478"/>
      <c r="AL52" s="1479"/>
      <c r="AM52" s="1479"/>
      <c r="AN52" s="1479"/>
      <c r="AO52" s="1479"/>
      <c r="AP52" s="1479"/>
      <c r="AQ52" s="1479"/>
      <c r="AR52" s="1479"/>
      <c r="AS52" s="1479"/>
      <c r="AT52" s="1479"/>
      <c r="AU52" s="1479"/>
      <c r="AV52" s="1480"/>
      <c r="AW52" s="1479"/>
      <c r="AX52" s="1480"/>
      <c r="AY52" s="1479"/>
      <c r="AZ52" s="1479"/>
      <c r="BA52" s="1704"/>
      <c r="BB52" s="1446"/>
      <c r="BC52" s="1447"/>
      <c r="BD52" s="1447"/>
      <c r="BE52" s="1447"/>
      <c r="BF52" s="1447"/>
      <c r="BG52" s="1447"/>
      <c r="BH52" s="1447"/>
      <c r="BI52" s="1447"/>
      <c r="BJ52" s="1447"/>
      <c r="BK52" s="1680"/>
      <c r="BL52" s="1447"/>
      <c r="BM52" s="1447"/>
      <c r="BN52" s="1447"/>
      <c r="BO52" s="1447"/>
      <c r="BP52" s="1447"/>
      <c r="BQ52" s="1447"/>
      <c r="BR52" s="1448"/>
      <c r="BS52" s="1478"/>
      <c r="BT52" s="1479"/>
      <c r="BU52" s="1479"/>
      <c r="BV52" s="1479"/>
      <c r="BW52" s="1479"/>
      <c r="BX52" s="1479"/>
      <c r="BY52" s="1479"/>
      <c r="BZ52" s="1482"/>
      <c r="CA52" s="1479"/>
      <c r="CB52" s="1479"/>
      <c r="CC52" s="1479"/>
      <c r="CD52" s="1479"/>
      <c r="CE52" s="1479"/>
      <c r="CF52" s="1479"/>
      <c r="CG52" s="1479"/>
      <c r="CH52" s="1479"/>
      <c r="CI52" s="1481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5" t="s">
        <v>77</v>
      </c>
      <c r="B53" s="1483" t="s">
        <v>62</v>
      </c>
      <c r="C53" s="1488"/>
      <c r="D53" s="1489"/>
      <c r="E53" s="1489"/>
      <c r="F53" s="1489"/>
      <c r="G53" s="1489"/>
      <c r="H53" s="1489"/>
      <c r="I53" s="1489"/>
      <c r="J53" s="1489"/>
      <c r="K53" s="1489"/>
      <c r="L53" s="1733"/>
      <c r="M53" s="1489"/>
      <c r="N53" s="1489"/>
      <c r="O53" s="1489"/>
      <c r="P53" s="1489"/>
      <c r="Q53" s="1489"/>
      <c r="R53" s="1489"/>
      <c r="S53" s="1490"/>
      <c r="T53" s="1478"/>
      <c r="U53" s="1479"/>
      <c r="V53" s="1479"/>
      <c r="W53" s="1479"/>
      <c r="X53" s="1479"/>
      <c r="Y53" s="1479"/>
      <c r="Z53" s="1479"/>
      <c r="AA53" s="1479"/>
      <c r="AB53" s="1479"/>
      <c r="AC53" s="1479"/>
      <c r="AD53" s="1479"/>
      <c r="AE53" s="1479"/>
      <c r="AF53" s="1479"/>
      <c r="AG53" s="1479"/>
      <c r="AH53" s="1507"/>
      <c r="AI53" s="1479"/>
      <c r="AJ53" s="1704"/>
      <c r="AK53" s="1491"/>
      <c r="AL53" s="1492"/>
      <c r="AM53" s="1492"/>
      <c r="AN53" s="1492"/>
      <c r="AO53" s="1492"/>
      <c r="AP53" s="1492"/>
      <c r="AQ53" s="1492"/>
      <c r="AR53" s="1492"/>
      <c r="AS53" s="1492"/>
      <c r="AT53" s="1492"/>
      <c r="AU53" s="1492"/>
      <c r="AV53" s="1493"/>
      <c r="AW53" s="1492"/>
      <c r="AX53" s="1493"/>
      <c r="AY53" s="1492"/>
      <c r="AZ53" s="1492"/>
      <c r="BA53" s="1705"/>
      <c r="BB53" s="1446"/>
      <c r="BC53" s="1447"/>
      <c r="BD53" s="1447"/>
      <c r="BE53" s="1447"/>
      <c r="BF53" s="1447"/>
      <c r="BG53" s="1447"/>
      <c r="BH53" s="1447"/>
      <c r="BI53" s="1447"/>
      <c r="BJ53" s="1447"/>
      <c r="BK53" s="1680"/>
      <c r="BL53" s="1447"/>
      <c r="BM53" s="1447"/>
      <c r="BN53" s="1447"/>
      <c r="BO53" s="1447"/>
      <c r="BP53" s="1447"/>
      <c r="BQ53" s="1447"/>
      <c r="BR53" s="1448"/>
      <c r="BS53" s="1478"/>
      <c r="BT53" s="1479"/>
      <c r="BU53" s="1479"/>
      <c r="BV53" s="1479"/>
      <c r="BW53" s="1479"/>
      <c r="BX53" s="1479"/>
      <c r="BY53" s="1479"/>
      <c r="BZ53" s="1482"/>
      <c r="CA53" s="1479"/>
      <c r="CB53" s="1479"/>
      <c r="CC53" s="1479"/>
      <c r="CD53" s="1479"/>
      <c r="CE53" s="1479"/>
      <c r="CF53" s="1479"/>
      <c r="CG53" s="1479"/>
      <c r="CH53" s="1479"/>
      <c r="CI53" s="1481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5" t="s">
        <v>78</v>
      </c>
      <c r="B54" s="1483" t="s">
        <v>62</v>
      </c>
      <c r="C54" s="1488"/>
      <c r="D54" s="1489"/>
      <c r="E54" s="1489"/>
      <c r="F54" s="1489"/>
      <c r="G54" s="1489"/>
      <c r="H54" s="1489"/>
      <c r="I54" s="1489"/>
      <c r="J54" s="1489"/>
      <c r="K54" s="1489"/>
      <c r="L54" s="1733"/>
      <c r="M54" s="1489"/>
      <c r="N54" s="1489"/>
      <c r="O54" s="1489"/>
      <c r="P54" s="1489"/>
      <c r="Q54" s="1489"/>
      <c r="R54" s="1489"/>
      <c r="S54" s="1490"/>
      <c r="T54" s="1478"/>
      <c r="U54" s="1479"/>
      <c r="V54" s="1479"/>
      <c r="W54" s="1479"/>
      <c r="X54" s="1479"/>
      <c r="Y54" s="1479"/>
      <c r="Z54" s="1479"/>
      <c r="AA54" s="1479"/>
      <c r="AB54" s="1479"/>
      <c r="AC54" s="1479"/>
      <c r="AD54" s="1479"/>
      <c r="AE54" s="1479"/>
      <c r="AF54" s="1479"/>
      <c r="AG54" s="1479"/>
      <c r="AH54" s="1507"/>
      <c r="AI54" s="1479"/>
      <c r="AJ54" s="1704"/>
      <c r="AK54" s="1491"/>
      <c r="AL54" s="1492"/>
      <c r="AM54" s="1492"/>
      <c r="AN54" s="1492"/>
      <c r="AO54" s="1492"/>
      <c r="AP54" s="1492"/>
      <c r="AQ54" s="1492"/>
      <c r="AR54" s="1492"/>
      <c r="AS54" s="1492"/>
      <c r="AT54" s="1492"/>
      <c r="AU54" s="1492"/>
      <c r="AV54" s="1493"/>
      <c r="AW54" s="1492"/>
      <c r="AX54" s="1493"/>
      <c r="AY54" s="1492"/>
      <c r="AZ54" s="1492"/>
      <c r="BA54" s="1705"/>
      <c r="BB54" s="1446"/>
      <c r="BC54" s="1447"/>
      <c r="BD54" s="1447"/>
      <c r="BE54" s="1447"/>
      <c r="BF54" s="1447"/>
      <c r="BG54" s="1447"/>
      <c r="BH54" s="1447"/>
      <c r="BI54" s="1447"/>
      <c r="BJ54" s="1447"/>
      <c r="BK54" s="1680"/>
      <c r="BL54" s="1447"/>
      <c r="BM54" s="1447"/>
      <c r="BN54" s="1447"/>
      <c r="BO54" s="1447"/>
      <c r="BP54" s="1447"/>
      <c r="BQ54" s="1447"/>
      <c r="BR54" s="1448"/>
      <c r="BS54" s="1478"/>
      <c r="BT54" s="1479"/>
      <c r="BU54" s="1479"/>
      <c r="BV54" s="1479"/>
      <c r="BW54" s="1479"/>
      <c r="BX54" s="1479"/>
      <c r="BY54" s="1479"/>
      <c r="BZ54" s="1482"/>
      <c r="CA54" s="1479"/>
      <c r="CB54" s="1479"/>
      <c r="CC54" s="1479"/>
      <c r="CD54" s="1479"/>
      <c r="CE54" s="1479"/>
      <c r="CF54" s="1479"/>
      <c r="CG54" s="1479"/>
      <c r="CH54" s="1479"/>
      <c r="CI54" s="1481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5" t="s">
        <v>79</v>
      </c>
      <c r="B55" s="1483" t="s">
        <v>62</v>
      </c>
      <c r="C55" s="1488"/>
      <c r="D55" s="1489"/>
      <c r="E55" s="1489"/>
      <c r="F55" s="1489"/>
      <c r="G55" s="1489"/>
      <c r="H55" s="1489"/>
      <c r="I55" s="1489"/>
      <c r="J55" s="1489"/>
      <c r="K55" s="1489"/>
      <c r="L55" s="1733"/>
      <c r="M55" s="1489"/>
      <c r="N55" s="1489"/>
      <c r="O55" s="1489"/>
      <c r="P55" s="1489"/>
      <c r="Q55" s="1489"/>
      <c r="R55" s="1489"/>
      <c r="S55" s="1490"/>
      <c r="T55" s="1478"/>
      <c r="U55" s="1479"/>
      <c r="V55" s="1479"/>
      <c r="W55" s="1479"/>
      <c r="X55" s="1479"/>
      <c r="Y55" s="1479"/>
      <c r="Z55" s="1479"/>
      <c r="AA55" s="1479"/>
      <c r="AB55" s="1479"/>
      <c r="AC55" s="1479"/>
      <c r="AD55" s="1479"/>
      <c r="AE55" s="1479"/>
      <c r="AF55" s="1479"/>
      <c r="AG55" s="1479"/>
      <c r="AH55" s="1507"/>
      <c r="AI55" s="1479"/>
      <c r="AJ55" s="1704"/>
      <c r="AK55" s="1491"/>
      <c r="AL55" s="1492"/>
      <c r="AM55" s="1492"/>
      <c r="AN55" s="1492"/>
      <c r="AO55" s="1492"/>
      <c r="AP55" s="1492"/>
      <c r="AQ55" s="1492"/>
      <c r="AR55" s="1492"/>
      <c r="AS55" s="1492"/>
      <c r="AT55" s="1492"/>
      <c r="AU55" s="1492"/>
      <c r="AV55" s="1493"/>
      <c r="AW55" s="1492"/>
      <c r="AX55" s="1493"/>
      <c r="AY55" s="1492"/>
      <c r="AZ55" s="1492"/>
      <c r="BA55" s="1705"/>
      <c r="BB55" s="1446"/>
      <c r="BC55" s="1447"/>
      <c r="BD55" s="1447"/>
      <c r="BE55" s="1447"/>
      <c r="BF55" s="1447"/>
      <c r="BG55" s="1447"/>
      <c r="BH55" s="1447"/>
      <c r="BI55" s="1447"/>
      <c r="BJ55" s="1447"/>
      <c r="BK55" s="1680"/>
      <c r="BL55" s="1447"/>
      <c r="BM55" s="1447"/>
      <c r="BN55" s="1447"/>
      <c r="BO55" s="1447"/>
      <c r="BP55" s="1447"/>
      <c r="BQ55" s="1447"/>
      <c r="BR55" s="1448"/>
      <c r="BS55" s="1478"/>
      <c r="BT55" s="1479"/>
      <c r="BU55" s="1479"/>
      <c r="BV55" s="1479"/>
      <c r="BW55" s="1479"/>
      <c r="BX55" s="1479"/>
      <c r="BY55" s="1479"/>
      <c r="BZ55" s="1482"/>
      <c r="CA55" s="1479"/>
      <c r="CB55" s="1479"/>
      <c r="CC55" s="1479"/>
      <c r="CD55" s="1479"/>
      <c r="CE55" s="1479"/>
      <c r="CF55" s="1479"/>
      <c r="CG55" s="1479"/>
      <c r="CH55" s="1479"/>
      <c r="CI55" s="1481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5" t="s">
        <v>80</v>
      </c>
      <c r="B56" s="1483" t="s">
        <v>62</v>
      </c>
      <c r="C56" s="1488"/>
      <c r="D56" s="1489"/>
      <c r="E56" s="1489"/>
      <c r="F56" s="1489"/>
      <c r="G56" s="1489"/>
      <c r="H56" s="1489"/>
      <c r="I56" s="1489"/>
      <c r="J56" s="1489"/>
      <c r="K56" s="1489"/>
      <c r="L56" s="1733"/>
      <c r="M56" s="1489"/>
      <c r="N56" s="1489"/>
      <c r="O56" s="1489"/>
      <c r="P56" s="1489"/>
      <c r="Q56" s="1489"/>
      <c r="R56" s="1489"/>
      <c r="S56" s="1490"/>
      <c r="T56" s="1478"/>
      <c r="U56" s="1479"/>
      <c r="V56" s="1479"/>
      <c r="W56" s="1479"/>
      <c r="X56" s="1479"/>
      <c r="Y56" s="1479"/>
      <c r="Z56" s="1479"/>
      <c r="AA56" s="1479"/>
      <c r="AB56" s="1479"/>
      <c r="AC56" s="1479"/>
      <c r="AD56" s="1479"/>
      <c r="AE56" s="1479"/>
      <c r="AF56" s="1479"/>
      <c r="AG56" s="1479"/>
      <c r="AH56" s="1507"/>
      <c r="AI56" s="1479"/>
      <c r="AJ56" s="1704"/>
      <c r="AK56" s="1491"/>
      <c r="AL56" s="1492"/>
      <c r="AM56" s="1492"/>
      <c r="AN56" s="1492"/>
      <c r="AO56" s="1492"/>
      <c r="AP56" s="1492"/>
      <c r="AQ56" s="1492"/>
      <c r="AR56" s="1492"/>
      <c r="AS56" s="1492"/>
      <c r="AT56" s="1492"/>
      <c r="AU56" s="1492"/>
      <c r="AV56" s="1493"/>
      <c r="AW56" s="1492"/>
      <c r="AX56" s="1493"/>
      <c r="AY56" s="1492"/>
      <c r="AZ56" s="1492"/>
      <c r="BA56" s="1705"/>
      <c r="BB56" s="1446"/>
      <c r="BC56" s="1447"/>
      <c r="BD56" s="1447"/>
      <c r="BE56" s="1447"/>
      <c r="BF56" s="1447"/>
      <c r="BG56" s="1447"/>
      <c r="BH56" s="1447"/>
      <c r="BI56" s="1447"/>
      <c r="BJ56" s="1447"/>
      <c r="BK56" s="1680"/>
      <c r="BL56" s="1447"/>
      <c r="BM56" s="1447"/>
      <c r="BN56" s="1447"/>
      <c r="BO56" s="1447"/>
      <c r="BP56" s="1447"/>
      <c r="BQ56" s="1447"/>
      <c r="BR56" s="1448"/>
      <c r="BS56" s="1478"/>
      <c r="BT56" s="1479"/>
      <c r="BU56" s="1479"/>
      <c r="BV56" s="1479"/>
      <c r="BW56" s="1479"/>
      <c r="BX56" s="1479"/>
      <c r="BY56" s="1479"/>
      <c r="BZ56" s="1482"/>
      <c r="CA56" s="1479"/>
      <c r="CB56" s="1479"/>
      <c r="CC56" s="1479"/>
      <c r="CD56" s="1479"/>
      <c r="CE56" s="1479"/>
      <c r="CF56" s="1479"/>
      <c r="CG56" s="1479"/>
      <c r="CH56" s="1479"/>
      <c r="CI56" s="1481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8" t="s">
        <v>81</v>
      </c>
      <c r="B57" s="1495" t="s">
        <v>62</v>
      </c>
      <c r="C57" s="1496" t="str">
        <f t="shared" ref="C57:S57" si="82">IF(C50="","",SUM(C50,C52,-C53,-C54,-C55,C56))</f>
        <v/>
      </c>
      <c r="D57" s="1497" t="str">
        <f t="shared" si="82"/>
        <v/>
      </c>
      <c r="E57" s="1497" t="str">
        <f t="shared" si="82"/>
        <v/>
      </c>
      <c r="F57" s="1497" t="str">
        <f t="shared" si="82"/>
        <v/>
      </c>
      <c r="G57" s="1497" t="str">
        <f t="shared" si="82"/>
        <v/>
      </c>
      <c r="H57" s="1497" t="str">
        <f t="shared" si="82"/>
        <v/>
      </c>
      <c r="I57" s="1497" t="str">
        <f t="shared" si="82"/>
        <v/>
      </c>
      <c r="J57" s="1497" t="str">
        <f t="shared" si="82"/>
        <v/>
      </c>
      <c r="K57" s="1497" t="str">
        <f t="shared" si="82"/>
        <v/>
      </c>
      <c r="L57" s="1684" t="str">
        <f t="shared" si="82"/>
        <v/>
      </c>
      <c r="M57" s="1497" t="str">
        <f t="shared" si="82"/>
        <v/>
      </c>
      <c r="N57" s="1497" t="str">
        <f t="shared" si="82"/>
        <v/>
      </c>
      <c r="O57" s="1497" t="str">
        <f t="shared" si="82"/>
        <v/>
      </c>
      <c r="P57" s="1497" t="str">
        <f t="shared" si="82"/>
        <v/>
      </c>
      <c r="Q57" s="1497" t="str">
        <f t="shared" si="82"/>
        <v/>
      </c>
      <c r="R57" s="1497" t="str">
        <f t="shared" si="82"/>
        <v/>
      </c>
      <c r="S57" s="1497" t="str">
        <f t="shared" si="82"/>
        <v/>
      </c>
      <c r="T57" s="1496"/>
      <c r="U57" s="1497"/>
      <c r="V57" s="1497"/>
      <c r="W57" s="1497"/>
      <c r="X57" s="1497"/>
      <c r="Y57" s="1497"/>
      <c r="Z57" s="1497"/>
      <c r="AA57" s="1497"/>
      <c r="AB57" s="1497"/>
      <c r="AC57" s="1497"/>
      <c r="AD57" s="1497"/>
      <c r="AE57" s="1497"/>
      <c r="AF57" s="1497"/>
      <c r="AG57" s="1497"/>
      <c r="AH57" s="1508"/>
      <c r="AI57" s="1497"/>
      <c r="AJ57" s="1706"/>
      <c r="AK57" s="1496"/>
      <c r="AL57" s="1497"/>
      <c r="AM57" s="1497"/>
      <c r="AN57" s="1497"/>
      <c r="AO57" s="1497"/>
      <c r="AP57" s="1497"/>
      <c r="AQ57" s="1497"/>
      <c r="AR57" s="1497"/>
      <c r="AS57" s="1497"/>
      <c r="AT57" s="1497"/>
      <c r="AU57" s="1497"/>
      <c r="AV57" s="1498"/>
      <c r="AW57" s="1497"/>
      <c r="AX57" s="1498"/>
      <c r="AY57" s="1497"/>
      <c r="AZ57" s="1497"/>
      <c r="BA57" s="1706"/>
      <c r="BB57" s="1496" t="str">
        <f t="shared" ref="BB57:BJ57" si="83">IF(BB50="","",SUM(BB50,BB52,-BB53,-BB54,-BB55,BB56))</f>
        <v/>
      </c>
      <c r="BC57" s="1497" t="str">
        <f t="shared" si="83"/>
        <v/>
      </c>
      <c r="BD57" s="1497" t="str">
        <f t="shared" si="83"/>
        <v/>
      </c>
      <c r="BE57" s="1497" t="str">
        <f t="shared" si="83"/>
        <v/>
      </c>
      <c r="BF57" s="1497" t="str">
        <f t="shared" si="83"/>
        <v/>
      </c>
      <c r="BG57" s="1497" t="str">
        <f t="shared" si="83"/>
        <v/>
      </c>
      <c r="BH57" s="1497" t="str">
        <f t="shared" si="83"/>
        <v/>
      </c>
      <c r="BI57" s="1497" t="str">
        <f t="shared" si="83"/>
        <v/>
      </c>
      <c r="BJ57" s="1497" t="str">
        <f t="shared" si="83"/>
        <v/>
      </c>
      <c r="BK57" s="1684"/>
      <c r="BL57" s="1497"/>
      <c r="BM57" s="1497" t="str">
        <f t="shared" ref="BM57:BR57" si="84">IF(BM50="","",SUM(BM50,BM52,-BM53,-BM54,-BM55,BM56))</f>
        <v/>
      </c>
      <c r="BN57" s="1497" t="str">
        <f t="shared" si="84"/>
        <v/>
      </c>
      <c r="BO57" s="1497" t="str">
        <f t="shared" si="84"/>
        <v/>
      </c>
      <c r="BP57" s="1497" t="str">
        <f t="shared" si="84"/>
        <v/>
      </c>
      <c r="BQ57" s="1497" t="str">
        <f t="shared" si="84"/>
        <v/>
      </c>
      <c r="BR57" s="1497" t="str">
        <f t="shared" si="84"/>
        <v/>
      </c>
      <c r="BS57" s="1496"/>
      <c r="BT57" s="1497"/>
      <c r="BU57" s="1497"/>
      <c r="BV57" s="1497"/>
      <c r="BW57" s="1497"/>
      <c r="BX57" s="1497"/>
      <c r="BY57" s="1497"/>
      <c r="BZ57" s="1497"/>
      <c r="CA57" s="1497"/>
      <c r="CB57" s="1497"/>
      <c r="CC57" s="1497"/>
      <c r="CD57" s="1497"/>
      <c r="CE57" s="1497"/>
      <c r="CF57" s="1497"/>
      <c r="CG57" s="1497"/>
      <c r="CH57" s="1497"/>
      <c r="CI57" s="1499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8" t="s">
        <v>833</v>
      </c>
      <c r="B58" s="1500" t="s">
        <v>63</v>
      </c>
      <c r="C58" s="1501"/>
      <c r="D58" s="1502"/>
      <c r="E58" s="1502"/>
      <c r="F58" s="1502"/>
      <c r="G58" s="1502"/>
      <c r="H58" s="1502"/>
      <c r="I58" s="1502"/>
      <c r="J58" s="1502"/>
      <c r="K58" s="1502"/>
      <c r="L58" s="1734"/>
      <c r="M58" s="1502"/>
      <c r="N58" s="1502"/>
      <c r="O58" s="1502"/>
      <c r="P58" s="1502"/>
      <c r="Q58" s="1502"/>
      <c r="R58" s="1502"/>
      <c r="S58" s="1503"/>
      <c r="T58" s="1491"/>
      <c r="U58" s="1492"/>
      <c r="V58" s="1492"/>
      <c r="W58" s="1492"/>
      <c r="X58" s="1492"/>
      <c r="Y58" s="1492"/>
      <c r="Z58" s="1492"/>
      <c r="AA58" s="1492"/>
      <c r="AB58" s="1492"/>
      <c r="AC58" s="1493"/>
      <c r="AD58" s="1493"/>
      <c r="AE58" s="1493"/>
      <c r="AF58" s="1493"/>
      <c r="AG58" s="1492"/>
      <c r="AH58" s="1504"/>
      <c r="AI58" s="1492"/>
      <c r="AJ58" s="1705"/>
      <c r="AK58" s="1491"/>
      <c r="AL58" s="1492"/>
      <c r="AM58" s="1492"/>
      <c r="AN58" s="1492"/>
      <c r="AO58" s="1492"/>
      <c r="AP58" s="1492"/>
      <c r="AQ58" s="1492"/>
      <c r="AR58" s="1492"/>
      <c r="AS58" s="1492"/>
      <c r="AT58" s="1492"/>
      <c r="AU58" s="1492"/>
      <c r="AV58" s="1493"/>
      <c r="AW58" s="1492"/>
      <c r="AX58" s="1493"/>
      <c r="AY58" s="1492"/>
      <c r="AZ58" s="1492"/>
      <c r="BA58" s="1705"/>
      <c r="BB58" s="1491"/>
      <c r="BC58" s="1492"/>
      <c r="BD58" s="1492"/>
      <c r="BE58" s="1492"/>
      <c r="BF58" s="1492"/>
      <c r="BG58" s="1492"/>
      <c r="BH58" s="1492"/>
      <c r="BI58" s="1492"/>
      <c r="BJ58" s="1492"/>
      <c r="BK58" s="1683"/>
      <c r="BL58" s="1492"/>
      <c r="BM58" s="1493"/>
      <c r="BN58" s="1492"/>
      <c r="BO58" s="1493"/>
      <c r="BP58" s="1492"/>
      <c r="BQ58" s="1493"/>
      <c r="BR58" s="1494"/>
      <c r="BS58" s="1460"/>
      <c r="BT58" s="1461"/>
      <c r="BU58" s="1461"/>
      <c r="BV58" s="1461"/>
      <c r="BW58" s="1461"/>
      <c r="BX58" s="1461"/>
      <c r="BY58" s="1461"/>
      <c r="BZ58" s="1461"/>
      <c r="CA58" s="1461"/>
      <c r="CB58" s="1461"/>
      <c r="CC58" s="1461"/>
      <c r="CD58" s="1461"/>
      <c r="CE58" s="1461"/>
      <c r="CF58" s="1461"/>
      <c r="CG58" s="1461"/>
      <c r="CH58" s="1461"/>
      <c r="CI58" s="1462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5" t="s">
        <v>75</v>
      </c>
      <c r="B59" s="1483" t="s">
        <v>63</v>
      </c>
      <c r="C59" s="1484"/>
      <c r="D59" s="1485"/>
      <c r="E59" s="1485"/>
      <c r="F59" s="1485"/>
      <c r="G59" s="1485"/>
      <c r="H59" s="1485"/>
      <c r="I59" s="1485"/>
      <c r="J59" s="1485"/>
      <c r="K59" s="1485"/>
      <c r="L59" s="1732"/>
      <c r="M59" s="1485"/>
      <c r="N59" s="1485"/>
      <c r="O59" s="1485"/>
      <c r="P59" s="1485"/>
      <c r="Q59" s="1485"/>
      <c r="R59" s="1485"/>
      <c r="S59" s="1486"/>
      <c r="T59" s="1491"/>
      <c r="U59" s="1492"/>
      <c r="V59" s="1492"/>
      <c r="W59" s="1492"/>
      <c r="X59" s="1492"/>
      <c r="Y59" s="1492"/>
      <c r="Z59" s="1492"/>
      <c r="AA59" s="1492"/>
      <c r="AB59" s="1492"/>
      <c r="AC59" s="1493"/>
      <c r="AD59" s="1493"/>
      <c r="AE59" s="1493"/>
      <c r="AF59" s="1493"/>
      <c r="AG59" s="1492"/>
      <c r="AH59" s="1504"/>
      <c r="AI59" s="1492"/>
      <c r="AJ59" s="1705"/>
      <c r="AK59" s="1491"/>
      <c r="AL59" s="1492"/>
      <c r="AM59" s="1492"/>
      <c r="AN59" s="1492"/>
      <c r="AO59" s="1492"/>
      <c r="AP59" s="1492"/>
      <c r="AQ59" s="1492"/>
      <c r="AR59" s="1492"/>
      <c r="AS59" s="1492"/>
      <c r="AT59" s="1492"/>
      <c r="AU59" s="1492"/>
      <c r="AV59" s="1493"/>
      <c r="AW59" s="1492"/>
      <c r="AX59" s="1493"/>
      <c r="AY59" s="1492"/>
      <c r="AZ59" s="1492"/>
      <c r="BA59" s="1705"/>
      <c r="BB59" s="1491"/>
      <c r="BC59" s="1492"/>
      <c r="BD59" s="1492"/>
      <c r="BE59" s="1492"/>
      <c r="BF59" s="1492"/>
      <c r="BG59" s="1492"/>
      <c r="BH59" s="1492"/>
      <c r="BI59" s="1492"/>
      <c r="BJ59" s="1492"/>
      <c r="BK59" s="1683"/>
      <c r="BL59" s="1492"/>
      <c r="BM59" s="1493"/>
      <c r="BN59" s="1492"/>
      <c r="BO59" s="1493"/>
      <c r="BP59" s="1492"/>
      <c r="BQ59" s="1493"/>
      <c r="BR59" s="1494"/>
      <c r="BS59" s="1446"/>
      <c r="BT59" s="1447"/>
      <c r="BU59" s="1447"/>
      <c r="BV59" s="1447"/>
      <c r="BW59" s="1447"/>
      <c r="BX59" s="1447"/>
      <c r="BY59" s="1447"/>
      <c r="BZ59" s="1447"/>
      <c r="CA59" s="1447"/>
      <c r="CB59" s="1447"/>
      <c r="CC59" s="1447"/>
      <c r="CD59" s="1447"/>
      <c r="CE59" s="1447"/>
      <c r="CF59" s="1447"/>
      <c r="CG59" s="1447"/>
      <c r="CH59" s="1447"/>
      <c r="CI59" s="1448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5" t="s">
        <v>76</v>
      </c>
      <c r="B60" s="1483" t="s">
        <v>63</v>
      </c>
      <c r="C60" s="1488"/>
      <c r="D60" s="1489"/>
      <c r="E60" s="1489"/>
      <c r="F60" s="1489"/>
      <c r="G60" s="1489"/>
      <c r="H60" s="1489"/>
      <c r="I60" s="1489"/>
      <c r="J60" s="1489"/>
      <c r="K60" s="1489"/>
      <c r="L60" s="1733"/>
      <c r="M60" s="1489"/>
      <c r="N60" s="1489"/>
      <c r="O60" s="1489"/>
      <c r="P60" s="1489"/>
      <c r="Q60" s="1489"/>
      <c r="R60" s="1489"/>
      <c r="S60" s="1490"/>
      <c r="T60" s="1478"/>
      <c r="U60" s="1479"/>
      <c r="V60" s="1479"/>
      <c r="W60" s="1479"/>
      <c r="X60" s="1479"/>
      <c r="Y60" s="1479"/>
      <c r="Z60" s="1479"/>
      <c r="AA60" s="1479"/>
      <c r="AB60" s="1479"/>
      <c r="AC60" s="1478"/>
      <c r="AD60" s="1478"/>
      <c r="AE60" s="1478"/>
      <c r="AF60" s="1478"/>
      <c r="AG60" s="1479"/>
      <c r="AH60" s="1507"/>
      <c r="AI60" s="1479"/>
      <c r="AJ60" s="1704"/>
      <c r="AK60" s="1478"/>
      <c r="AL60" s="1479"/>
      <c r="AM60" s="1479"/>
      <c r="AN60" s="1479"/>
      <c r="AO60" s="1479"/>
      <c r="AP60" s="1479"/>
      <c r="AQ60" s="1479"/>
      <c r="AR60" s="1479"/>
      <c r="AS60" s="1479"/>
      <c r="AT60" s="1479"/>
      <c r="AU60" s="1479"/>
      <c r="AV60" s="1480"/>
      <c r="AW60" s="1479"/>
      <c r="AX60" s="1480"/>
      <c r="AY60" s="1479"/>
      <c r="AZ60" s="1479"/>
      <c r="BA60" s="1704"/>
      <c r="BB60" s="1478"/>
      <c r="BC60" s="1479"/>
      <c r="BD60" s="1479"/>
      <c r="BE60" s="1479"/>
      <c r="BF60" s="1479"/>
      <c r="BG60" s="1479"/>
      <c r="BH60" s="1479"/>
      <c r="BI60" s="1479"/>
      <c r="BJ60" s="1479"/>
      <c r="BK60" s="1682"/>
      <c r="BL60" s="1479"/>
      <c r="BM60" s="1479"/>
      <c r="BN60" s="1479"/>
      <c r="BO60" s="1479"/>
      <c r="BP60" s="1479"/>
      <c r="BQ60" s="1479"/>
      <c r="BR60" s="1481"/>
      <c r="BS60" s="1446"/>
      <c r="BT60" s="1447"/>
      <c r="BU60" s="1447"/>
      <c r="BV60" s="1447"/>
      <c r="BW60" s="1447"/>
      <c r="BX60" s="1447"/>
      <c r="BY60" s="1447"/>
      <c r="BZ60" s="1447"/>
      <c r="CA60" s="1447"/>
      <c r="CB60" s="1447"/>
      <c r="CC60" s="1447"/>
      <c r="CD60" s="1447"/>
      <c r="CE60" s="1447"/>
      <c r="CF60" s="1447"/>
      <c r="CG60" s="1447"/>
      <c r="CH60" s="1447"/>
      <c r="CI60" s="1448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5" t="s">
        <v>77</v>
      </c>
      <c r="B61" s="1483" t="s">
        <v>63</v>
      </c>
      <c r="C61" s="1488"/>
      <c r="D61" s="1489"/>
      <c r="E61" s="1489"/>
      <c r="F61" s="1489"/>
      <c r="G61" s="1489"/>
      <c r="H61" s="1489"/>
      <c r="I61" s="1489"/>
      <c r="J61" s="1489"/>
      <c r="K61" s="1489"/>
      <c r="L61" s="1733"/>
      <c r="M61" s="1489"/>
      <c r="N61" s="1489"/>
      <c r="O61" s="1489"/>
      <c r="P61" s="1489"/>
      <c r="Q61" s="1489"/>
      <c r="R61" s="1489"/>
      <c r="S61" s="1490"/>
      <c r="T61" s="1478"/>
      <c r="U61" s="1479"/>
      <c r="V61" s="1479"/>
      <c r="W61" s="1479"/>
      <c r="X61" s="1479"/>
      <c r="Y61" s="1479"/>
      <c r="Z61" s="1479"/>
      <c r="AA61" s="1479"/>
      <c r="AB61" s="1479"/>
      <c r="AC61" s="1478"/>
      <c r="AD61" s="1478"/>
      <c r="AE61" s="1478"/>
      <c r="AF61" s="1478"/>
      <c r="AG61" s="1479"/>
      <c r="AH61" s="1507"/>
      <c r="AI61" s="1479"/>
      <c r="AJ61" s="1704"/>
      <c r="AK61" s="1478"/>
      <c r="AL61" s="1479"/>
      <c r="AM61" s="1479"/>
      <c r="AN61" s="1479"/>
      <c r="AO61" s="1479"/>
      <c r="AP61" s="1479"/>
      <c r="AQ61" s="1479"/>
      <c r="AR61" s="1479"/>
      <c r="AS61" s="1479"/>
      <c r="AT61" s="1479"/>
      <c r="AU61" s="1479"/>
      <c r="AV61" s="1480"/>
      <c r="AW61" s="1479"/>
      <c r="AX61" s="1480"/>
      <c r="AY61" s="1479"/>
      <c r="AZ61" s="1479"/>
      <c r="BA61" s="1704"/>
      <c r="BB61" s="1478"/>
      <c r="BC61" s="1479"/>
      <c r="BD61" s="1479"/>
      <c r="BE61" s="1479"/>
      <c r="BF61" s="1479"/>
      <c r="BG61" s="1479"/>
      <c r="BH61" s="1479"/>
      <c r="BI61" s="1479"/>
      <c r="BJ61" s="1479"/>
      <c r="BK61" s="1682"/>
      <c r="BL61" s="1479"/>
      <c r="BM61" s="1479"/>
      <c r="BN61" s="1479"/>
      <c r="BO61" s="1479"/>
      <c r="BP61" s="1479"/>
      <c r="BQ61" s="1479"/>
      <c r="BR61" s="1481"/>
      <c r="BS61" s="1446"/>
      <c r="BT61" s="1447"/>
      <c r="BU61" s="1447"/>
      <c r="BV61" s="1447"/>
      <c r="BW61" s="1447"/>
      <c r="BX61" s="1447"/>
      <c r="BY61" s="1447"/>
      <c r="BZ61" s="1447"/>
      <c r="CA61" s="1447"/>
      <c r="CB61" s="1447"/>
      <c r="CC61" s="1447"/>
      <c r="CD61" s="1447"/>
      <c r="CE61" s="1447"/>
      <c r="CF61" s="1447"/>
      <c r="CG61" s="1447"/>
      <c r="CH61" s="1447"/>
      <c r="CI61" s="1448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5" t="s">
        <v>78</v>
      </c>
      <c r="B62" s="1483" t="s">
        <v>63</v>
      </c>
      <c r="C62" s="1488"/>
      <c r="D62" s="1489"/>
      <c r="E62" s="1489"/>
      <c r="F62" s="1489"/>
      <c r="G62" s="1489"/>
      <c r="H62" s="1489"/>
      <c r="I62" s="1489"/>
      <c r="J62" s="1489"/>
      <c r="K62" s="1489"/>
      <c r="L62" s="1733"/>
      <c r="M62" s="1489"/>
      <c r="N62" s="1489"/>
      <c r="O62" s="1489"/>
      <c r="P62" s="1489"/>
      <c r="Q62" s="1489"/>
      <c r="R62" s="1489"/>
      <c r="S62" s="1490"/>
      <c r="T62" s="1478"/>
      <c r="U62" s="1479"/>
      <c r="V62" s="1479"/>
      <c r="W62" s="1479"/>
      <c r="X62" s="1479"/>
      <c r="Y62" s="1479"/>
      <c r="Z62" s="1479"/>
      <c r="AA62" s="1479"/>
      <c r="AB62" s="1479"/>
      <c r="AC62" s="1478"/>
      <c r="AD62" s="1478"/>
      <c r="AE62" s="1478"/>
      <c r="AF62" s="1478"/>
      <c r="AG62" s="1479"/>
      <c r="AH62" s="1507"/>
      <c r="AI62" s="1479"/>
      <c r="AJ62" s="1704"/>
      <c r="AK62" s="1478"/>
      <c r="AL62" s="1479"/>
      <c r="AM62" s="1479"/>
      <c r="AN62" s="1479"/>
      <c r="AO62" s="1479"/>
      <c r="AP62" s="1479"/>
      <c r="AQ62" s="1479"/>
      <c r="AR62" s="1479"/>
      <c r="AS62" s="1479"/>
      <c r="AT62" s="1479"/>
      <c r="AU62" s="1479"/>
      <c r="AV62" s="1480"/>
      <c r="AW62" s="1479"/>
      <c r="AX62" s="1480"/>
      <c r="AY62" s="1479"/>
      <c r="AZ62" s="1479"/>
      <c r="BA62" s="1704"/>
      <c r="BB62" s="1478"/>
      <c r="BC62" s="1479"/>
      <c r="BD62" s="1479"/>
      <c r="BE62" s="1479"/>
      <c r="BF62" s="1479"/>
      <c r="BG62" s="1479"/>
      <c r="BH62" s="1479"/>
      <c r="BI62" s="1479"/>
      <c r="BJ62" s="1479"/>
      <c r="BK62" s="1682"/>
      <c r="BL62" s="1479"/>
      <c r="BM62" s="1479"/>
      <c r="BN62" s="1479"/>
      <c r="BO62" s="1479"/>
      <c r="BP62" s="1479"/>
      <c r="BQ62" s="1479"/>
      <c r="BR62" s="1481"/>
      <c r="BS62" s="1446"/>
      <c r="BT62" s="1447"/>
      <c r="BU62" s="1447"/>
      <c r="BV62" s="1447"/>
      <c r="BW62" s="1447"/>
      <c r="BX62" s="1447"/>
      <c r="BY62" s="1447"/>
      <c r="BZ62" s="1447"/>
      <c r="CA62" s="1447"/>
      <c r="CB62" s="1447"/>
      <c r="CC62" s="1447"/>
      <c r="CD62" s="1447"/>
      <c r="CE62" s="1447"/>
      <c r="CF62" s="1447"/>
      <c r="CG62" s="1447"/>
      <c r="CH62" s="1447"/>
      <c r="CI62" s="1448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5" t="s">
        <v>79</v>
      </c>
      <c r="B63" s="1483" t="s">
        <v>63</v>
      </c>
      <c r="C63" s="1488"/>
      <c r="D63" s="1489"/>
      <c r="E63" s="1489"/>
      <c r="F63" s="1489"/>
      <c r="G63" s="1489"/>
      <c r="H63" s="1489"/>
      <c r="I63" s="1489"/>
      <c r="J63" s="1489"/>
      <c r="K63" s="1489"/>
      <c r="L63" s="1733"/>
      <c r="M63" s="1489"/>
      <c r="N63" s="1489"/>
      <c r="O63" s="1489"/>
      <c r="P63" s="1489"/>
      <c r="Q63" s="1489"/>
      <c r="R63" s="1489"/>
      <c r="S63" s="1490"/>
      <c r="T63" s="1478"/>
      <c r="U63" s="1479"/>
      <c r="V63" s="1479"/>
      <c r="W63" s="1479"/>
      <c r="X63" s="1479"/>
      <c r="Y63" s="1479"/>
      <c r="Z63" s="1479"/>
      <c r="AA63" s="1479"/>
      <c r="AB63" s="1479"/>
      <c r="AC63" s="1478"/>
      <c r="AD63" s="1478"/>
      <c r="AE63" s="1478"/>
      <c r="AF63" s="1478"/>
      <c r="AG63" s="1479"/>
      <c r="AH63" s="1507"/>
      <c r="AI63" s="1479"/>
      <c r="AJ63" s="1704"/>
      <c r="AK63" s="1478"/>
      <c r="AL63" s="1479"/>
      <c r="AM63" s="1479"/>
      <c r="AN63" s="1479"/>
      <c r="AO63" s="1479"/>
      <c r="AP63" s="1479"/>
      <c r="AQ63" s="1479"/>
      <c r="AR63" s="1479"/>
      <c r="AS63" s="1479"/>
      <c r="AT63" s="1479"/>
      <c r="AU63" s="1479"/>
      <c r="AV63" s="1480"/>
      <c r="AW63" s="1479"/>
      <c r="AX63" s="1480"/>
      <c r="AY63" s="1479"/>
      <c r="AZ63" s="1479"/>
      <c r="BA63" s="1704"/>
      <c r="BB63" s="1478"/>
      <c r="BC63" s="1479"/>
      <c r="BD63" s="1479"/>
      <c r="BE63" s="1479"/>
      <c r="BF63" s="1479"/>
      <c r="BG63" s="1479"/>
      <c r="BH63" s="1479"/>
      <c r="BI63" s="1479"/>
      <c r="BJ63" s="1479"/>
      <c r="BK63" s="1682"/>
      <c r="BL63" s="1479"/>
      <c r="BM63" s="1479"/>
      <c r="BN63" s="1479"/>
      <c r="BO63" s="1479"/>
      <c r="BP63" s="1479"/>
      <c r="BQ63" s="1479"/>
      <c r="BR63" s="1481"/>
      <c r="BS63" s="1446"/>
      <c r="BT63" s="1447"/>
      <c r="BU63" s="1447"/>
      <c r="BV63" s="1447"/>
      <c r="BW63" s="1447"/>
      <c r="BX63" s="1447"/>
      <c r="BY63" s="1447"/>
      <c r="BZ63" s="1447"/>
      <c r="CA63" s="1447"/>
      <c r="CB63" s="1447"/>
      <c r="CC63" s="1447"/>
      <c r="CD63" s="1447"/>
      <c r="CE63" s="1447"/>
      <c r="CF63" s="1447"/>
      <c r="CG63" s="1447"/>
      <c r="CH63" s="1447"/>
      <c r="CI63" s="1448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5" t="s">
        <v>80</v>
      </c>
      <c r="B64" s="1483" t="s">
        <v>63</v>
      </c>
      <c r="C64" s="1488"/>
      <c r="D64" s="1489"/>
      <c r="E64" s="1489"/>
      <c r="F64" s="1489"/>
      <c r="G64" s="1489"/>
      <c r="H64" s="1489"/>
      <c r="I64" s="1489"/>
      <c r="J64" s="1489"/>
      <c r="K64" s="1489"/>
      <c r="L64" s="1733"/>
      <c r="M64" s="1489"/>
      <c r="N64" s="1489"/>
      <c r="O64" s="1489"/>
      <c r="P64" s="1489"/>
      <c r="Q64" s="1489"/>
      <c r="R64" s="1489"/>
      <c r="S64" s="1490"/>
      <c r="T64" s="1478"/>
      <c r="U64" s="1479"/>
      <c r="V64" s="1479"/>
      <c r="W64" s="1479"/>
      <c r="X64" s="1479"/>
      <c r="Y64" s="1479"/>
      <c r="Z64" s="1479"/>
      <c r="AA64" s="1479"/>
      <c r="AB64" s="1479"/>
      <c r="AC64" s="1478"/>
      <c r="AD64" s="1478"/>
      <c r="AE64" s="1478"/>
      <c r="AF64" s="1478"/>
      <c r="AG64" s="1479"/>
      <c r="AH64" s="1507"/>
      <c r="AI64" s="1479"/>
      <c r="AJ64" s="1704"/>
      <c r="AK64" s="1478"/>
      <c r="AL64" s="1479"/>
      <c r="AM64" s="1479"/>
      <c r="AN64" s="1479"/>
      <c r="AO64" s="1479"/>
      <c r="AP64" s="1479"/>
      <c r="AQ64" s="1479"/>
      <c r="AR64" s="1479"/>
      <c r="AS64" s="1479"/>
      <c r="AT64" s="1479"/>
      <c r="AU64" s="1479"/>
      <c r="AV64" s="1480"/>
      <c r="AW64" s="1479"/>
      <c r="AX64" s="1480"/>
      <c r="AY64" s="1479"/>
      <c r="AZ64" s="1479"/>
      <c r="BA64" s="1704"/>
      <c r="BB64" s="1478"/>
      <c r="BC64" s="1479"/>
      <c r="BD64" s="1479"/>
      <c r="BE64" s="1479"/>
      <c r="BF64" s="1479"/>
      <c r="BG64" s="1479"/>
      <c r="BH64" s="1479"/>
      <c r="BI64" s="1479"/>
      <c r="BJ64" s="1479"/>
      <c r="BK64" s="1682"/>
      <c r="BL64" s="1479"/>
      <c r="BM64" s="1479"/>
      <c r="BN64" s="1479"/>
      <c r="BO64" s="1479"/>
      <c r="BP64" s="1479"/>
      <c r="BQ64" s="1479"/>
      <c r="BR64" s="1481"/>
      <c r="BS64" s="1446"/>
      <c r="BT64" s="1447"/>
      <c r="BU64" s="1447"/>
      <c r="BV64" s="1447"/>
      <c r="BW64" s="1447"/>
      <c r="BX64" s="1447"/>
      <c r="BY64" s="1447"/>
      <c r="BZ64" s="1447"/>
      <c r="CA64" s="1447"/>
      <c r="CB64" s="1447"/>
      <c r="CC64" s="1447"/>
      <c r="CD64" s="1447"/>
      <c r="CE64" s="1447"/>
      <c r="CF64" s="1447"/>
      <c r="CG64" s="1447"/>
      <c r="CH64" s="1447"/>
      <c r="CI64" s="1448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8" t="s">
        <v>81</v>
      </c>
      <c r="B65" s="1495" t="s">
        <v>63</v>
      </c>
      <c r="C65" s="1496">
        <f>SUM(C58,C60,-C61,-C62,-C63,C64)</f>
        <v>0</v>
      </c>
      <c r="D65" s="1496" t="str">
        <f t="shared" ref="D65:T65" si="85">IF(D58="","",SUM(D58,D60,-D61,-D62,-D63,D64))</f>
        <v/>
      </c>
      <c r="E65" s="1497" t="str">
        <f t="shared" si="85"/>
        <v/>
      </c>
      <c r="F65" s="1497" t="str">
        <f t="shared" si="85"/>
        <v/>
      </c>
      <c r="G65" s="1497" t="str">
        <f t="shared" si="85"/>
        <v/>
      </c>
      <c r="H65" s="1497" t="str">
        <f t="shared" si="85"/>
        <v/>
      </c>
      <c r="I65" s="1497" t="str">
        <f t="shared" si="85"/>
        <v/>
      </c>
      <c r="J65" s="1497" t="str">
        <f t="shared" si="85"/>
        <v/>
      </c>
      <c r="K65" s="1497" t="str">
        <f t="shared" si="85"/>
        <v/>
      </c>
      <c r="L65" s="1684" t="str">
        <f t="shared" si="85"/>
        <v/>
      </c>
      <c r="M65" s="1497" t="str">
        <f t="shared" si="85"/>
        <v/>
      </c>
      <c r="N65" s="1497" t="str">
        <f t="shared" si="85"/>
        <v/>
      </c>
      <c r="O65" s="1497" t="str">
        <f t="shared" si="85"/>
        <v/>
      </c>
      <c r="P65" s="1497" t="str">
        <f t="shared" si="85"/>
        <v/>
      </c>
      <c r="Q65" s="1497" t="str">
        <f t="shared" si="85"/>
        <v/>
      </c>
      <c r="R65" s="1497" t="str">
        <f t="shared" si="85"/>
        <v/>
      </c>
      <c r="S65" s="1497" t="str">
        <f t="shared" si="85"/>
        <v/>
      </c>
      <c r="T65" s="1497" t="str">
        <f t="shared" si="85"/>
        <v/>
      </c>
      <c r="U65" s="1497"/>
      <c r="V65" s="1497"/>
      <c r="W65" s="1497"/>
      <c r="X65" s="1497"/>
      <c r="Y65" s="1497"/>
      <c r="Z65" s="1497"/>
      <c r="AA65" s="1497"/>
      <c r="AB65" s="1497"/>
      <c r="AC65" s="1496"/>
      <c r="AD65" s="1496"/>
      <c r="AE65" s="1496"/>
      <c r="AF65" s="1496"/>
      <c r="AG65" s="1497"/>
      <c r="AH65" s="1508"/>
      <c r="AI65" s="1497"/>
      <c r="AJ65" s="1706"/>
      <c r="AK65" s="1496"/>
      <c r="AL65" s="1497"/>
      <c r="AM65" s="1497"/>
      <c r="AN65" s="1497"/>
      <c r="AO65" s="1497"/>
      <c r="AP65" s="1497"/>
      <c r="AQ65" s="1497"/>
      <c r="AR65" s="1497"/>
      <c r="AS65" s="1497"/>
      <c r="AT65" s="1497"/>
      <c r="AU65" s="1497"/>
      <c r="AV65" s="1498"/>
      <c r="AW65" s="1497"/>
      <c r="AX65" s="1498"/>
      <c r="AY65" s="1497"/>
      <c r="AZ65" s="1497"/>
      <c r="BA65" s="1706"/>
      <c r="BB65" s="1496"/>
      <c r="BC65" s="1497"/>
      <c r="BD65" s="1497"/>
      <c r="BE65" s="1497"/>
      <c r="BF65" s="1497"/>
      <c r="BG65" s="1497"/>
      <c r="BH65" s="1497"/>
      <c r="BI65" s="1497"/>
      <c r="BJ65" s="1497"/>
      <c r="BK65" s="1684"/>
      <c r="BL65" s="1497"/>
      <c r="BM65" s="1497"/>
      <c r="BN65" s="1497"/>
      <c r="BO65" s="1497"/>
      <c r="BP65" s="1497"/>
      <c r="BQ65" s="1497"/>
      <c r="BR65" s="1499"/>
      <c r="BS65" s="1496" t="str">
        <f>IF(BS58="","",SUM(BS58,BS60,-BS61,-BS62,-BS63,BS64))</f>
        <v/>
      </c>
      <c r="BT65" s="1497" t="str">
        <f>IF(BT58="","",SUM(BT58,BT60,-BT61,-BT62,-BT63,BT64))</f>
        <v/>
      </c>
      <c r="BU65" s="1497" t="str">
        <f>IF(BU58="","",SUM(BU58,BU60,-BU61,-BU62,-BU63,BU64))</f>
        <v/>
      </c>
      <c r="BV65" s="1497" t="str">
        <f>IF(BV58="","",SUM(BV58,BV60,-BV61,-BV62,-BV63,BV64))</f>
        <v/>
      </c>
      <c r="BW65" s="1497"/>
      <c r="BX65" s="1497"/>
      <c r="BY65" s="1497" t="str">
        <f t="shared" ref="BY65:CI65" si="86">IF(BY58="","",SUM(BY58,BY60,-BY61,-BY62,-BY63,BY64))</f>
        <v/>
      </c>
      <c r="BZ65" s="1497" t="str">
        <f t="shared" si="86"/>
        <v/>
      </c>
      <c r="CA65" s="1497" t="str">
        <f t="shared" si="86"/>
        <v/>
      </c>
      <c r="CB65" s="1497" t="str">
        <f t="shared" si="86"/>
        <v/>
      </c>
      <c r="CC65" s="1497" t="str">
        <f t="shared" si="86"/>
        <v/>
      </c>
      <c r="CD65" s="1497" t="str">
        <f t="shared" si="86"/>
        <v/>
      </c>
      <c r="CE65" s="1497" t="str">
        <f t="shared" si="86"/>
        <v/>
      </c>
      <c r="CF65" s="1497" t="str">
        <f t="shared" si="86"/>
        <v/>
      </c>
      <c r="CG65" s="1497" t="str">
        <f t="shared" si="86"/>
        <v/>
      </c>
      <c r="CH65" s="1497" t="str">
        <f t="shared" si="86"/>
        <v/>
      </c>
      <c r="CI65" s="1497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8" t="s">
        <v>834</v>
      </c>
      <c r="B66" s="1421" t="str">
        <f>$B$9</f>
        <v>VP</v>
      </c>
      <c r="C66" s="1466">
        <v>0</v>
      </c>
      <c r="D66" s="1400">
        <v>0</v>
      </c>
      <c r="E66" s="1400">
        <v>0</v>
      </c>
      <c r="F66" s="1400">
        <v>0</v>
      </c>
      <c r="G66" s="1400"/>
      <c r="H66" s="1400"/>
      <c r="I66" s="1400"/>
      <c r="J66" s="1400"/>
      <c r="K66" s="1400">
        <v>0</v>
      </c>
      <c r="L66" s="1729"/>
      <c r="M66" s="1400"/>
      <c r="N66" s="1400"/>
      <c r="O66" s="1400"/>
      <c r="P66" s="1400"/>
      <c r="Q66" s="1400"/>
      <c r="R66" s="1400"/>
      <c r="S66" s="1401"/>
      <c r="T66" s="1473"/>
      <c r="U66" s="1474"/>
      <c r="V66" s="1474"/>
      <c r="W66" s="1474"/>
      <c r="X66" s="1474"/>
      <c r="Y66" s="1474"/>
      <c r="Z66" s="1474"/>
      <c r="AA66" s="1474"/>
      <c r="AB66" s="1474"/>
      <c r="AC66" s="1509"/>
      <c r="AD66" s="1509"/>
      <c r="AE66" s="1509"/>
      <c r="AF66" s="1509"/>
      <c r="AG66" s="1474"/>
      <c r="AH66" s="1476"/>
      <c r="AI66" s="1474"/>
      <c r="AJ66" s="1709"/>
      <c r="AK66" s="1478"/>
      <c r="AL66" s="1479"/>
      <c r="AM66" s="1479"/>
      <c r="AN66" s="1479"/>
      <c r="AO66" s="1479"/>
      <c r="AP66" s="1479"/>
      <c r="AQ66" s="1479"/>
      <c r="AR66" s="1479"/>
      <c r="AS66" s="1479"/>
      <c r="AT66" s="1479"/>
      <c r="AU66" s="1479"/>
      <c r="AV66" s="1480"/>
      <c r="AW66" s="1479"/>
      <c r="AX66" s="1480"/>
      <c r="AY66" s="1479"/>
      <c r="AZ66" s="1479"/>
      <c r="BA66" s="1704"/>
      <c r="BB66" s="1478"/>
      <c r="BC66" s="1479"/>
      <c r="BD66" s="1479"/>
      <c r="BE66" s="1479"/>
      <c r="BF66" s="1479"/>
      <c r="BG66" s="1479"/>
      <c r="BH66" s="1479"/>
      <c r="BI66" s="1479"/>
      <c r="BJ66" s="1479"/>
      <c r="BK66" s="1682"/>
      <c r="BL66" s="1479"/>
      <c r="BM66" s="1479"/>
      <c r="BN66" s="1479"/>
      <c r="BO66" s="1479"/>
      <c r="BP66" s="1479"/>
      <c r="BQ66" s="1479"/>
      <c r="BR66" s="1481"/>
      <c r="BS66" s="1478"/>
      <c r="BT66" s="1479"/>
      <c r="BU66" s="1479"/>
      <c r="BV66" s="1479"/>
      <c r="BW66" s="1479"/>
      <c r="BX66" s="1479"/>
      <c r="BY66" s="1479"/>
      <c r="BZ66" s="1482"/>
      <c r="CA66" s="1479"/>
      <c r="CB66" s="1479"/>
      <c r="CC66" s="1479"/>
      <c r="CD66" s="1479"/>
      <c r="CE66" s="1479"/>
      <c r="CF66" s="1479"/>
      <c r="CG66" s="1479"/>
      <c r="CH66" s="1479"/>
      <c r="CI66" s="1481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5"/>
      <c r="B67" s="1430" t="str">
        <f>$B$10</f>
        <v>P</v>
      </c>
      <c r="C67" s="1466">
        <v>0</v>
      </c>
      <c r="D67" s="1400">
        <v>0</v>
      </c>
      <c r="E67" s="1400">
        <v>0</v>
      </c>
      <c r="F67" s="1400">
        <v>0</v>
      </c>
      <c r="G67" s="1400"/>
      <c r="H67" s="1400"/>
      <c r="I67" s="1400"/>
      <c r="J67" s="1400"/>
      <c r="K67" s="1400">
        <v>0</v>
      </c>
      <c r="L67" s="1729"/>
      <c r="M67" s="1400"/>
      <c r="N67" s="1400"/>
      <c r="O67" s="1400"/>
      <c r="P67" s="1400"/>
      <c r="Q67" s="1400"/>
      <c r="R67" s="1400"/>
      <c r="S67" s="1401"/>
      <c r="T67" s="1491"/>
      <c r="U67" s="1492"/>
      <c r="V67" s="1492"/>
      <c r="W67" s="1492"/>
      <c r="X67" s="1492"/>
      <c r="Y67" s="1492"/>
      <c r="Z67" s="1492"/>
      <c r="AA67" s="1492"/>
      <c r="AB67" s="1492"/>
      <c r="AC67" s="1493"/>
      <c r="AD67" s="1493"/>
      <c r="AE67" s="1493"/>
      <c r="AF67" s="1493"/>
      <c r="AG67" s="1492"/>
      <c r="AH67" s="1504"/>
      <c r="AI67" s="1492"/>
      <c r="AJ67" s="1705"/>
      <c r="AK67" s="1397"/>
      <c r="AL67" s="1399"/>
      <c r="AM67" s="1399"/>
      <c r="AN67" s="1474"/>
      <c r="AO67" s="1474"/>
      <c r="AP67" s="1474"/>
      <c r="AQ67" s="1474"/>
      <c r="AR67" s="1474"/>
      <c r="AS67" s="1474"/>
      <c r="AT67" s="1474"/>
      <c r="AU67" s="1474"/>
      <c r="AV67" s="1509"/>
      <c r="AW67" s="1474"/>
      <c r="AX67" s="1509"/>
      <c r="AY67" s="1474"/>
      <c r="AZ67" s="1474"/>
      <c r="BA67" s="1709"/>
      <c r="BB67" s="1478"/>
      <c r="BC67" s="1479"/>
      <c r="BD67" s="1479"/>
      <c r="BE67" s="1479"/>
      <c r="BF67" s="1479"/>
      <c r="BG67" s="1479"/>
      <c r="BH67" s="1479"/>
      <c r="BI67" s="1479"/>
      <c r="BJ67" s="1479"/>
      <c r="BK67" s="1682"/>
      <c r="BL67" s="1479"/>
      <c r="BM67" s="1479"/>
      <c r="BN67" s="1479"/>
      <c r="BO67" s="1479"/>
      <c r="BP67" s="1479"/>
      <c r="BQ67" s="1479"/>
      <c r="BR67" s="1481"/>
      <c r="BS67" s="1478"/>
      <c r="BT67" s="1479"/>
      <c r="BU67" s="1479"/>
      <c r="BV67" s="1479"/>
      <c r="BW67" s="1479"/>
      <c r="BX67" s="1479"/>
      <c r="BY67" s="1479"/>
      <c r="BZ67" s="1482"/>
      <c r="CA67" s="1479"/>
      <c r="CB67" s="1479"/>
      <c r="CC67" s="1479"/>
      <c r="CD67" s="1479"/>
      <c r="CE67" s="1479"/>
      <c r="CF67" s="1479"/>
      <c r="CG67" s="1479"/>
      <c r="CH67" s="1479"/>
      <c r="CI67" s="1481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5"/>
      <c r="B68" s="1430" t="str">
        <f>$B$11</f>
        <v>M</v>
      </c>
      <c r="C68" s="1466">
        <v>2</v>
      </c>
      <c r="D68" s="1400">
        <v>2</v>
      </c>
      <c r="E68" s="1400">
        <v>2</v>
      </c>
      <c r="F68" s="1400">
        <v>0</v>
      </c>
      <c r="G68" s="1400"/>
      <c r="H68" s="1400"/>
      <c r="I68" s="1400">
        <v>4</v>
      </c>
      <c r="J68" s="1400">
        <v>2</v>
      </c>
      <c r="K68" s="1400">
        <v>0</v>
      </c>
      <c r="L68" s="1729"/>
      <c r="M68" s="1400"/>
      <c r="N68" s="1400"/>
      <c r="O68" s="1400"/>
      <c r="P68" s="1400"/>
      <c r="Q68" s="1400"/>
      <c r="R68" s="1400"/>
      <c r="S68" s="1401"/>
      <c r="T68" s="1491"/>
      <c r="U68" s="1492"/>
      <c r="V68" s="1492"/>
      <c r="W68" s="1492"/>
      <c r="X68" s="1492"/>
      <c r="Y68" s="1492"/>
      <c r="Z68" s="1492"/>
      <c r="AA68" s="1492"/>
      <c r="AB68" s="1492"/>
      <c r="AC68" s="1493"/>
      <c r="AD68" s="1493"/>
      <c r="AE68" s="1493"/>
      <c r="AF68" s="1493"/>
      <c r="AG68" s="1492"/>
      <c r="AH68" s="1504"/>
      <c r="AI68" s="1492"/>
      <c r="AJ68" s="1705"/>
      <c r="AK68" s="1491"/>
      <c r="AL68" s="1492"/>
      <c r="AM68" s="1492"/>
      <c r="AN68" s="1492"/>
      <c r="AO68" s="1492"/>
      <c r="AP68" s="1492"/>
      <c r="AQ68" s="1492"/>
      <c r="AR68" s="1492"/>
      <c r="AS68" s="1492"/>
      <c r="AT68" s="1492"/>
      <c r="AU68" s="1492"/>
      <c r="AV68" s="1493"/>
      <c r="AW68" s="1492"/>
      <c r="AX68" s="1493"/>
      <c r="AY68" s="1492"/>
      <c r="AZ68" s="1492"/>
      <c r="BA68" s="1705"/>
      <c r="BB68" s="1473">
        <v>4</v>
      </c>
      <c r="BC68" s="1474">
        <v>2</v>
      </c>
      <c r="BD68" s="1474"/>
      <c r="BE68" s="1474"/>
      <c r="BF68" s="1474"/>
      <c r="BG68" s="1474"/>
      <c r="BH68" s="1474">
        <v>1</v>
      </c>
      <c r="BI68" s="1474">
        <v>2</v>
      </c>
      <c r="BJ68" s="1474"/>
      <c r="BK68" s="1686"/>
      <c r="BL68" s="1474"/>
      <c r="BM68" s="1509"/>
      <c r="BN68" s="1474"/>
      <c r="BO68" s="1509"/>
      <c r="BP68" s="1474"/>
      <c r="BQ68" s="1509"/>
      <c r="BR68" s="1477"/>
      <c r="BS68" s="1478"/>
      <c r="BT68" s="1479"/>
      <c r="BU68" s="1479"/>
      <c r="BV68" s="1479"/>
      <c r="BW68" s="1479"/>
      <c r="BX68" s="1479"/>
      <c r="BY68" s="1479"/>
      <c r="BZ68" s="1482"/>
      <c r="CA68" s="1479"/>
      <c r="CB68" s="1479"/>
      <c r="CC68" s="1479"/>
      <c r="CD68" s="1479"/>
      <c r="CE68" s="1479"/>
      <c r="CF68" s="1479"/>
      <c r="CG68" s="1479"/>
      <c r="CH68" s="1479"/>
      <c r="CI68" s="1481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0"/>
      <c r="B69" s="1449" t="str">
        <f>$B$12</f>
        <v>BO</v>
      </c>
      <c r="C69" s="1511">
        <v>4</v>
      </c>
      <c r="D69" s="1512">
        <v>2</v>
      </c>
      <c r="E69" s="1512">
        <v>3</v>
      </c>
      <c r="F69" s="1512">
        <v>0</v>
      </c>
      <c r="G69" s="1512"/>
      <c r="H69" s="1512"/>
      <c r="I69" s="1512">
        <v>15</v>
      </c>
      <c r="J69" s="1512">
        <v>4</v>
      </c>
      <c r="K69" s="1512">
        <v>2</v>
      </c>
      <c r="L69" s="1735"/>
      <c r="M69" s="1512"/>
      <c r="N69" s="1512"/>
      <c r="O69" s="1512"/>
      <c r="P69" s="1512"/>
      <c r="Q69" s="1512"/>
      <c r="R69" s="1512"/>
      <c r="S69" s="1513"/>
      <c r="T69" s="1514"/>
      <c r="U69" s="1515"/>
      <c r="V69" s="1515"/>
      <c r="W69" s="1515"/>
      <c r="X69" s="1515"/>
      <c r="Y69" s="1515"/>
      <c r="Z69" s="1515"/>
      <c r="AA69" s="1515"/>
      <c r="AB69" s="1515"/>
      <c r="AC69" s="1516"/>
      <c r="AD69" s="1516"/>
      <c r="AE69" s="1516"/>
      <c r="AF69" s="1516"/>
      <c r="AG69" s="1515"/>
      <c r="AH69" s="1508"/>
      <c r="AI69" s="1515"/>
      <c r="AJ69" s="1710"/>
      <c r="AK69" s="1514"/>
      <c r="AL69" s="1515"/>
      <c r="AM69" s="1515"/>
      <c r="AN69" s="1515"/>
      <c r="AO69" s="1515"/>
      <c r="AP69" s="1515"/>
      <c r="AQ69" s="1515"/>
      <c r="AR69" s="1515"/>
      <c r="AS69" s="1515"/>
      <c r="AT69" s="1515"/>
      <c r="AU69" s="1515"/>
      <c r="AV69" s="1516"/>
      <c r="AW69" s="1515"/>
      <c r="AX69" s="1516"/>
      <c r="AY69" s="1515"/>
      <c r="AZ69" s="1515"/>
      <c r="BA69" s="1710"/>
      <c r="BB69" s="1514"/>
      <c r="BC69" s="1515"/>
      <c r="BD69" s="1515"/>
      <c r="BE69" s="1515"/>
      <c r="BF69" s="1515"/>
      <c r="BG69" s="1515"/>
      <c r="BH69" s="1515"/>
      <c r="BI69" s="1515"/>
      <c r="BJ69" s="1515"/>
      <c r="BK69" s="1687"/>
      <c r="BL69" s="1515"/>
      <c r="BM69" s="1515"/>
      <c r="BN69" s="1515"/>
      <c r="BO69" s="1515"/>
      <c r="BP69" s="1515"/>
      <c r="BQ69" s="1515"/>
      <c r="BR69" s="1517"/>
      <c r="BS69" s="1518">
        <v>2</v>
      </c>
      <c r="BT69" s="1434">
        <v>2</v>
      </c>
      <c r="BU69" s="1434">
        <v>6</v>
      </c>
      <c r="BV69" s="1434">
        <v>0</v>
      </c>
      <c r="BW69" s="1434"/>
      <c r="BX69" s="1434"/>
      <c r="BY69" s="1434"/>
      <c r="BZ69" s="1434">
        <v>4</v>
      </c>
      <c r="CA69" s="1434">
        <v>2</v>
      </c>
      <c r="CB69" s="1434"/>
      <c r="CC69" s="1434"/>
      <c r="CD69" s="1434"/>
      <c r="CE69" s="1434"/>
      <c r="CF69" s="1463"/>
      <c r="CG69" s="1434"/>
      <c r="CH69" s="1434"/>
      <c r="CI69" s="1435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4" t="s">
        <v>835</v>
      </c>
      <c r="B70" s="1421" t="str">
        <f t="shared" ref="B70:B77" si="90">$B$9</f>
        <v>VP</v>
      </c>
      <c r="C70" s="1501">
        <v>0</v>
      </c>
      <c r="D70" s="1502">
        <v>0</v>
      </c>
      <c r="E70" s="1502">
        <v>0</v>
      </c>
      <c r="F70" s="1502">
        <v>0</v>
      </c>
      <c r="G70" s="1502"/>
      <c r="H70" s="1502"/>
      <c r="I70" s="1502"/>
      <c r="J70" s="1502"/>
      <c r="K70" s="1502">
        <v>0</v>
      </c>
      <c r="L70" s="1734"/>
      <c r="M70" s="1502"/>
      <c r="N70" s="1502"/>
      <c r="O70" s="1502"/>
      <c r="P70" s="1502"/>
      <c r="Q70" s="1502"/>
      <c r="R70" s="1502"/>
      <c r="S70" s="1503"/>
      <c r="T70" s="1446"/>
      <c r="U70" s="1461"/>
      <c r="V70" s="1461"/>
      <c r="W70" s="1461"/>
      <c r="X70" s="1461"/>
      <c r="Y70" s="1461"/>
      <c r="Z70" s="1461"/>
      <c r="AA70" s="1461"/>
      <c r="AB70" s="1461"/>
      <c r="AC70" s="1461"/>
      <c r="AD70" s="1461"/>
      <c r="AE70" s="1461"/>
      <c r="AF70" s="1461"/>
      <c r="AG70" s="1461"/>
      <c r="AH70" s="1519"/>
      <c r="AI70" s="1461"/>
      <c r="AJ70" s="1707"/>
      <c r="AK70" s="1427"/>
      <c r="AL70" s="1428"/>
      <c r="AM70" s="1428"/>
      <c r="AN70" s="1428"/>
      <c r="AO70" s="1428"/>
      <c r="AP70" s="1428"/>
      <c r="AQ70" s="1428"/>
      <c r="AR70" s="1428"/>
      <c r="AS70" s="1428"/>
      <c r="AT70" s="1428"/>
      <c r="AU70" s="1428"/>
      <c r="AV70" s="1428"/>
      <c r="AW70" s="1428"/>
      <c r="AX70" s="1428"/>
      <c r="AY70" s="1428"/>
      <c r="AZ70" s="1428"/>
      <c r="BA70" s="1711"/>
      <c r="BB70" s="1427"/>
      <c r="BC70" s="1428"/>
      <c r="BD70" s="1428"/>
      <c r="BE70" s="1428"/>
      <c r="BF70" s="1428"/>
      <c r="BG70" s="1428"/>
      <c r="BH70" s="1428"/>
      <c r="BI70" s="1428"/>
      <c r="BJ70" s="1428"/>
      <c r="BK70" s="1678"/>
      <c r="BL70" s="1428"/>
      <c r="BM70" s="1428"/>
      <c r="BN70" s="1428"/>
      <c r="BO70" s="1428"/>
      <c r="BP70" s="1428"/>
      <c r="BQ70" s="1428"/>
      <c r="BR70" s="1429"/>
      <c r="BS70" s="1427"/>
      <c r="BT70" s="1428"/>
      <c r="BU70" s="1428"/>
      <c r="BV70" s="1428"/>
      <c r="BW70" s="1428"/>
      <c r="BX70" s="1428"/>
      <c r="BY70" s="1428"/>
      <c r="BZ70" s="1428"/>
      <c r="CA70" s="1428"/>
      <c r="CB70" s="1428"/>
      <c r="CC70" s="1428"/>
      <c r="CD70" s="1428"/>
      <c r="CE70" s="1428"/>
      <c r="CF70" s="1428"/>
      <c r="CG70" s="1428"/>
      <c r="CH70" s="1428"/>
      <c r="CI70" s="1429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5" t="s">
        <v>75</v>
      </c>
      <c r="B71" s="1430" t="str">
        <f t="shared" si="90"/>
        <v>VP</v>
      </c>
      <c r="C71" s="1511">
        <v>0</v>
      </c>
      <c r="D71" s="1512">
        <v>0</v>
      </c>
      <c r="E71" s="1512">
        <v>0</v>
      </c>
      <c r="F71" s="1512">
        <v>0</v>
      </c>
      <c r="G71" s="1512"/>
      <c r="H71" s="1512"/>
      <c r="I71" s="1512"/>
      <c r="J71" s="1512"/>
      <c r="K71" s="1512">
        <v>0</v>
      </c>
      <c r="L71" s="1735"/>
      <c r="M71" s="1512"/>
      <c r="N71" s="1512"/>
      <c r="O71" s="1512"/>
      <c r="P71" s="1512"/>
      <c r="Q71" s="1512"/>
      <c r="R71" s="1512"/>
      <c r="S71" s="1513"/>
      <c r="T71" s="1446"/>
      <c r="U71" s="1447"/>
      <c r="V71" s="1447"/>
      <c r="W71" s="1447"/>
      <c r="X71" s="1447"/>
      <c r="Y71" s="1447"/>
      <c r="Z71" s="1447"/>
      <c r="AA71" s="1447"/>
      <c r="AB71" s="1447"/>
      <c r="AC71" s="1447"/>
      <c r="AD71" s="1447"/>
      <c r="AE71" s="1447"/>
      <c r="AF71" s="1447"/>
      <c r="AG71" s="1447"/>
      <c r="AH71" s="1487"/>
      <c r="AI71" s="1447"/>
      <c r="AJ71" s="1708"/>
      <c r="AK71" s="1439"/>
      <c r="AL71" s="1440"/>
      <c r="AM71" s="1440"/>
      <c r="AN71" s="1440"/>
      <c r="AO71" s="1440"/>
      <c r="AP71" s="1440"/>
      <c r="AQ71" s="1440"/>
      <c r="AR71" s="1440"/>
      <c r="AS71" s="1440"/>
      <c r="AT71" s="1440"/>
      <c r="AU71" s="1440"/>
      <c r="AV71" s="1440"/>
      <c r="AW71" s="1440"/>
      <c r="AX71" s="1440"/>
      <c r="AY71" s="1440"/>
      <c r="AZ71" s="1440"/>
      <c r="BA71" s="1712"/>
      <c r="BB71" s="1439"/>
      <c r="BC71" s="1440"/>
      <c r="BD71" s="1440"/>
      <c r="BE71" s="1440"/>
      <c r="BF71" s="1440"/>
      <c r="BG71" s="1440"/>
      <c r="BH71" s="1440"/>
      <c r="BI71" s="1440"/>
      <c r="BJ71" s="1440"/>
      <c r="BK71" s="1688"/>
      <c r="BL71" s="1440"/>
      <c r="BM71" s="1440"/>
      <c r="BN71" s="1440"/>
      <c r="BO71" s="1440"/>
      <c r="BP71" s="1440"/>
      <c r="BQ71" s="1440"/>
      <c r="BR71" s="1441"/>
      <c r="BS71" s="1439"/>
      <c r="BT71" s="1440"/>
      <c r="BU71" s="1440"/>
      <c r="BV71" s="1440"/>
      <c r="BW71" s="1440"/>
      <c r="BX71" s="1440"/>
      <c r="BY71" s="1440"/>
      <c r="BZ71" s="1440"/>
      <c r="CA71" s="1440"/>
      <c r="CB71" s="1440"/>
      <c r="CC71" s="1440"/>
      <c r="CD71" s="1440"/>
      <c r="CE71" s="1440"/>
      <c r="CF71" s="1440"/>
      <c r="CG71" s="1440"/>
      <c r="CH71" s="1440"/>
      <c r="CI71" s="1441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5" t="s">
        <v>76</v>
      </c>
      <c r="B72" s="1430" t="str">
        <f t="shared" si="90"/>
        <v>VP</v>
      </c>
      <c r="C72" s="1520"/>
      <c r="D72" s="1521"/>
      <c r="E72" s="1521"/>
      <c r="F72" s="1521"/>
      <c r="G72" s="1521"/>
      <c r="H72" s="1521"/>
      <c r="I72" s="1521"/>
      <c r="J72" s="1521"/>
      <c r="K72" s="1521"/>
      <c r="L72" s="1736"/>
      <c r="M72" s="1521"/>
      <c r="N72" s="1521"/>
      <c r="O72" s="1521"/>
      <c r="P72" s="1521"/>
      <c r="Q72" s="1521"/>
      <c r="R72" s="1521"/>
      <c r="S72" s="1522"/>
      <c r="T72" s="1446"/>
      <c r="U72" s="1447"/>
      <c r="V72" s="1447"/>
      <c r="W72" s="1447"/>
      <c r="X72" s="1447"/>
      <c r="Y72" s="1447"/>
      <c r="Z72" s="1447"/>
      <c r="AA72" s="1447"/>
      <c r="AB72" s="1447"/>
      <c r="AC72" s="1447"/>
      <c r="AD72" s="1447"/>
      <c r="AE72" s="1447"/>
      <c r="AF72" s="1447"/>
      <c r="AG72" s="1447"/>
      <c r="AH72" s="1487"/>
      <c r="AI72" s="1447"/>
      <c r="AJ72" s="1708"/>
      <c r="AK72" s="1439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712"/>
      <c r="BB72" s="1439"/>
      <c r="BC72" s="1440"/>
      <c r="BD72" s="1440"/>
      <c r="BE72" s="1440"/>
      <c r="BF72" s="1440"/>
      <c r="BG72" s="1440"/>
      <c r="BH72" s="1440"/>
      <c r="BI72" s="1440"/>
      <c r="BJ72" s="1440"/>
      <c r="BK72" s="1688"/>
      <c r="BL72" s="1440"/>
      <c r="BM72" s="1440"/>
      <c r="BN72" s="1440"/>
      <c r="BO72" s="1440"/>
      <c r="BP72" s="1440"/>
      <c r="BQ72" s="1440"/>
      <c r="BR72" s="1441"/>
      <c r="BS72" s="1439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1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5" t="s">
        <v>77</v>
      </c>
      <c r="B73" s="1430" t="str">
        <f t="shared" si="90"/>
        <v>VP</v>
      </c>
      <c r="C73" s="1523"/>
      <c r="D73" s="1524"/>
      <c r="E73" s="1524"/>
      <c r="F73" s="1524"/>
      <c r="G73" s="1524"/>
      <c r="H73" s="1524"/>
      <c r="I73" s="1524"/>
      <c r="J73" s="1524"/>
      <c r="K73" s="1524"/>
      <c r="L73" s="1737"/>
      <c r="M73" s="1524"/>
      <c r="N73" s="1524"/>
      <c r="O73" s="1524"/>
      <c r="P73" s="1524"/>
      <c r="Q73" s="1524"/>
      <c r="R73" s="1524"/>
      <c r="S73" s="1525"/>
      <c r="T73" s="1446"/>
      <c r="U73" s="1447"/>
      <c r="V73" s="1447"/>
      <c r="W73" s="1447"/>
      <c r="X73" s="1447"/>
      <c r="Y73" s="1447"/>
      <c r="Z73" s="1447"/>
      <c r="AA73" s="1447"/>
      <c r="AB73" s="1447"/>
      <c r="AC73" s="1447"/>
      <c r="AD73" s="1447"/>
      <c r="AE73" s="1447"/>
      <c r="AF73" s="1447"/>
      <c r="AG73" s="1447"/>
      <c r="AH73" s="1487"/>
      <c r="AI73" s="1447"/>
      <c r="AJ73" s="1708"/>
      <c r="AK73" s="1442"/>
      <c r="AL73" s="1443"/>
      <c r="AM73" s="1443"/>
      <c r="AN73" s="1443"/>
      <c r="AO73" s="1443"/>
      <c r="AP73" s="1443"/>
      <c r="AQ73" s="1443"/>
      <c r="AR73" s="1443"/>
      <c r="AS73" s="1443"/>
      <c r="AT73" s="1443"/>
      <c r="AU73" s="1443"/>
      <c r="AV73" s="1443"/>
      <c r="AW73" s="1443"/>
      <c r="AX73" s="1443"/>
      <c r="AY73" s="1443"/>
      <c r="AZ73" s="1443"/>
      <c r="BA73" s="1713"/>
      <c r="BB73" s="1439"/>
      <c r="BC73" s="1440"/>
      <c r="BD73" s="1440"/>
      <c r="BE73" s="1440"/>
      <c r="BF73" s="1440"/>
      <c r="BG73" s="1440"/>
      <c r="BH73" s="1440"/>
      <c r="BI73" s="1440"/>
      <c r="BJ73" s="1440"/>
      <c r="BK73" s="1688"/>
      <c r="BL73" s="1440"/>
      <c r="BM73" s="1440"/>
      <c r="BN73" s="1440"/>
      <c r="BO73" s="1440"/>
      <c r="BP73" s="1440"/>
      <c r="BQ73" s="1440"/>
      <c r="BR73" s="1441"/>
      <c r="BS73" s="1439"/>
      <c r="BT73" s="1440"/>
      <c r="BU73" s="1440"/>
      <c r="BV73" s="1440"/>
      <c r="BW73" s="1440"/>
      <c r="BX73" s="1440"/>
      <c r="BY73" s="1440"/>
      <c r="BZ73" s="1440"/>
      <c r="CA73" s="1440"/>
      <c r="CB73" s="1440"/>
      <c r="CC73" s="1440"/>
      <c r="CD73" s="1440"/>
      <c r="CE73" s="1440"/>
      <c r="CF73" s="1440"/>
      <c r="CG73" s="1440"/>
      <c r="CH73" s="1440"/>
      <c r="CI73" s="1441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5" t="s">
        <v>78</v>
      </c>
      <c r="B74" s="1430" t="str">
        <f t="shared" si="90"/>
        <v>VP</v>
      </c>
      <c r="C74" s="1523"/>
      <c r="D74" s="1524"/>
      <c r="E74" s="1524"/>
      <c r="F74" s="1524"/>
      <c r="G74" s="1524"/>
      <c r="H74" s="1524"/>
      <c r="I74" s="1524"/>
      <c r="J74" s="1524"/>
      <c r="K74" s="1524"/>
      <c r="L74" s="1737"/>
      <c r="M74" s="1524"/>
      <c r="N74" s="1524"/>
      <c r="O74" s="1524"/>
      <c r="P74" s="1524"/>
      <c r="Q74" s="1524"/>
      <c r="R74" s="1524"/>
      <c r="S74" s="1525"/>
      <c r="T74" s="1446"/>
      <c r="U74" s="1447"/>
      <c r="V74" s="1447"/>
      <c r="W74" s="1447"/>
      <c r="X74" s="1447"/>
      <c r="Y74" s="1447"/>
      <c r="Z74" s="1447"/>
      <c r="AA74" s="1447"/>
      <c r="AB74" s="1447"/>
      <c r="AC74" s="1447"/>
      <c r="AD74" s="1447"/>
      <c r="AE74" s="1447"/>
      <c r="AF74" s="1447"/>
      <c r="AG74" s="1447"/>
      <c r="AH74" s="1487"/>
      <c r="AI74" s="1447"/>
      <c r="AJ74" s="1708"/>
      <c r="AK74" s="1442"/>
      <c r="AL74" s="1443"/>
      <c r="AM74" s="1443"/>
      <c r="AN74" s="1443"/>
      <c r="AO74" s="1443"/>
      <c r="AP74" s="1443"/>
      <c r="AQ74" s="1443"/>
      <c r="AR74" s="1443"/>
      <c r="AS74" s="1443"/>
      <c r="AT74" s="1443"/>
      <c r="AU74" s="1443"/>
      <c r="AV74" s="1443"/>
      <c r="AW74" s="1443"/>
      <c r="AX74" s="1443"/>
      <c r="AY74" s="1443"/>
      <c r="AZ74" s="1443"/>
      <c r="BA74" s="1713"/>
      <c r="BB74" s="1442"/>
      <c r="BC74" s="1443"/>
      <c r="BD74" s="1443"/>
      <c r="BE74" s="1443"/>
      <c r="BF74" s="1443"/>
      <c r="BG74" s="1443"/>
      <c r="BH74" s="1443"/>
      <c r="BI74" s="1443"/>
      <c r="BJ74" s="1443"/>
      <c r="BK74" s="1689"/>
      <c r="BL74" s="1443"/>
      <c r="BM74" s="1443"/>
      <c r="BN74" s="1443"/>
      <c r="BO74" s="1443"/>
      <c r="BP74" s="1443"/>
      <c r="BQ74" s="1443"/>
      <c r="BR74" s="1445"/>
      <c r="BS74" s="1439"/>
      <c r="BT74" s="1440"/>
      <c r="BU74" s="1440"/>
      <c r="BV74" s="1440"/>
      <c r="BW74" s="1440"/>
      <c r="BX74" s="1440"/>
      <c r="BY74" s="1440"/>
      <c r="BZ74" s="1440"/>
      <c r="CA74" s="1440"/>
      <c r="CB74" s="1440"/>
      <c r="CC74" s="1440"/>
      <c r="CD74" s="1440"/>
      <c r="CE74" s="1440"/>
      <c r="CF74" s="1440"/>
      <c r="CG74" s="1440"/>
      <c r="CH74" s="1440"/>
      <c r="CI74" s="1441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5" t="s">
        <v>79</v>
      </c>
      <c r="B75" s="1430" t="str">
        <f t="shared" si="90"/>
        <v>VP</v>
      </c>
      <c r="C75" s="1523"/>
      <c r="D75" s="1524"/>
      <c r="E75" s="1524"/>
      <c r="F75" s="1524"/>
      <c r="G75" s="1524"/>
      <c r="H75" s="1524"/>
      <c r="I75" s="1524"/>
      <c r="J75" s="1524"/>
      <c r="K75" s="1524"/>
      <c r="L75" s="1737"/>
      <c r="M75" s="1524"/>
      <c r="N75" s="1524"/>
      <c r="O75" s="1524"/>
      <c r="P75" s="1524"/>
      <c r="Q75" s="1524"/>
      <c r="R75" s="1524"/>
      <c r="S75" s="1525"/>
      <c r="T75" s="1446"/>
      <c r="U75" s="1447"/>
      <c r="V75" s="1447"/>
      <c r="W75" s="1447"/>
      <c r="X75" s="1447"/>
      <c r="Y75" s="1447"/>
      <c r="Z75" s="1447"/>
      <c r="AA75" s="1447"/>
      <c r="AB75" s="1447"/>
      <c r="AC75" s="1447"/>
      <c r="AD75" s="1447"/>
      <c r="AE75" s="1447"/>
      <c r="AF75" s="1447"/>
      <c r="AG75" s="1447"/>
      <c r="AH75" s="1487"/>
      <c r="AI75" s="1447"/>
      <c r="AJ75" s="1708"/>
      <c r="AK75" s="1442"/>
      <c r="AL75" s="1443"/>
      <c r="AM75" s="1443"/>
      <c r="AN75" s="1443"/>
      <c r="AO75" s="1443"/>
      <c r="AP75" s="1443"/>
      <c r="AQ75" s="1443"/>
      <c r="AR75" s="1443"/>
      <c r="AS75" s="1443"/>
      <c r="AT75" s="1443"/>
      <c r="AU75" s="1443"/>
      <c r="AV75" s="1443"/>
      <c r="AW75" s="1443"/>
      <c r="AX75" s="1443"/>
      <c r="AY75" s="1443"/>
      <c r="AZ75" s="1443"/>
      <c r="BA75" s="1713"/>
      <c r="BB75" s="1442"/>
      <c r="BC75" s="1443"/>
      <c r="BD75" s="1443"/>
      <c r="BE75" s="1443"/>
      <c r="BF75" s="1443"/>
      <c r="BG75" s="1443"/>
      <c r="BH75" s="1443"/>
      <c r="BI75" s="1443"/>
      <c r="BJ75" s="1443"/>
      <c r="BK75" s="1689"/>
      <c r="BL75" s="1443"/>
      <c r="BM75" s="1443"/>
      <c r="BN75" s="1443"/>
      <c r="BO75" s="1443"/>
      <c r="BP75" s="1443"/>
      <c r="BQ75" s="1443"/>
      <c r="BR75" s="1445"/>
      <c r="BS75" s="1439"/>
      <c r="BT75" s="1440"/>
      <c r="BU75" s="1440"/>
      <c r="BV75" s="1440"/>
      <c r="BW75" s="1440"/>
      <c r="BX75" s="1440"/>
      <c r="BY75" s="1440"/>
      <c r="BZ75" s="1440"/>
      <c r="CA75" s="1440"/>
      <c r="CB75" s="1440"/>
      <c r="CC75" s="1440"/>
      <c r="CD75" s="1440"/>
      <c r="CE75" s="1440"/>
      <c r="CF75" s="1440"/>
      <c r="CG75" s="1440"/>
      <c r="CH75" s="1440"/>
      <c r="CI75" s="1441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5" t="s">
        <v>80</v>
      </c>
      <c r="B76" s="1430" t="str">
        <f t="shared" si="90"/>
        <v>VP</v>
      </c>
      <c r="C76" s="1523"/>
      <c r="D76" s="1524"/>
      <c r="E76" s="1524"/>
      <c r="F76" s="1524"/>
      <c r="G76" s="1524"/>
      <c r="H76" s="1524"/>
      <c r="I76" s="1524"/>
      <c r="J76" s="1524"/>
      <c r="K76" s="1524"/>
      <c r="L76" s="1737"/>
      <c r="M76" s="1524"/>
      <c r="N76" s="1524"/>
      <c r="O76" s="1524"/>
      <c r="P76" s="1524"/>
      <c r="Q76" s="1524"/>
      <c r="R76" s="1524"/>
      <c r="S76" s="1525"/>
      <c r="T76" s="1446"/>
      <c r="U76" s="1447"/>
      <c r="V76" s="1447"/>
      <c r="W76" s="1447"/>
      <c r="X76" s="1447"/>
      <c r="Y76" s="1447"/>
      <c r="Z76" s="1447"/>
      <c r="AA76" s="1447"/>
      <c r="AB76" s="1447"/>
      <c r="AC76" s="1447"/>
      <c r="AD76" s="1447"/>
      <c r="AE76" s="1447"/>
      <c r="AF76" s="1447"/>
      <c r="AG76" s="1447"/>
      <c r="AH76" s="1487"/>
      <c r="AI76" s="1447"/>
      <c r="AJ76" s="1708"/>
      <c r="AK76" s="1442"/>
      <c r="AL76" s="1443"/>
      <c r="AM76" s="1443"/>
      <c r="AN76" s="1443"/>
      <c r="AO76" s="1443"/>
      <c r="AP76" s="1443"/>
      <c r="AQ76" s="1443"/>
      <c r="AR76" s="1443"/>
      <c r="AS76" s="1443"/>
      <c r="AT76" s="1443"/>
      <c r="AU76" s="1443"/>
      <c r="AV76" s="1443"/>
      <c r="AW76" s="1443"/>
      <c r="AX76" s="1443"/>
      <c r="AY76" s="1443"/>
      <c r="AZ76" s="1443"/>
      <c r="BA76" s="1713"/>
      <c r="BB76" s="1442"/>
      <c r="BC76" s="1443"/>
      <c r="BD76" s="1443"/>
      <c r="BE76" s="1443"/>
      <c r="BF76" s="1443"/>
      <c r="BG76" s="1443"/>
      <c r="BH76" s="1443"/>
      <c r="BI76" s="1443"/>
      <c r="BJ76" s="1443"/>
      <c r="BK76" s="1689"/>
      <c r="BL76" s="1443"/>
      <c r="BM76" s="1443"/>
      <c r="BN76" s="1443"/>
      <c r="BO76" s="1443"/>
      <c r="BP76" s="1443"/>
      <c r="BQ76" s="1443"/>
      <c r="BR76" s="1445"/>
      <c r="BS76" s="1439"/>
      <c r="BT76" s="1440"/>
      <c r="BU76" s="1440"/>
      <c r="BV76" s="1440"/>
      <c r="BW76" s="1440"/>
      <c r="BX76" s="1440"/>
      <c r="BY76" s="1440"/>
      <c r="BZ76" s="1440"/>
      <c r="CA76" s="1440"/>
      <c r="CB76" s="1440"/>
      <c r="CC76" s="1440"/>
      <c r="CD76" s="1440"/>
      <c r="CE76" s="1440"/>
      <c r="CF76" s="1440"/>
      <c r="CG76" s="1440"/>
      <c r="CH76" s="1440"/>
      <c r="CI76" s="1441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8" t="s">
        <v>81</v>
      </c>
      <c r="B77" s="1430" t="str">
        <f t="shared" si="90"/>
        <v>VP</v>
      </c>
      <c r="C77" s="1526"/>
      <c r="D77" s="1527"/>
      <c r="E77" s="1527"/>
      <c r="F77" s="1527"/>
      <c r="G77" s="1527"/>
      <c r="H77" s="1527"/>
      <c r="I77" s="1527"/>
      <c r="J77" s="1527"/>
      <c r="K77" s="1527"/>
      <c r="L77" s="1738"/>
      <c r="M77" s="1527"/>
      <c r="N77" s="1527"/>
      <c r="O77" s="1527"/>
      <c r="P77" s="1527"/>
      <c r="Q77" s="1527"/>
      <c r="R77" s="1527"/>
      <c r="S77" s="1528"/>
      <c r="T77" s="1514" t="str">
        <f t="shared" ref="T77:AC77" si="108">IF(T70="","",SUM(T70,T72,-T73,-T74,-T75,T76))</f>
        <v/>
      </c>
      <c r="U77" s="1515" t="str">
        <f t="shared" si="108"/>
        <v/>
      </c>
      <c r="V77" s="1515" t="str">
        <f t="shared" si="108"/>
        <v/>
      </c>
      <c r="W77" s="1515" t="str">
        <f t="shared" si="108"/>
        <v/>
      </c>
      <c r="X77" s="1515" t="str">
        <f t="shared" si="108"/>
        <v/>
      </c>
      <c r="Y77" s="1515" t="str">
        <f t="shared" si="108"/>
        <v/>
      </c>
      <c r="Z77" s="1515" t="str">
        <f t="shared" si="108"/>
        <v/>
      </c>
      <c r="AA77" s="1515" t="str">
        <f t="shared" si="108"/>
        <v/>
      </c>
      <c r="AB77" s="1515" t="str">
        <f t="shared" si="108"/>
        <v/>
      </c>
      <c r="AC77" s="1515" t="str">
        <f t="shared" si="108"/>
        <v/>
      </c>
      <c r="AD77" s="1515"/>
      <c r="AE77" s="1515"/>
      <c r="AF77" s="1515"/>
      <c r="AG77" s="1515" t="str">
        <f>IF(AG70="","",SUM(AG70,AG72,-AG73,-AG74,-AG75,AG76))</f>
        <v/>
      </c>
      <c r="AH77" s="1515" t="str">
        <f>IF(AH70="","",SUM(AH70,AH72,-AH73,-AH74,-AH75,AH76))</f>
        <v/>
      </c>
      <c r="AI77" s="1515" t="str">
        <f>IF(AI70="","",SUM(AI70,AI72,-AI73,-AI74,-AI75,AI76))</f>
        <v/>
      </c>
      <c r="AJ77" s="1687" t="str">
        <f>IF(AJ70="","",SUM(AJ70,AJ72,-AJ73,-AJ74,-AJ75,AJ76))</f>
        <v/>
      </c>
      <c r="AK77" s="1450"/>
      <c r="AL77" s="1451"/>
      <c r="AM77" s="1451"/>
      <c r="AN77" s="1451"/>
      <c r="AO77" s="1451"/>
      <c r="AP77" s="1451"/>
      <c r="AQ77" s="1451"/>
      <c r="AR77" s="1451"/>
      <c r="AS77" s="1451"/>
      <c r="AT77" s="1451"/>
      <c r="AU77" s="1451"/>
      <c r="AV77" s="1451"/>
      <c r="AW77" s="1451"/>
      <c r="AX77" s="1451"/>
      <c r="AY77" s="1451"/>
      <c r="AZ77" s="1451"/>
      <c r="BA77" s="1702"/>
      <c r="BB77" s="1450"/>
      <c r="BC77" s="1451"/>
      <c r="BD77" s="1451"/>
      <c r="BE77" s="1451"/>
      <c r="BF77" s="1451"/>
      <c r="BG77" s="1451"/>
      <c r="BH77" s="1451"/>
      <c r="BI77" s="1451"/>
      <c r="BJ77" s="1451"/>
      <c r="BK77" s="1690"/>
      <c r="BL77" s="1451"/>
      <c r="BM77" s="1451"/>
      <c r="BN77" s="1451"/>
      <c r="BO77" s="1451"/>
      <c r="BP77" s="1451"/>
      <c r="BQ77" s="1451"/>
      <c r="BR77" s="1453"/>
      <c r="BS77" s="1450"/>
      <c r="BT77" s="1451"/>
      <c r="BU77" s="1451"/>
      <c r="BV77" s="1451"/>
      <c r="BW77" s="1451"/>
      <c r="BX77" s="1451"/>
      <c r="BY77" s="1451"/>
      <c r="BZ77" s="1451"/>
      <c r="CA77" s="1451"/>
      <c r="CB77" s="1451"/>
      <c r="CC77" s="1451"/>
      <c r="CD77" s="1451"/>
      <c r="CE77" s="1451"/>
      <c r="CF77" s="1451"/>
      <c r="CG77" s="1451"/>
      <c r="CH77" s="1451"/>
      <c r="CI77" s="1453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4" t="s">
        <v>835</v>
      </c>
      <c r="B78" s="1421" t="str">
        <f t="shared" ref="B78:B85" si="109">$B$10</f>
        <v>P</v>
      </c>
      <c r="C78" s="1501">
        <v>0</v>
      </c>
      <c r="D78" s="1502">
        <v>0</v>
      </c>
      <c r="E78" s="1502">
        <v>0</v>
      </c>
      <c r="F78" s="1502"/>
      <c r="G78" s="1502"/>
      <c r="H78" s="1502"/>
      <c r="I78" s="1502"/>
      <c r="J78" s="1502"/>
      <c r="K78" s="1502">
        <v>0</v>
      </c>
      <c r="L78" s="1734"/>
      <c r="M78" s="1502"/>
      <c r="N78" s="1502"/>
      <c r="O78" s="1502"/>
      <c r="P78" s="1502"/>
      <c r="Q78" s="1502"/>
      <c r="R78" s="1502"/>
      <c r="S78" s="1503"/>
      <c r="T78" s="1529"/>
      <c r="U78" s="1530"/>
      <c r="V78" s="1530"/>
      <c r="W78" s="1530"/>
      <c r="X78" s="1530"/>
      <c r="Y78" s="1530"/>
      <c r="Z78" s="1530"/>
      <c r="AA78" s="1530"/>
      <c r="AB78" s="1530"/>
      <c r="AC78" s="1530"/>
      <c r="AD78" s="1530"/>
      <c r="AE78" s="1530"/>
      <c r="AF78" s="1530"/>
      <c r="AG78" s="1530"/>
      <c r="AH78" s="1530"/>
      <c r="AI78" s="1530"/>
      <c r="AJ78" s="1714"/>
      <c r="AK78" s="1446"/>
      <c r="AL78" s="1505"/>
      <c r="AM78" s="1505"/>
      <c r="AN78" s="1505"/>
      <c r="AO78" s="1505"/>
      <c r="AP78" s="1505"/>
      <c r="AQ78" s="1505"/>
      <c r="AR78" s="1505"/>
      <c r="AS78" s="1505"/>
      <c r="AT78" s="1461"/>
      <c r="AU78" s="1461"/>
      <c r="AV78" s="1505"/>
      <c r="AW78" s="1461"/>
      <c r="AX78" s="1505"/>
      <c r="AY78" s="1461"/>
      <c r="AZ78" s="1461"/>
      <c r="BA78" s="1707"/>
      <c r="BB78" s="1427"/>
      <c r="BC78" s="1428"/>
      <c r="BD78" s="1428"/>
      <c r="BE78" s="1428"/>
      <c r="BF78" s="1428"/>
      <c r="BG78" s="1428"/>
      <c r="BH78" s="1428"/>
      <c r="BI78" s="1428"/>
      <c r="BJ78" s="1428"/>
      <c r="BK78" s="1678"/>
      <c r="BL78" s="1428"/>
      <c r="BM78" s="1428"/>
      <c r="BN78" s="1428"/>
      <c r="BO78" s="1428"/>
      <c r="BP78" s="1428"/>
      <c r="BQ78" s="1428"/>
      <c r="BR78" s="1429"/>
      <c r="BS78" s="1427"/>
      <c r="BT78" s="1428"/>
      <c r="BU78" s="1428"/>
      <c r="BV78" s="1428"/>
      <c r="BW78" s="1428"/>
      <c r="BX78" s="1428"/>
      <c r="BY78" s="1428"/>
      <c r="BZ78" s="1428"/>
      <c r="CA78" s="1428"/>
      <c r="CB78" s="1428"/>
      <c r="CC78" s="1428"/>
      <c r="CD78" s="1428"/>
      <c r="CE78" s="1428"/>
      <c r="CF78" s="1428"/>
      <c r="CG78" s="1428"/>
      <c r="CH78" s="1428"/>
      <c r="CI78" s="1429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5" t="s">
        <v>75</v>
      </c>
      <c r="B79" s="1430" t="str">
        <f t="shared" si="109"/>
        <v>P</v>
      </c>
      <c r="C79" s="1511">
        <v>0</v>
      </c>
      <c r="D79" s="1512">
        <v>0</v>
      </c>
      <c r="E79" s="1512">
        <v>0</v>
      </c>
      <c r="F79" s="1512"/>
      <c r="G79" s="1512"/>
      <c r="H79" s="1512"/>
      <c r="I79" s="1512"/>
      <c r="J79" s="1512"/>
      <c r="K79" s="1512">
        <v>0</v>
      </c>
      <c r="L79" s="1735"/>
      <c r="M79" s="1512"/>
      <c r="N79" s="1512"/>
      <c r="O79" s="1512"/>
      <c r="P79" s="1512"/>
      <c r="Q79" s="1512"/>
      <c r="R79" s="1512"/>
      <c r="S79" s="1513"/>
      <c r="T79" s="1442"/>
      <c r="U79" s="1443"/>
      <c r="V79" s="1443"/>
      <c r="W79" s="1443"/>
      <c r="X79" s="1443"/>
      <c r="Y79" s="1443"/>
      <c r="Z79" s="1443"/>
      <c r="AA79" s="1443"/>
      <c r="AB79" s="1443"/>
      <c r="AC79" s="1443"/>
      <c r="AD79" s="1443"/>
      <c r="AE79" s="1443"/>
      <c r="AF79" s="1443"/>
      <c r="AG79" s="1443"/>
      <c r="AH79" s="1444"/>
      <c r="AI79" s="1443"/>
      <c r="AJ79" s="1713"/>
      <c r="AK79" s="1446"/>
      <c r="AL79" s="1506"/>
      <c r="AM79" s="1506"/>
      <c r="AN79" s="1506"/>
      <c r="AO79" s="1506"/>
      <c r="AP79" s="1506"/>
      <c r="AQ79" s="1506"/>
      <c r="AR79" s="1506"/>
      <c r="AS79" s="1506"/>
      <c r="AT79" s="1447"/>
      <c r="AU79" s="1447"/>
      <c r="AV79" s="1506"/>
      <c r="AW79" s="1447"/>
      <c r="AX79" s="1506"/>
      <c r="AY79" s="1447"/>
      <c r="AZ79" s="1447"/>
      <c r="BA79" s="1708"/>
      <c r="BB79" s="1439"/>
      <c r="BC79" s="1440"/>
      <c r="BD79" s="1440"/>
      <c r="BE79" s="1440"/>
      <c r="BF79" s="1440"/>
      <c r="BG79" s="1440"/>
      <c r="BH79" s="1440"/>
      <c r="BI79" s="1440"/>
      <c r="BJ79" s="1440"/>
      <c r="BK79" s="1688"/>
      <c r="BL79" s="1440"/>
      <c r="BM79" s="1440"/>
      <c r="BN79" s="1440"/>
      <c r="BO79" s="1440"/>
      <c r="BP79" s="1440"/>
      <c r="BQ79" s="1440"/>
      <c r="BR79" s="1441"/>
      <c r="BS79" s="1439"/>
      <c r="BT79" s="1440"/>
      <c r="BU79" s="1440"/>
      <c r="BV79" s="1440"/>
      <c r="BW79" s="1440"/>
      <c r="BX79" s="1440"/>
      <c r="BY79" s="1440"/>
      <c r="BZ79" s="1440"/>
      <c r="CA79" s="1440"/>
      <c r="CB79" s="1440"/>
      <c r="CC79" s="1440"/>
      <c r="CD79" s="1440"/>
      <c r="CE79" s="1440"/>
      <c r="CF79" s="1440"/>
      <c r="CG79" s="1440"/>
      <c r="CH79" s="1440"/>
      <c r="CI79" s="1441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5" t="s">
        <v>76</v>
      </c>
      <c r="B80" s="1430" t="str">
        <f t="shared" si="109"/>
        <v>P</v>
      </c>
      <c r="C80" s="1520"/>
      <c r="D80" s="1521"/>
      <c r="E80" s="1521"/>
      <c r="F80" s="1521"/>
      <c r="G80" s="1521"/>
      <c r="H80" s="1521"/>
      <c r="I80" s="1521"/>
      <c r="J80" s="1521"/>
      <c r="K80" s="1521"/>
      <c r="L80" s="1736"/>
      <c r="M80" s="1521"/>
      <c r="N80" s="1521"/>
      <c r="O80" s="1521"/>
      <c r="P80" s="1521"/>
      <c r="Q80" s="1521"/>
      <c r="R80" s="1521"/>
      <c r="S80" s="1522"/>
      <c r="T80" s="1439"/>
      <c r="U80" s="1440"/>
      <c r="V80" s="1440"/>
      <c r="W80" s="1440"/>
      <c r="X80" s="1440"/>
      <c r="Y80" s="1440"/>
      <c r="Z80" s="1440"/>
      <c r="AA80" s="1440"/>
      <c r="AB80" s="1440"/>
      <c r="AC80" s="1440"/>
      <c r="AD80" s="1440"/>
      <c r="AE80" s="1440"/>
      <c r="AF80" s="1440"/>
      <c r="AG80" s="1440"/>
      <c r="AH80" s="1532"/>
      <c r="AI80" s="1440"/>
      <c r="AJ80" s="1712"/>
      <c r="AK80" s="1446"/>
      <c r="AL80" s="1506"/>
      <c r="AM80" s="1506" t="s">
        <v>888</v>
      </c>
      <c r="AN80" s="1506"/>
      <c r="AO80" s="1506"/>
      <c r="AP80" s="1506"/>
      <c r="AQ80" s="1506"/>
      <c r="AR80" s="1506"/>
      <c r="AS80" s="1506"/>
      <c r="AT80" s="1447"/>
      <c r="AU80" s="1447"/>
      <c r="AV80" s="1506"/>
      <c r="AW80" s="1447"/>
      <c r="AX80" s="1506"/>
      <c r="AY80" s="1447"/>
      <c r="AZ80" s="1447"/>
      <c r="BA80" s="1708"/>
      <c r="BB80" s="1439"/>
      <c r="BC80" s="1440"/>
      <c r="BD80" s="1440"/>
      <c r="BE80" s="1440"/>
      <c r="BF80" s="1440"/>
      <c r="BG80" s="1440"/>
      <c r="BH80" s="1440"/>
      <c r="BI80" s="1440"/>
      <c r="BJ80" s="1440"/>
      <c r="BK80" s="1688"/>
      <c r="BL80" s="1440"/>
      <c r="BM80" s="1440"/>
      <c r="BN80" s="1440"/>
      <c r="BO80" s="1440"/>
      <c r="BP80" s="1440"/>
      <c r="BQ80" s="1440"/>
      <c r="BR80" s="1441"/>
      <c r="BS80" s="1439"/>
      <c r="BT80" s="1440"/>
      <c r="BU80" s="1440"/>
      <c r="BV80" s="1440"/>
      <c r="BW80" s="1440"/>
      <c r="BX80" s="1440"/>
      <c r="BY80" s="1440"/>
      <c r="BZ80" s="1440"/>
      <c r="CA80" s="1440"/>
      <c r="CB80" s="1440"/>
      <c r="CC80" s="1440"/>
      <c r="CD80" s="1440"/>
      <c r="CE80" s="1440"/>
      <c r="CF80" s="1440"/>
      <c r="CG80" s="1440"/>
      <c r="CH80" s="1440"/>
      <c r="CI80" s="1441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5" t="s">
        <v>77</v>
      </c>
      <c r="B81" s="1430" t="str">
        <f t="shared" si="109"/>
        <v>P</v>
      </c>
      <c r="C81" s="1523"/>
      <c r="D81" s="1524"/>
      <c r="E81" s="1524"/>
      <c r="F81" s="1524"/>
      <c r="G81" s="1524"/>
      <c r="H81" s="1524"/>
      <c r="I81" s="1524"/>
      <c r="J81" s="1524"/>
      <c r="K81" s="1524"/>
      <c r="L81" s="1737"/>
      <c r="M81" s="1524"/>
      <c r="N81" s="1524"/>
      <c r="O81" s="1524"/>
      <c r="P81" s="1524"/>
      <c r="Q81" s="1524"/>
      <c r="R81" s="1524"/>
      <c r="S81" s="1525"/>
      <c r="T81" s="1439"/>
      <c r="U81" s="1440"/>
      <c r="V81" s="1440"/>
      <c r="W81" s="1440"/>
      <c r="X81" s="1440"/>
      <c r="Y81" s="1440"/>
      <c r="Z81" s="1440"/>
      <c r="AA81" s="1440"/>
      <c r="AB81" s="1440"/>
      <c r="AC81" s="1440"/>
      <c r="AD81" s="1440"/>
      <c r="AE81" s="1440"/>
      <c r="AF81" s="1440"/>
      <c r="AG81" s="1440"/>
      <c r="AH81" s="1532"/>
      <c r="AI81" s="1440"/>
      <c r="AJ81" s="1712"/>
      <c r="AK81" s="1446"/>
      <c r="AL81" s="1506"/>
      <c r="AM81" s="1506"/>
      <c r="AN81" s="1506"/>
      <c r="AO81" s="1506"/>
      <c r="AP81" s="1506"/>
      <c r="AQ81" s="1506"/>
      <c r="AR81" s="1506"/>
      <c r="AS81" s="1506"/>
      <c r="AT81" s="1447"/>
      <c r="AU81" s="1447"/>
      <c r="AV81" s="1506"/>
      <c r="AW81" s="1447"/>
      <c r="AX81" s="1506"/>
      <c r="AY81" s="1447"/>
      <c r="AZ81" s="1447"/>
      <c r="BA81" s="1708"/>
      <c r="BB81" s="1439"/>
      <c r="BC81" s="1440"/>
      <c r="BD81" s="1440"/>
      <c r="BE81" s="1440"/>
      <c r="BF81" s="1440"/>
      <c r="BG81" s="1440"/>
      <c r="BH81" s="1440"/>
      <c r="BI81" s="1440"/>
      <c r="BJ81" s="1440"/>
      <c r="BK81" s="1688"/>
      <c r="BL81" s="1440"/>
      <c r="BM81" s="1440"/>
      <c r="BN81" s="1440"/>
      <c r="BO81" s="1440"/>
      <c r="BP81" s="1440"/>
      <c r="BQ81" s="1440"/>
      <c r="BR81" s="1441"/>
      <c r="BS81" s="1439"/>
      <c r="BT81" s="1440"/>
      <c r="BU81" s="1440"/>
      <c r="BV81" s="1440"/>
      <c r="BW81" s="1440"/>
      <c r="BX81" s="1440"/>
      <c r="BY81" s="1440"/>
      <c r="BZ81" s="1440"/>
      <c r="CA81" s="1440"/>
      <c r="CB81" s="1440"/>
      <c r="CC81" s="1440"/>
      <c r="CD81" s="1440"/>
      <c r="CE81" s="1440"/>
      <c r="CF81" s="1440"/>
      <c r="CG81" s="1440"/>
      <c r="CH81" s="1440"/>
      <c r="CI81" s="1441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5" t="s">
        <v>78</v>
      </c>
      <c r="B82" s="1430" t="str">
        <f t="shared" si="109"/>
        <v>P</v>
      </c>
      <c r="C82" s="1523"/>
      <c r="D82" s="1524"/>
      <c r="E82" s="1524"/>
      <c r="F82" s="1524"/>
      <c r="G82" s="1524"/>
      <c r="H82" s="1524"/>
      <c r="I82" s="1524"/>
      <c r="J82" s="1524"/>
      <c r="K82" s="1524"/>
      <c r="L82" s="1737"/>
      <c r="M82" s="1524"/>
      <c r="N82" s="1524"/>
      <c r="O82" s="1524"/>
      <c r="P82" s="1524"/>
      <c r="Q82" s="1524"/>
      <c r="R82" s="1524"/>
      <c r="S82" s="1525"/>
      <c r="T82" s="1439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532"/>
      <c r="AI82" s="1440"/>
      <c r="AJ82" s="1712"/>
      <c r="AK82" s="1446"/>
      <c r="AL82" s="1506"/>
      <c r="AM82" s="1506"/>
      <c r="AN82" s="1506"/>
      <c r="AO82" s="1506"/>
      <c r="AP82" s="1506"/>
      <c r="AQ82" s="1506"/>
      <c r="AR82" s="1506"/>
      <c r="AS82" s="1506"/>
      <c r="AT82" s="1447"/>
      <c r="AU82" s="1447"/>
      <c r="AV82" s="1506"/>
      <c r="AW82" s="1447"/>
      <c r="AX82" s="1506"/>
      <c r="AY82" s="1447"/>
      <c r="AZ82" s="1447"/>
      <c r="BA82" s="1708"/>
      <c r="BB82" s="1442"/>
      <c r="BC82" s="1443"/>
      <c r="BD82" s="1443"/>
      <c r="BE82" s="1443"/>
      <c r="BF82" s="1443"/>
      <c r="BG82" s="1443"/>
      <c r="BH82" s="1443"/>
      <c r="BI82" s="1443"/>
      <c r="BJ82" s="1443"/>
      <c r="BK82" s="1689"/>
      <c r="BL82" s="1443"/>
      <c r="BM82" s="1443"/>
      <c r="BN82" s="1443"/>
      <c r="BO82" s="1443"/>
      <c r="BP82" s="1443"/>
      <c r="BQ82" s="1443"/>
      <c r="BR82" s="1445"/>
      <c r="BS82" s="1439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1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5" t="s">
        <v>79</v>
      </c>
      <c r="B83" s="1430" t="str">
        <f t="shared" si="109"/>
        <v>P</v>
      </c>
      <c r="C83" s="1523"/>
      <c r="D83" s="1524"/>
      <c r="E83" s="1524"/>
      <c r="F83" s="1524"/>
      <c r="G83" s="1524"/>
      <c r="H83" s="1524"/>
      <c r="I83" s="1524"/>
      <c r="J83" s="1524"/>
      <c r="K83" s="1524"/>
      <c r="L83" s="1737"/>
      <c r="M83" s="1524"/>
      <c r="N83" s="1524"/>
      <c r="O83" s="1524"/>
      <c r="P83" s="1524"/>
      <c r="Q83" s="1524"/>
      <c r="R83" s="1524"/>
      <c r="S83" s="1525"/>
      <c r="T83" s="1439"/>
      <c r="U83" s="1440"/>
      <c r="V83" s="1440"/>
      <c r="W83" s="1440"/>
      <c r="X83" s="1440"/>
      <c r="Y83" s="1440"/>
      <c r="Z83" s="1440"/>
      <c r="AA83" s="1440"/>
      <c r="AB83" s="1440"/>
      <c r="AC83" s="1440"/>
      <c r="AD83" s="1440"/>
      <c r="AE83" s="1440"/>
      <c r="AF83" s="1440"/>
      <c r="AG83" s="1440"/>
      <c r="AH83" s="1532"/>
      <c r="AI83" s="1440"/>
      <c r="AJ83" s="1712"/>
      <c r="AK83" s="1446"/>
      <c r="AL83" s="1506"/>
      <c r="AM83" s="1506"/>
      <c r="AN83" s="1506"/>
      <c r="AO83" s="1506"/>
      <c r="AP83" s="1506"/>
      <c r="AQ83" s="1506"/>
      <c r="AR83" s="1506"/>
      <c r="AS83" s="1506"/>
      <c r="AT83" s="1447"/>
      <c r="AU83" s="1447"/>
      <c r="AV83" s="1506"/>
      <c r="AW83" s="1447"/>
      <c r="AX83" s="1506"/>
      <c r="AY83" s="1447"/>
      <c r="AZ83" s="1447"/>
      <c r="BA83" s="1708"/>
      <c r="BB83" s="1442"/>
      <c r="BC83" s="1443"/>
      <c r="BD83" s="1443"/>
      <c r="BE83" s="1443"/>
      <c r="BF83" s="1443"/>
      <c r="BG83" s="1443"/>
      <c r="BH83" s="1443"/>
      <c r="BI83" s="1443"/>
      <c r="BJ83" s="1443"/>
      <c r="BK83" s="1689"/>
      <c r="BL83" s="1443"/>
      <c r="BM83" s="1443"/>
      <c r="BN83" s="1443"/>
      <c r="BO83" s="1443"/>
      <c r="BP83" s="1443"/>
      <c r="BQ83" s="1443"/>
      <c r="BR83" s="1445"/>
      <c r="BS83" s="1439"/>
      <c r="BT83" s="1440"/>
      <c r="BU83" s="1440"/>
      <c r="BV83" s="1440"/>
      <c r="BW83" s="1440"/>
      <c r="BX83" s="1440"/>
      <c r="BY83" s="1440"/>
      <c r="BZ83" s="1440"/>
      <c r="CA83" s="1440"/>
      <c r="CB83" s="1440"/>
      <c r="CC83" s="1440"/>
      <c r="CD83" s="1440"/>
      <c r="CE83" s="1440"/>
      <c r="CF83" s="1440"/>
      <c r="CG83" s="1440"/>
      <c r="CH83" s="1440"/>
      <c r="CI83" s="1441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5" t="s">
        <v>80</v>
      </c>
      <c r="B84" s="1430" t="str">
        <f t="shared" si="109"/>
        <v>P</v>
      </c>
      <c r="C84" s="1523"/>
      <c r="D84" s="1524"/>
      <c r="E84" s="1524"/>
      <c r="F84" s="1524"/>
      <c r="G84" s="1524"/>
      <c r="H84" s="1524"/>
      <c r="I84" s="1524"/>
      <c r="J84" s="1524"/>
      <c r="K84" s="1524"/>
      <c r="L84" s="1737"/>
      <c r="M84" s="1524"/>
      <c r="N84" s="1524"/>
      <c r="O84" s="1524"/>
      <c r="P84" s="1524"/>
      <c r="Q84" s="1524"/>
      <c r="R84" s="1524"/>
      <c r="S84" s="1525"/>
      <c r="T84" s="1439"/>
      <c r="U84" s="1440"/>
      <c r="V84" s="1440"/>
      <c r="W84" s="1440"/>
      <c r="X84" s="1440"/>
      <c r="Y84" s="1440"/>
      <c r="Z84" s="1440"/>
      <c r="AA84" s="1440"/>
      <c r="AB84" s="1440"/>
      <c r="AC84" s="1440"/>
      <c r="AD84" s="1440"/>
      <c r="AE84" s="1440"/>
      <c r="AF84" s="1440"/>
      <c r="AG84" s="1440"/>
      <c r="AH84" s="1532"/>
      <c r="AI84" s="1440"/>
      <c r="AJ84" s="1712"/>
      <c r="AK84" s="1446"/>
      <c r="AL84" s="1506"/>
      <c r="AM84" s="1506"/>
      <c r="AN84" s="1506"/>
      <c r="AO84" s="1506"/>
      <c r="AP84" s="1506"/>
      <c r="AQ84" s="1506"/>
      <c r="AR84" s="1506"/>
      <c r="AS84" s="1506"/>
      <c r="AT84" s="1447"/>
      <c r="AU84" s="1447"/>
      <c r="AV84" s="1506"/>
      <c r="AW84" s="1447"/>
      <c r="AX84" s="1506"/>
      <c r="AY84" s="1447"/>
      <c r="AZ84" s="1447"/>
      <c r="BA84" s="1708"/>
      <c r="BB84" s="1442"/>
      <c r="BC84" s="1443"/>
      <c r="BD84" s="1443"/>
      <c r="BE84" s="1443"/>
      <c r="BF84" s="1443"/>
      <c r="BG84" s="1443"/>
      <c r="BH84" s="1443"/>
      <c r="BI84" s="1443"/>
      <c r="BJ84" s="1443"/>
      <c r="BK84" s="1689"/>
      <c r="BL84" s="1443"/>
      <c r="BM84" s="1443"/>
      <c r="BN84" s="1443"/>
      <c r="BO84" s="1443"/>
      <c r="BP84" s="1443"/>
      <c r="BQ84" s="1443"/>
      <c r="BR84" s="1445"/>
      <c r="BS84" s="1439"/>
      <c r="BT84" s="1440"/>
      <c r="BU84" s="1440"/>
      <c r="BV84" s="1440"/>
      <c r="BW84" s="1440"/>
      <c r="BX84" s="1440"/>
      <c r="BY84" s="1440"/>
      <c r="BZ84" s="1440"/>
      <c r="CA84" s="1440"/>
      <c r="CB84" s="1440"/>
      <c r="CC84" s="1440"/>
      <c r="CD84" s="1440"/>
      <c r="CE84" s="1440"/>
      <c r="CF84" s="1440"/>
      <c r="CG84" s="1440"/>
      <c r="CH84" s="1440"/>
      <c r="CI84" s="1441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8" t="s">
        <v>81</v>
      </c>
      <c r="B85" s="1430" t="str">
        <f t="shared" si="109"/>
        <v>P</v>
      </c>
      <c r="C85" s="1526"/>
      <c r="D85" s="1527"/>
      <c r="E85" s="1527"/>
      <c r="F85" s="1527"/>
      <c r="G85" s="1527"/>
      <c r="H85" s="1527"/>
      <c r="I85" s="1527"/>
      <c r="J85" s="1527"/>
      <c r="K85" s="1527"/>
      <c r="L85" s="1738"/>
      <c r="M85" s="1527"/>
      <c r="N85" s="1527"/>
      <c r="O85" s="1527"/>
      <c r="P85" s="1527"/>
      <c r="Q85" s="1527"/>
      <c r="R85" s="1527"/>
      <c r="S85" s="1528"/>
      <c r="T85" s="1450"/>
      <c r="U85" s="1451"/>
      <c r="V85" s="1451"/>
      <c r="W85" s="1451"/>
      <c r="X85" s="1451"/>
      <c r="Y85" s="1451"/>
      <c r="Z85" s="1451"/>
      <c r="AA85" s="1451"/>
      <c r="AB85" s="1451"/>
      <c r="AC85" s="1451"/>
      <c r="AD85" s="1451"/>
      <c r="AE85" s="1451"/>
      <c r="AF85" s="1451"/>
      <c r="AG85" s="1451"/>
      <c r="AH85" s="1452"/>
      <c r="AI85" s="1451"/>
      <c r="AJ85" s="1702"/>
      <c r="AK85" s="1514" t="str">
        <f t="shared" ref="AK85:BA85" si="129">IF(AK78="","",SUM(AK78,AK80,-AK81,-AK82,-AK83,AK84))</f>
        <v/>
      </c>
      <c r="AL85" s="1515" t="str">
        <f t="shared" si="129"/>
        <v/>
      </c>
      <c r="AM85" s="1515" t="str">
        <f t="shared" si="129"/>
        <v/>
      </c>
      <c r="AN85" s="1515" t="str">
        <f t="shared" si="129"/>
        <v/>
      </c>
      <c r="AO85" s="1515" t="str">
        <f t="shared" si="129"/>
        <v/>
      </c>
      <c r="AP85" s="1515" t="str">
        <f t="shared" si="129"/>
        <v/>
      </c>
      <c r="AQ85" s="1515" t="str">
        <f t="shared" si="129"/>
        <v/>
      </c>
      <c r="AR85" s="1515" t="str">
        <f t="shared" si="129"/>
        <v/>
      </c>
      <c r="AS85" s="1515" t="str">
        <f t="shared" si="129"/>
        <v/>
      </c>
      <c r="AT85" s="1515" t="str">
        <f t="shared" si="129"/>
        <v/>
      </c>
      <c r="AU85" s="1515" t="str">
        <f t="shared" si="129"/>
        <v/>
      </c>
      <c r="AV85" s="1515" t="str">
        <f t="shared" si="129"/>
        <v/>
      </c>
      <c r="AW85" s="1515" t="str">
        <f t="shared" si="129"/>
        <v/>
      </c>
      <c r="AX85" s="1515" t="str">
        <f t="shared" si="129"/>
        <v/>
      </c>
      <c r="AY85" s="1515" t="str">
        <f t="shared" si="129"/>
        <v/>
      </c>
      <c r="AZ85" s="1515" t="str">
        <f t="shared" si="129"/>
        <v/>
      </c>
      <c r="BA85" s="1687" t="str">
        <f t="shared" si="129"/>
        <v/>
      </c>
      <c r="BB85" s="1450"/>
      <c r="BC85" s="1451"/>
      <c r="BD85" s="1451"/>
      <c r="BE85" s="1451"/>
      <c r="BF85" s="1451"/>
      <c r="BG85" s="1451"/>
      <c r="BH85" s="1451"/>
      <c r="BI85" s="1451"/>
      <c r="BJ85" s="1451"/>
      <c r="BK85" s="1690"/>
      <c r="BL85" s="1451"/>
      <c r="BM85" s="1451"/>
      <c r="BN85" s="1451"/>
      <c r="BO85" s="1451"/>
      <c r="BP85" s="1451"/>
      <c r="BQ85" s="1451"/>
      <c r="BR85" s="1453"/>
      <c r="BS85" s="1450"/>
      <c r="BT85" s="1451"/>
      <c r="BU85" s="1451"/>
      <c r="BV85" s="1451"/>
      <c r="BW85" s="1451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1"/>
      <c r="CI85" s="1453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4" t="s">
        <v>835</v>
      </c>
      <c r="B86" s="1421" t="str">
        <f t="shared" ref="B86:B93" si="130">$B$11</f>
        <v>M</v>
      </c>
      <c r="C86" s="1501">
        <v>4</v>
      </c>
      <c r="D86" s="1502">
        <v>3</v>
      </c>
      <c r="E86" s="1502">
        <v>2</v>
      </c>
      <c r="F86" s="1502">
        <v>5</v>
      </c>
      <c r="G86" s="1502">
        <v>2</v>
      </c>
      <c r="H86" s="1502">
        <v>4</v>
      </c>
      <c r="I86" s="1502"/>
      <c r="J86" s="1502">
        <v>2</v>
      </c>
      <c r="K86" s="1502">
        <v>0</v>
      </c>
      <c r="L86" s="1734"/>
      <c r="M86" s="1502"/>
      <c r="N86" s="1502"/>
      <c r="O86" s="1502"/>
      <c r="P86" s="1502"/>
      <c r="Q86" s="1502"/>
      <c r="R86" s="1502"/>
      <c r="S86" s="1503"/>
      <c r="T86" s="1529"/>
      <c r="U86" s="1530"/>
      <c r="V86" s="1530"/>
      <c r="W86" s="1530"/>
      <c r="X86" s="1530"/>
      <c r="Y86" s="1530"/>
      <c r="Z86" s="1530"/>
      <c r="AA86" s="1530"/>
      <c r="AB86" s="1530"/>
      <c r="AC86" s="1530"/>
      <c r="AD86" s="1530"/>
      <c r="AE86" s="1530"/>
      <c r="AF86" s="1530"/>
      <c r="AG86" s="1530"/>
      <c r="AH86" s="1444"/>
      <c r="AI86" s="1530"/>
      <c r="AJ86" s="1714"/>
      <c r="AK86" s="1529"/>
      <c r="AL86" s="1530"/>
      <c r="AM86" s="1530"/>
      <c r="AN86" s="1530"/>
      <c r="AO86" s="1530"/>
      <c r="AP86" s="1530"/>
      <c r="AQ86" s="1530"/>
      <c r="AR86" s="1530"/>
      <c r="AS86" s="1530"/>
      <c r="AT86" s="1530"/>
      <c r="AU86" s="1530"/>
      <c r="AV86" s="1530"/>
      <c r="AW86" s="1530"/>
      <c r="AX86" s="1530"/>
      <c r="AY86" s="1530"/>
      <c r="AZ86" s="1530"/>
      <c r="BA86" s="1714"/>
      <c r="BB86" s="1460">
        <v>8</v>
      </c>
      <c r="BC86" s="1461">
        <v>5</v>
      </c>
      <c r="BD86" s="1461">
        <v>5</v>
      </c>
      <c r="BE86" s="1461">
        <v>10</v>
      </c>
      <c r="BF86" s="1461">
        <v>7</v>
      </c>
      <c r="BG86" s="1461">
        <v>15</v>
      </c>
      <c r="BH86" s="1461">
        <v>2</v>
      </c>
      <c r="BI86" s="1461">
        <v>8</v>
      </c>
      <c r="BJ86" s="1461">
        <v>5</v>
      </c>
      <c r="BK86" s="1685"/>
      <c r="BL86" s="1461"/>
      <c r="BM86" s="1461"/>
      <c r="BN86" s="1461"/>
      <c r="BO86" s="1461"/>
      <c r="BP86" s="1461"/>
      <c r="BQ86" s="1461"/>
      <c r="BR86" s="1462"/>
      <c r="BS86" s="1427"/>
      <c r="BT86" s="1428"/>
      <c r="BU86" s="1428"/>
      <c r="BV86" s="1428"/>
      <c r="BW86" s="1428"/>
      <c r="BX86" s="1428"/>
      <c r="BY86" s="1428"/>
      <c r="BZ86" s="1428"/>
      <c r="CA86" s="1428"/>
      <c r="CB86" s="1428"/>
      <c r="CC86" s="1428"/>
      <c r="CD86" s="1428"/>
      <c r="CE86" s="1428"/>
      <c r="CF86" s="1428"/>
      <c r="CG86" s="1428"/>
      <c r="CH86" s="1428"/>
      <c r="CI86" s="1429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5" t="s">
        <v>75</v>
      </c>
      <c r="B87" s="1430" t="str">
        <f t="shared" si="130"/>
        <v>M</v>
      </c>
      <c r="C87" s="1511">
        <v>2</v>
      </c>
      <c r="D87" s="1512">
        <v>1</v>
      </c>
      <c r="E87" s="1512">
        <v>1</v>
      </c>
      <c r="F87" s="1512">
        <v>2</v>
      </c>
      <c r="G87" s="1512">
        <v>1</v>
      </c>
      <c r="H87" s="1512">
        <v>2</v>
      </c>
      <c r="I87" s="1512"/>
      <c r="J87" s="1512">
        <v>6</v>
      </c>
      <c r="K87" s="1512">
        <v>0</v>
      </c>
      <c r="L87" s="1735"/>
      <c r="M87" s="1512"/>
      <c r="N87" s="1512"/>
      <c r="O87" s="1512"/>
      <c r="P87" s="1512"/>
      <c r="Q87" s="1512"/>
      <c r="R87" s="1512"/>
      <c r="S87" s="1513"/>
      <c r="T87" s="1442"/>
      <c r="U87" s="1443"/>
      <c r="V87" s="1443"/>
      <c r="W87" s="1443"/>
      <c r="X87" s="1443"/>
      <c r="Y87" s="1443"/>
      <c r="Z87" s="1443"/>
      <c r="AA87" s="1443"/>
      <c r="AB87" s="1443"/>
      <c r="AC87" s="1443"/>
      <c r="AD87" s="1443"/>
      <c r="AE87" s="1443"/>
      <c r="AF87" s="1443"/>
      <c r="AG87" s="1443"/>
      <c r="AH87" s="1444"/>
      <c r="AI87" s="1443"/>
      <c r="AJ87" s="1713"/>
      <c r="AK87" s="1442"/>
      <c r="AL87" s="1443"/>
      <c r="AM87" s="1443"/>
      <c r="AN87" s="1443"/>
      <c r="AO87" s="1443"/>
      <c r="AP87" s="1443"/>
      <c r="AQ87" s="1443"/>
      <c r="AR87" s="1443"/>
      <c r="AS87" s="1443"/>
      <c r="AT87" s="1443"/>
      <c r="AU87" s="1443"/>
      <c r="AV87" s="1443"/>
      <c r="AW87" s="1443"/>
      <c r="AX87" s="1443"/>
      <c r="AY87" s="1443"/>
      <c r="AZ87" s="1443"/>
      <c r="BA87" s="1713"/>
      <c r="BB87" s="1446">
        <v>3</v>
      </c>
      <c r="BC87" s="1447">
        <v>2</v>
      </c>
      <c r="BD87" s="1447">
        <v>2</v>
      </c>
      <c r="BE87" s="1447">
        <v>8</v>
      </c>
      <c r="BF87" s="1447">
        <v>5</v>
      </c>
      <c r="BG87" s="1447">
        <v>8</v>
      </c>
      <c r="BH87" s="1447">
        <v>1</v>
      </c>
      <c r="BI87" s="1447">
        <v>5</v>
      </c>
      <c r="BJ87" s="1447">
        <v>3</v>
      </c>
      <c r="BK87" s="1680"/>
      <c r="BL87" s="1447"/>
      <c r="BM87" s="1447"/>
      <c r="BN87" s="1447"/>
      <c r="BO87" s="1447"/>
      <c r="BP87" s="1447"/>
      <c r="BQ87" s="1447"/>
      <c r="BR87" s="1448"/>
      <c r="BS87" s="1439"/>
      <c r="BT87" s="1440"/>
      <c r="BU87" s="1440"/>
      <c r="BV87" s="1440"/>
      <c r="BW87" s="1440"/>
      <c r="BX87" s="1440"/>
      <c r="BY87" s="1440"/>
      <c r="BZ87" s="1440"/>
      <c r="CA87" s="1440"/>
      <c r="CB87" s="1440"/>
      <c r="CC87" s="1440"/>
      <c r="CD87" s="1440"/>
      <c r="CE87" s="1440"/>
      <c r="CF87" s="1440"/>
      <c r="CG87" s="1440"/>
      <c r="CH87" s="1440"/>
      <c r="CI87" s="1441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5" t="s">
        <v>76</v>
      </c>
      <c r="B88" s="1430" t="str">
        <f t="shared" si="130"/>
        <v>M</v>
      </c>
      <c r="C88" s="1520"/>
      <c r="D88" s="1521"/>
      <c r="E88" s="1521"/>
      <c r="F88" s="1521"/>
      <c r="G88" s="1521"/>
      <c r="H88" s="1521"/>
      <c r="I88" s="1521"/>
      <c r="J88" s="1521"/>
      <c r="K88" s="1521"/>
      <c r="L88" s="1736"/>
      <c r="M88" s="1521"/>
      <c r="N88" s="1521"/>
      <c r="O88" s="1521"/>
      <c r="P88" s="1521"/>
      <c r="Q88" s="1521"/>
      <c r="R88" s="1521"/>
      <c r="S88" s="1522"/>
      <c r="T88" s="1439"/>
      <c r="U88" s="1440"/>
      <c r="V88" s="1440"/>
      <c r="W88" s="1440"/>
      <c r="X88" s="1440"/>
      <c r="Y88" s="1440"/>
      <c r="Z88" s="1440"/>
      <c r="AA88" s="1440"/>
      <c r="AB88" s="1440"/>
      <c r="AC88" s="1440"/>
      <c r="AD88" s="1440"/>
      <c r="AE88" s="1440"/>
      <c r="AF88" s="1440"/>
      <c r="AG88" s="1440"/>
      <c r="AH88" s="1532"/>
      <c r="AI88" s="1440"/>
      <c r="AJ88" s="1712"/>
      <c r="AK88" s="1439"/>
      <c r="AL88" s="1440"/>
      <c r="AM88" s="1440"/>
      <c r="AN88" s="1440"/>
      <c r="AO88" s="1440"/>
      <c r="AP88" s="1440"/>
      <c r="AQ88" s="1440"/>
      <c r="AR88" s="1440"/>
      <c r="AS88" s="1440"/>
      <c r="AT88" s="1440"/>
      <c r="AU88" s="1440"/>
      <c r="AV88" s="1440"/>
      <c r="AW88" s="1440"/>
      <c r="AX88" s="1440"/>
      <c r="AY88" s="1440"/>
      <c r="AZ88" s="1440"/>
      <c r="BA88" s="1712"/>
      <c r="BB88" s="1446">
        <v>3</v>
      </c>
      <c r="BC88" s="1447">
        <v>2</v>
      </c>
      <c r="BD88" s="1447">
        <v>1</v>
      </c>
      <c r="BE88" s="1447">
        <v>8</v>
      </c>
      <c r="BF88" s="1447">
        <v>3</v>
      </c>
      <c r="BG88" s="1447">
        <v>5</v>
      </c>
      <c r="BH88" s="1447">
        <v>1</v>
      </c>
      <c r="BI88" s="1447">
        <v>2</v>
      </c>
      <c r="BJ88" s="1447">
        <v>3</v>
      </c>
      <c r="BK88" s="1680"/>
      <c r="BL88" s="1447"/>
      <c r="BM88" s="1447"/>
      <c r="BN88" s="1447"/>
      <c r="BO88" s="1447"/>
      <c r="BP88" s="1447"/>
      <c r="BQ88" s="1447"/>
      <c r="BR88" s="1448"/>
      <c r="BS88" s="1439"/>
      <c r="BT88" s="1440"/>
      <c r="BU88" s="1440"/>
      <c r="BV88" s="1440"/>
      <c r="BW88" s="1440"/>
      <c r="BX88" s="1440"/>
      <c r="BY88" s="1440"/>
      <c r="BZ88" s="1440"/>
      <c r="CA88" s="1440"/>
      <c r="CB88" s="1440"/>
      <c r="CC88" s="1440"/>
      <c r="CD88" s="1440"/>
      <c r="CE88" s="1440"/>
      <c r="CF88" s="1440"/>
      <c r="CG88" s="1440"/>
      <c r="CH88" s="1440"/>
      <c r="CI88" s="1441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5" t="s">
        <v>77</v>
      </c>
      <c r="B89" s="1430" t="str">
        <f t="shared" si="130"/>
        <v>M</v>
      </c>
      <c r="C89" s="1523"/>
      <c r="D89" s="1524"/>
      <c r="E89" s="1524"/>
      <c r="F89" s="1524"/>
      <c r="G89" s="1524"/>
      <c r="H89" s="1524"/>
      <c r="I89" s="1524"/>
      <c r="J89" s="1524"/>
      <c r="K89" s="1524"/>
      <c r="L89" s="1737"/>
      <c r="M89" s="1524"/>
      <c r="N89" s="1524"/>
      <c r="O89" s="1524"/>
      <c r="P89" s="1524"/>
      <c r="Q89" s="1524"/>
      <c r="R89" s="1524"/>
      <c r="S89" s="1525"/>
      <c r="T89" s="1439"/>
      <c r="U89" s="1440"/>
      <c r="V89" s="1440"/>
      <c r="W89" s="1440"/>
      <c r="X89" s="1440"/>
      <c r="Y89" s="1440"/>
      <c r="Z89" s="1440"/>
      <c r="AA89" s="1440"/>
      <c r="AB89" s="1440"/>
      <c r="AC89" s="1440"/>
      <c r="AD89" s="1440"/>
      <c r="AE89" s="1440"/>
      <c r="AF89" s="1440"/>
      <c r="AG89" s="1440"/>
      <c r="AH89" s="1532"/>
      <c r="AI89" s="1440"/>
      <c r="AJ89" s="1712"/>
      <c r="AK89" s="1442"/>
      <c r="AL89" s="1443"/>
      <c r="AM89" s="1443"/>
      <c r="AN89" s="1443"/>
      <c r="AO89" s="1443"/>
      <c r="AP89" s="1443"/>
      <c r="AQ89" s="1443"/>
      <c r="AR89" s="1443"/>
      <c r="AS89" s="1443"/>
      <c r="AT89" s="1443"/>
      <c r="AU89" s="1443"/>
      <c r="AV89" s="1443"/>
      <c r="AW89" s="1443"/>
      <c r="AX89" s="1443"/>
      <c r="AY89" s="1443"/>
      <c r="AZ89" s="1443"/>
      <c r="BA89" s="1713"/>
      <c r="BB89" s="1446">
        <v>1</v>
      </c>
      <c r="BC89" s="1447">
        <v>0</v>
      </c>
      <c r="BD89" s="1447">
        <v>1</v>
      </c>
      <c r="BE89" s="1447">
        <v>3</v>
      </c>
      <c r="BF89" s="1447">
        <v>2</v>
      </c>
      <c r="BG89" s="1447">
        <v>2</v>
      </c>
      <c r="BH89" s="1447">
        <v>0</v>
      </c>
      <c r="BI89" s="1447">
        <v>2</v>
      </c>
      <c r="BJ89" s="1447">
        <v>2</v>
      </c>
      <c r="BK89" s="1680"/>
      <c r="BL89" s="1447"/>
      <c r="BM89" s="1447"/>
      <c r="BN89" s="1447"/>
      <c r="BO89" s="1447"/>
      <c r="BP89" s="1447"/>
      <c r="BQ89" s="1447"/>
      <c r="BR89" s="1448"/>
      <c r="BS89" s="1439"/>
      <c r="BT89" s="1440"/>
      <c r="BU89" s="1440"/>
      <c r="BV89" s="1440"/>
      <c r="BW89" s="1440"/>
      <c r="BX89" s="1440"/>
      <c r="BY89" s="1440"/>
      <c r="BZ89" s="1440"/>
      <c r="CA89" s="1440"/>
      <c r="CB89" s="1440"/>
      <c r="CC89" s="1440"/>
      <c r="CD89" s="1440"/>
      <c r="CE89" s="1440"/>
      <c r="CF89" s="1440"/>
      <c r="CG89" s="1440"/>
      <c r="CH89" s="1440"/>
      <c r="CI89" s="1441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5" t="s">
        <v>78</v>
      </c>
      <c r="B90" s="1430" t="str">
        <f t="shared" si="130"/>
        <v>M</v>
      </c>
      <c r="C90" s="1523"/>
      <c r="D90" s="1524"/>
      <c r="E90" s="1524"/>
      <c r="F90" s="1524"/>
      <c r="G90" s="1524"/>
      <c r="H90" s="1524"/>
      <c r="I90" s="1524"/>
      <c r="J90" s="1524"/>
      <c r="K90" s="1524"/>
      <c r="L90" s="1737"/>
      <c r="M90" s="1524"/>
      <c r="N90" s="1524"/>
      <c r="O90" s="1524"/>
      <c r="P90" s="1524"/>
      <c r="Q90" s="1524"/>
      <c r="R90" s="1524"/>
      <c r="S90" s="1525"/>
      <c r="T90" s="1439"/>
      <c r="U90" s="1440"/>
      <c r="V90" s="1440"/>
      <c r="W90" s="1440"/>
      <c r="X90" s="1440"/>
      <c r="Y90" s="1440"/>
      <c r="Z90" s="1440"/>
      <c r="AA90" s="1440"/>
      <c r="AB90" s="1440"/>
      <c r="AC90" s="1440"/>
      <c r="AD90" s="1440"/>
      <c r="AE90" s="1440"/>
      <c r="AF90" s="1440"/>
      <c r="AG90" s="1440"/>
      <c r="AH90" s="1532"/>
      <c r="AI90" s="1440"/>
      <c r="AJ90" s="1712"/>
      <c r="AK90" s="1442"/>
      <c r="AL90" s="1443"/>
      <c r="AM90" s="1443"/>
      <c r="AN90" s="1443"/>
      <c r="AO90" s="1443"/>
      <c r="AP90" s="1443"/>
      <c r="AQ90" s="1443"/>
      <c r="AR90" s="1443"/>
      <c r="AS90" s="1443"/>
      <c r="AT90" s="1443"/>
      <c r="AU90" s="1443"/>
      <c r="AV90" s="1443"/>
      <c r="AW90" s="1443"/>
      <c r="AX90" s="1443"/>
      <c r="AY90" s="1443"/>
      <c r="AZ90" s="1443"/>
      <c r="BA90" s="1713"/>
      <c r="BB90" s="1446">
        <v>0</v>
      </c>
      <c r="BC90" s="1447">
        <v>0</v>
      </c>
      <c r="BD90" s="1447">
        <v>0</v>
      </c>
      <c r="BE90" s="1447">
        <v>0</v>
      </c>
      <c r="BF90" s="1447">
        <v>0</v>
      </c>
      <c r="BG90" s="1447">
        <v>1</v>
      </c>
      <c r="BH90" s="1447">
        <v>0</v>
      </c>
      <c r="BI90" s="1447">
        <v>1</v>
      </c>
      <c r="BJ90" s="1447">
        <v>1</v>
      </c>
      <c r="BK90" s="1680"/>
      <c r="BL90" s="1447"/>
      <c r="BM90" s="1447"/>
      <c r="BN90" s="1447"/>
      <c r="BO90" s="1447"/>
      <c r="BP90" s="1447"/>
      <c r="BQ90" s="1447"/>
      <c r="BR90" s="1448"/>
      <c r="BS90" s="1439"/>
      <c r="BT90" s="1440"/>
      <c r="BU90" s="1440"/>
      <c r="BV90" s="1440"/>
      <c r="BW90" s="1440"/>
      <c r="BX90" s="1440"/>
      <c r="BY90" s="1440"/>
      <c r="BZ90" s="1440"/>
      <c r="CA90" s="1440"/>
      <c r="CB90" s="1440"/>
      <c r="CC90" s="1440"/>
      <c r="CD90" s="1440"/>
      <c r="CE90" s="1440"/>
      <c r="CF90" s="1440"/>
      <c r="CG90" s="1440"/>
      <c r="CH90" s="1440"/>
      <c r="CI90" s="1441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5" t="s">
        <v>79</v>
      </c>
      <c r="B91" s="1430" t="str">
        <f t="shared" si="130"/>
        <v>M</v>
      </c>
      <c r="C91" s="1523"/>
      <c r="D91" s="1524"/>
      <c r="E91" s="1524"/>
      <c r="F91" s="1524"/>
      <c r="G91" s="1524"/>
      <c r="H91" s="1524"/>
      <c r="I91" s="1524"/>
      <c r="J91" s="1524"/>
      <c r="K91" s="1524"/>
      <c r="L91" s="1737"/>
      <c r="M91" s="1524"/>
      <c r="N91" s="1524"/>
      <c r="O91" s="1524"/>
      <c r="P91" s="1524"/>
      <c r="Q91" s="1524"/>
      <c r="R91" s="1524"/>
      <c r="S91" s="1525"/>
      <c r="T91" s="1439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532"/>
      <c r="AI91" s="1440"/>
      <c r="AJ91" s="1712"/>
      <c r="AK91" s="1442"/>
      <c r="AL91" s="1443"/>
      <c r="AM91" s="1443"/>
      <c r="AN91" s="1443"/>
      <c r="AO91" s="1443"/>
      <c r="AP91" s="1443"/>
      <c r="AQ91" s="1443"/>
      <c r="AR91" s="1443"/>
      <c r="AS91" s="1443"/>
      <c r="AT91" s="1443"/>
      <c r="AU91" s="1443"/>
      <c r="AV91" s="1443"/>
      <c r="AW91" s="1443"/>
      <c r="AX91" s="1443"/>
      <c r="AY91" s="1443"/>
      <c r="AZ91" s="1443"/>
      <c r="BA91" s="1713"/>
      <c r="BB91" s="1446">
        <v>3</v>
      </c>
      <c r="BC91" s="1447">
        <v>3</v>
      </c>
      <c r="BD91" s="1447">
        <v>2</v>
      </c>
      <c r="BE91" s="1447">
        <v>1</v>
      </c>
      <c r="BF91" s="1447">
        <v>2</v>
      </c>
      <c r="BG91" s="1447">
        <v>2</v>
      </c>
      <c r="BH91" s="1447">
        <v>0</v>
      </c>
      <c r="BI91" s="1447">
        <v>2</v>
      </c>
      <c r="BJ91" s="1447">
        <v>1</v>
      </c>
      <c r="BK91" s="1680"/>
      <c r="BL91" s="1447"/>
      <c r="BM91" s="1447"/>
      <c r="BN91" s="1447"/>
      <c r="BO91" s="1447"/>
      <c r="BP91" s="1447"/>
      <c r="BQ91" s="1447"/>
      <c r="BR91" s="1448"/>
      <c r="BS91" s="1439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1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5" t="s">
        <v>80</v>
      </c>
      <c r="B92" s="1430" t="str">
        <f t="shared" si="130"/>
        <v>M</v>
      </c>
      <c r="C92" s="1523"/>
      <c r="D92" s="1524"/>
      <c r="E92" s="1524"/>
      <c r="F92" s="1524"/>
      <c r="G92" s="1524"/>
      <c r="H92" s="1524"/>
      <c r="I92" s="1524"/>
      <c r="J92" s="1524"/>
      <c r="K92" s="1524"/>
      <c r="L92" s="1737"/>
      <c r="M92" s="1524"/>
      <c r="N92" s="1524"/>
      <c r="O92" s="1524"/>
      <c r="P92" s="1524"/>
      <c r="Q92" s="1524"/>
      <c r="R92" s="1524"/>
      <c r="S92" s="1525"/>
      <c r="T92" s="1439"/>
      <c r="U92" s="1440"/>
      <c r="V92" s="1440"/>
      <c r="W92" s="1440"/>
      <c r="X92" s="1440"/>
      <c r="Y92" s="1440"/>
      <c r="Z92" s="1440"/>
      <c r="AA92" s="1440"/>
      <c r="AB92" s="1440"/>
      <c r="AC92" s="1440"/>
      <c r="AD92" s="1440"/>
      <c r="AE92" s="1440"/>
      <c r="AF92" s="1440"/>
      <c r="AG92" s="1440"/>
      <c r="AH92" s="1532"/>
      <c r="AI92" s="1440"/>
      <c r="AJ92" s="1712"/>
      <c r="AK92" s="1442"/>
      <c r="AL92" s="1443"/>
      <c r="AM92" s="1443"/>
      <c r="AN92" s="1443"/>
      <c r="AO92" s="1443"/>
      <c r="AP92" s="1443"/>
      <c r="AQ92" s="1443"/>
      <c r="AR92" s="1443"/>
      <c r="AS92" s="1443"/>
      <c r="AT92" s="1443"/>
      <c r="AU92" s="1443"/>
      <c r="AV92" s="1443"/>
      <c r="AW92" s="1443"/>
      <c r="AX92" s="1443"/>
      <c r="AY92" s="1443"/>
      <c r="AZ92" s="1443"/>
      <c r="BA92" s="1713"/>
      <c r="BB92" s="1446">
        <v>2</v>
      </c>
      <c r="BC92" s="1447">
        <v>0</v>
      </c>
      <c r="BD92" s="1447">
        <v>1</v>
      </c>
      <c r="BE92" s="1447">
        <v>1</v>
      </c>
      <c r="BF92" s="1447">
        <v>2</v>
      </c>
      <c r="BG92" s="1447">
        <v>0</v>
      </c>
      <c r="BH92" s="1447">
        <v>1</v>
      </c>
      <c r="BI92" s="1447">
        <v>1</v>
      </c>
      <c r="BJ92" s="1447">
        <v>1</v>
      </c>
      <c r="BK92" s="1680"/>
      <c r="BL92" s="1447"/>
      <c r="BM92" s="1447"/>
      <c r="BN92" s="1447"/>
      <c r="BO92" s="1447"/>
      <c r="BP92" s="1447"/>
      <c r="BQ92" s="1447"/>
      <c r="BR92" s="1448"/>
      <c r="BS92" s="1439"/>
      <c r="BT92" s="1440"/>
      <c r="BU92" s="1440"/>
      <c r="BV92" s="1440"/>
      <c r="BW92" s="1440"/>
      <c r="BX92" s="1440"/>
      <c r="BY92" s="1440"/>
      <c r="BZ92" s="1440"/>
      <c r="CA92" s="1440"/>
      <c r="CB92" s="1440"/>
      <c r="CC92" s="1440"/>
      <c r="CD92" s="1440"/>
      <c r="CE92" s="1440"/>
      <c r="CF92" s="1440"/>
      <c r="CG92" s="1440"/>
      <c r="CH92" s="1440"/>
      <c r="CI92" s="1441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8" t="s">
        <v>81</v>
      </c>
      <c r="B93" s="1430" t="str">
        <f t="shared" si="130"/>
        <v>M</v>
      </c>
      <c r="C93" s="1526"/>
      <c r="D93" s="1527"/>
      <c r="E93" s="1527"/>
      <c r="F93" s="1527"/>
      <c r="G93" s="1527"/>
      <c r="H93" s="1527"/>
      <c r="I93" s="1527"/>
      <c r="J93" s="1527"/>
      <c r="K93" s="1527"/>
      <c r="L93" s="1738"/>
      <c r="M93" s="1527"/>
      <c r="N93" s="1527"/>
      <c r="O93" s="1527"/>
      <c r="P93" s="1527"/>
      <c r="Q93" s="1527"/>
      <c r="R93" s="1527"/>
      <c r="S93" s="1528"/>
      <c r="T93" s="1450"/>
      <c r="U93" s="1451"/>
      <c r="V93" s="1451"/>
      <c r="W93" s="1451"/>
      <c r="X93" s="1451"/>
      <c r="Y93" s="1451"/>
      <c r="Z93" s="1451"/>
      <c r="AA93" s="1451"/>
      <c r="AB93" s="1451"/>
      <c r="AC93" s="1451"/>
      <c r="AD93" s="1451"/>
      <c r="AE93" s="1451"/>
      <c r="AF93" s="1451"/>
      <c r="AG93" s="1451"/>
      <c r="AH93" s="1452"/>
      <c r="AI93" s="1451"/>
      <c r="AJ93" s="1702"/>
      <c r="AK93" s="1450"/>
      <c r="AL93" s="1451"/>
      <c r="AM93" s="1451"/>
      <c r="AN93" s="1451"/>
      <c r="AO93" s="1451"/>
      <c r="AP93" s="1451"/>
      <c r="AQ93" s="1451"/>
      <c r="AR93" s="1451"/>
      <c r="AS93" s="1451"/>
      <c r="AT93" s="1451"/>
      <c r="AU93" s="1451"/>
      <c r="AV93" s="1451"/>
      <c r="AW93" s="1451"/>
      <c r="AX93" s="1451"/>
      <c r="AY93" s="1451"/>
      <c r="AZ93" s="1451"/>
      <c r="BA93" s="1702"/>
      <c r="BB93" s="1514">
        <f t="shared" ref="BB93:BK93" si="150">IF(BB86="","",SUM(BB86,BB88,-BB89,-BB90,-BB91,BB92))</f>
        <v>9</v>
      </c>
      <c r="BC93" s="1515">
        <f t="shared" si="150"/>
        <v>4</v>
      </c>
      <c r="BD93" s="1515">
        <f t="shared" si="150"/>
        <v>4</v>
      </c>
      <c r="BE93" s="1515">
        <f t="shared" si="150"/>
        <v>15</v>
      </c>
      <c r="BF93" s="1515">
        <f t="shared" si="150"/>
        <v>8</v>
      </c>
      <c r="BG93" s="1515">
        <f t="shared" si="150"/>
        <v>15</v>
      </c>
      <c r="BH93" s="1515">
        <f t="shared" si="150"/>
        <v>4</v>
      </c>
      <c r="BI93" s="1515">
        <f t="shared" si="150"/>
        <v>6</v>
      </c>
      <c r="BJ93" s="1515">
        <f t="shared" si="150"/>
        <v>5</v>
      </c>
      <c r="BK93" s="1687" t="str">
        <f t="shared" si="150"/>
        <v/>
      </c>
      <c r="BL93" s="1515"/>
      <c r="BM93" s="1515" t="str">
        <f t="shared" ref="BM93:BR93" si="151">IF(BM86="","",SUM(BM86,BM88,-BM89,-BM90,-BM91,BM92))</f>
        <v/>
      </c>
      <c r="BN93" s="1515" t="str">
        <f t="shared" si="151"/>
        <v/>
      </c>
      <c r="BO93" s="1515" t="str">
        <f t="shared" si="151"/>
        <v/>
      </c>
      <c r="BP93" s="1515" t="str">
        <f t="shared" si="151"/>
        <v/>
      </c>
      <c r="BQ93" s="1515" t="str">
        <f t="shared" si="151"/>
        <v/>
      </c>
      <c r="BR93" s="1515" t="str">
        <f t="shared" si="151"/>
        <v/>
      </c>
      <c r="BS93" s="1450"/>
      <c r="BT93" s="1451"/>
      <c r="BU93" s="1451"/>
      <c r="BV93" s="1451"/>
      <c r="BW93" s="1451"/>
      <c r="BX93" s="1451"/>
      <c r="BY93" s="1451"/>
      <c r="BZ93" s="1451"/>
      <c r="CA93" s="1451"/>
      <c r="CB93" s="1451"/>
      <c r="CC93" s="1451"/>
      <c r="CD93" s="1451"/>
      <c r="CE93" s="1451"/>
      <c r="CF93" s="1451"/>
      <c r="CG93" s="1451"/>
      <c r="CH93" s="1451"/>
      <c r="CI93" s="1453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4" t="s">
        <v>835</v>
      </c>
      <c r="B94" s="1421" t="str">
        <f t="shared" ref="B94:B101" si="152">$B$12</f>
        <v>BO</v>
      </c>
      <c r="C94" s="1501">
        <v>20</v>
      </c>
      <c r="D94" s="1533">
        <v>10</v>
      </c>
      <c r="E94" s="1533">
        <v>15</v>
      </c>
      <c r="F94" s="1533">
        <v>10</v>
      </c>
      <c r="G94" s="1533">
        <v>10</v>
      </c>
      <c r="H94" s="1533">
        <v>10</v>
      </c>
      <c r="I94" s="1533"/>
      <c r="J94" s="1533">
        <v>10</v>
      </c>
      <c r="K94" s="1533">
        <v>10</v>
      </c>
      <c r="L94" s="1739"/>
      <c r="M94" s="1533"/>
      <c r="N94" s="1533"/>
      <c r="O94" s="1533"/>
      <c r="P94" s="1533"/>
      <c r="Q94" s="1533"/>
      <c r="R94" s="1533"/>
      <c r="S94" s="1534"/>
      <c r="T94" s="1529"/>
      <c r="U94" s="1530"/>
      <c r="V94" s="1530"/>
      <c r="W94" s="1530"/>
      <c r="X94" s="1530"/>
      <c r="Y94" s="1530"/>
      <c r="Z94" s="1530"/>
      <c r="AA94" s="1530"/>
      <c r="AB94" s="1530"/>
      <c r="AC94" s="1530"/>
      <c r="AD94" s="1530"/>
      <c r="AE94" s="1530"/>
      <c r="AF94" s="1530"/>
      <c r="AG94" s="1530"/>
      <c r="AH94" s="1444"/>
      <c r="AI94" s="1530"/>
      <c r="AJ94" s="1714"/>
      <c r="AK94" s="1529"/>
      <c r="AL94" s="1530"/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30"/>
      <c r="AW94" s="1530"/>
      <c r="AX94" s="1530"/>
      <c r="AY94" s="1530"/>
      <c r="AZ94" s="1530"/>
      <c r="BA94" s="1714"/>
      <c r="BB94" s="1529"/>
      <c r="BC94" s="1530"/>
      <c r="BD94" s="1530"/>
      <c r="BE94" s="1530"/>
      <c r="BF94" s="1530"/>
      <c r="BG94" s="1530"/>
      <c r="BH94" s="1530"/>
      <c r="BI94" s="1530"/>
      <c r="BJ94" s="1530"/>
      <c r="BK94" s="1691"/>
      <c r="BL94" s="1530"/>
      <c r="BM94" s="1530"/>
      <c r="BN94" s="1530"/>
      <c r="BO94" s="1530"/>
      <c r="BP94" s="1530"/>
      <c r="BQ94" s="1530"/>
      <c r="BR94" s="1531"/>
      <c r="BS94" s="1460">
        <v>16</v>
      </c>
      <c r="BT94" s="1461">
        <v>10</v>
      </c>
      <c r="BU94" s="1461">
        <v>15</v>
      </c>
      <c r="BV94" s="1461">
        <v>10</v>
      </c>
      <c r="BW94" s="1461">
        <v>20</v>
      </c>
      <c r="BX94" s="1461">
        <v>2</v>
      </c>
      <c r="BY94" s="1461">
        <v>10</v>
      </c>
      <c r="BZ94" s="1461">
        <v>10</v>
      </c>
      <c r="CA94" s="1461">
        <v>15</v>
      </c>
      <c r="CB94" s="1461"/>
      <c r="CC94" s="1461"/>
      <c r="CD94" s="1461"/>
      <c r="CE94" s="1461"/>
      <c r="CF94" s="1461"/>
      <c r="CG94" s="1461"/>
      <c r="CH94" s="1461"/>
      <c r="CI94" s="1462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5" t="s">
        <v>75</v>
      </c>
      <c r="B95" s="1430" t="str">
        <f t="shared" si="152"/>
        <v>BO</v>
      </c>
      <c r="C95" s="1511">
        <v>7</v>
      </c>
      <c r="D95" s="1368">
        <v>4</v>
      </c>
      <c r="E95" s="1368">
        <v>6</v>
      </c>
      <c r="F95" s="1368">
        <v>5</v>
      </c>
      <c r="G95" s="1368">
        <v>5</v>
      </c>
      <c r="H95" s="1368">
        <v>6</v>
      </c>
      <c r="I95" s="1368"/>
      <c r="J95" s="1368">
        <v>4</v>
      </c>
      <c r="K95" s="1368">
        <v>8</v>
      </c>
      <c r="L95" s="1740"/>
      <c r="M95" s="1368"/>
      <c r="N95" s="1368"/>
      <c r="O95" s="1368"/>
      <c r="P95" s="1368"/>
      <c r="Q95" s="1368"/>
      <c r="R95" s="1368"/>
      <c r="S95" s="1535"/>
      <c r="T95" s="1442"/>
      <c r="U95" s="1443"/>
      <c r="V95" s="1443"/>
      <c r="W95" s="1443"/>
      <c r="X95" s="1443"/>
      <c r="Y95" s="1443"/>
      <c r="Z95" s="1443"/>
      <c r="AA95" s="1443"/>
      <c r="AB95" s="1443"/>
      <c r="AC95" s="1443"/>
      <c r="AD95" s="1443"/>
      <c r="AE95" s="1443"/>
      <c r="AF95" s="1443"/>
      <c r="AG95" s="1443"/>
      <c r="AH95" s="1444"/>
      <c r="AI95" s="1443"/>
      <c r="AJ95" s="1713"/>
      <c r="AK95" s="1442"/>
      <c r="AL95" s="1443"/>
      <c r="AM95" s="1443"/>
      <c r="AN95" s="1443"/>
      <c r="AO95" s="1443"/>
      <c r="AP95" s="1443"/>
      <c r="AQ95" s="1443"/>
      <c r="AR95" s="1443"/>
      <c r="AS95" s="1443"/>
      <c r="AT95" s="1443"/>
      <c r="AU95" s="1443"/>
      <c r="AV95" s="1443"/>
      <c r="AW95" s="1443"/>
      <c r="AX95" s="1443"/>
      <c r="AY95" s="1443"/>
      <c r="AZ95" s="1443"/>
      <c r="BA95" s="1713"/>
      <c r="BB95" s="1442"/>
      <c r="BC95" s="1443"/>
      <c r="BD95" s="1443"/>
      <c r="BE95" s="1443"/>
      <c r="BF95" s="1443"/>
      <c r="BG95" s="1443"/>
      <c r="BH95" s="1443"/>
      <c r="BI95" s="1443"/>
      <c r="BJ95" s="1443"/>
      <c r="BK95" s="1689"/>
      <c r="BL95" s="1443"/>
      <c r="BM95" s="1443"/>
      <c r="BN95" s="1443"/>
      <c r="BO95" s="1443"/>
      <c r="BP95" s="1443"/>
      <c r="BQ95" s="1443"/>
      <c r="BR95" s="1445"/>
      <c r="BS95" s="1446">
        <v>7</v>
      </c>
      <c r="BT95" s="1447">
        <v>3</v>
      </c>
      <c r="BU95" s="1447">
        <v>5</v>
      </c>
      <c r="BV95" s="1447">
        <v>6</v>
      </c>
      <c r="BW95" s="1447">
        <v>15</v>
      </c>
      <c r="BX95" s="1447">
        <v>1</v>
      </c>
      <c r="BY95" s="1447">
        <v>6</v>
      </c>
      <c r="BZ95" s="1447">
        <v>6</v>
      </c>
      <c r="CA95" s="1447">
        <v>6</v>
      </c>
      <c r="CB95" s="1447"/>
      <c r="CC95" s="1447"/>
      <c r="CD95" s="1447"/>
      <c r="CE95" s="1447"/>
      <c r="CF95" s="1447"/>
      <c r="CG95" s="1447"/>
      <c r="CH95" s="1447"/>
      <c r="CI95" s="1448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5" t="s">
        <v>76</v>
      </c>
      <c r="B96" s="1430" t="str">
        <f t="shared" si="152"/>
        <v>BO</v>
      </c>
      <c r="C96" s="1520"/>
      <c r="D96" s="1521"/>
      <c r="E96" s="1521"/>
      <c r="F96" s="1521"/>
      <c r="G96" s="1521"/>
      <c r="H96" s="1521"/>
      <c r="I96" s="1521"/>
      <c r="J96" s="1521"/>
      <c r="K96" s="1521"/>
      <c r="L96" s="1736"/>
      <c r="M96" s="1521"/>
      <c r="N96" s="1521"/>
      <c r="O96" s="1521"/>
      <c r="P96" s="1521"/>
      <c r="Q96" s="1521"/>
      <c r="R96" s="1521"/>
      <c r="S96" s="1522"/>
      <c r="T96" s="1439"/>
      <c r="U96" s="1440"/>
      <c r="V96" s="1440"/>
      <c r="W96" s="1440"/>
      <c r="X96" s="1440"/>
      <c r="Y96" s="1440"/>
      <c r="Z96" s="1440"/>
      <c r="AA96" s="1440"/>
      <c r="AB96" s="1440"/>
      <c r="AC96" s="1440"/>
      <c r="AD96" s="1440"/>
      <c r="AE96" s="1440"/>
      <c r="AF96" s="1440"/>
      <c r="AG96" s="1440"/>
      <c r="AH96" s="1532"/>
      <c r="AI96" s="1440"/>
      <c r="AJ96" s="1712"/>
      <c r="AK96" s="1439"/>
      <c r="AL96" s="1440"/>
      <c r="AM96" s="1440"/>
      <c r="AN96" s="1440"/>
      <c r="AO96" s="1440"/>
      <c r="AP96" s="1440"/>
      <c r="AQ96" s="1440"/>
      <c r="AR96" s="1440"/>
      <c r="AS96" s="1440"/>
      <c r="AT96" s="1440"/>
      <c r="AU96" s="1440"/>
      <c r="AV96" s="1440"/>
      <c r="AW96" s="1440"/>
      <c r="AX96" s="1440"/>
      <c r="AY96" s="1440"/>
      <c r="AZ96" s="1440"/>
      <c r="BA96" s="1712"/>
      <c r="BB96" s="1439"/>
      <c r="BC96" s="1440"/>
      <c r="BD96" s="1440"/>
      <c r="BE96" s="1440"/>
      <c r="BF96" s="1440"/>
      <c r="BG96" s="1440"/>
      <c r="BH96" s="1440"/>
      <c r="BI96" s="1440"/>
      <c r="BJ96" s="1440"/>
      <c r="BK96" s="1688"/>
      <c r="BL96" s="1440"/>
      <c r="BM96" s="1440"/>
      <c r="BN96" s="1440"/>
      <c r="BO96" s="1440"/>
      <c r="BP96" s="1440"/>
      <c r="BQ96" s="1440"/>
      <c r="BR96" s="1441"/>
      <c r="BS96" s="1446">
        <v>4</v>
      </c>
      <c r="BT96" s="1447">
        <v>2</v>
      </c>
      <c r="BU96" s="1447">
        <v>4</v>
      </c>
      <c r="BV96" s="1447">
        <v>6</v>
      </c>
      <c r="BW96" s="1447">
        <v>7</v>
      </c>
      <c r="BX96" s="1447">
        <v>1</v>
      </c>
      <c r="BY96" s="1447">
        <v>4</v>
      </c>
      <c r="BZ96" s="1447">
        <v>4</v>
      </c>
      <c r="CA96" s="1447">
        <v>6</v>
      </c>
      <c r="CB96" s="1447"/>
      <c r="CC96" s="1447"/>
      <c r="CD96" s="1447"/>
      <c r="CE96" s="1447"/>
      <c r="CF96" s="1447"/>
      <c r="CG96" s="1447"/>
      <c r="CH96" s="1447"/>
      <c r="CI96" s="1448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5" t="s">
        <v>77</v>
      </c>
      <c r="B97" s="1430" t="str">
        <f t="shared" si="152"/>
        <v>BO</v>
      </c>
      <c r="C97" s="1523"/>
      <c r="D97" s="1524"/>
      <c r="E97" s="1524"/>
      <c r="F97" s="1524"/>
      <c r="G97" s="1524"/>
      <c r="H97" s="1524"/>
      <c r="I97" s="1524"/>
      <c r="J97" s="1524"/>
      <c r="K97" s="1524"/>
      <c r="L97" s="1737"/>
      <c r="M97" s="1524"/>
      <c r="N97" s="1524"/>
      <c r="O97" s="1524"/>
      <c r="P97" s="1524"/>
      <c r="Q97" s="1524"/>
      <c r="R97" s="1524"/>
      <c r="S97" s="1525"/>
      <c r="T97" s="1439"/>
      <c r="U97" s="1440"/>
      <c r="V97" s="1440"/>
      <c r="W97" s="1440"/>
      <c r="X97" s="1440"/>
      <c r="Y97" s="1440"/>
      <c r="Z97" s="1440"/>
      <c r="AA97" s="1440"/>
      <c r="AB97" s="1440"/>
      <c r="AC97" s="1440"/>
      <c r="AD97" s="1440"/>
      <c r="AE97" s="1440"/>
      <c r="AF97" s="1440"/>
      <c r="AG97" s="1440"/>
      <c r="AH97" s="1532"/>
      <c r="AI97" s="1440"/>
      <c r="AJ97" s="1712"/>
      <c r="AK97" s="1439"/>
      <c r="AL97" s="1440"/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440"/>
      <c r="AW97" s="1440"/>
      <c r="AX97" s="1440"/>
      <c r="AY97" s="1440"/>
      <c r="AZ97" s="1440"/>
      <c r="BA97" s="1712"/>
      <c r="BB97" s="1439"/>
      <c r="BC97" s="1440"/>
      <c r="BD97" s="1440"/>
      <c r="BE97" s="1440"/>
      <c r="BF97" s="1440"/>
      <c r="BG97" s="1440"/>
      <c r="BH97" s="1440"/>
      <c r="BI97" s="1440"/>
      <c r="BJ97" s="1440"/>
      <c r="BK97" s="1688"/>
      <c r="BL97" s="1440"/>
      <c r="BM97" s="1440"/>
      <c r="BN97" s="1440"/>
      <c r="BO97" s="1440"/>
      <c r="BP97" s="1440"/>
      <c r="BQ97" s="1440"/>
      <c r="BR97" s="1441"/>
      <c r="BS97" s="1446">
        <v>2</v>
      </c>
      <c r="BT97" s="1447">
        <v>0</v>
      </c>
      <c r="BU97" s="1447">
        <v>4</v>
      </c>
      <c r="BV97" s="1447">
        <v>4</v>
      </c>
      <c r="BW97" s="1447">
        <v>4</v>
      </c>
      <c r="BX97" s="1447">
        <v>1</v>
      </c>
      <c r="BY97" s="1447">
        <v>1</v>
      </c>
      <c r="BZ97" s="1447">
        <v>1</v>
      </c>
      <c r="CA97" s="1447">
        <v>2</v>
      </c>
      <c r="CB97" s="1447"/>
      <c r="CC97" s="1447"/>
      <c r="CD97" s="1447"/>
      <c r="CE97" s="1447"/>
      <c r="CF97" s="1447"/>
      <c r="CG97" s="1447"/>
      <c r="CH97" s="1447"/>
      <c r="CI97" s="1448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5" t="s">
        <v>78</v>
      </c>
      <c r="B98" s="1430" t="str">
        <f t="shared" si="152"/>
        <v>BO</v>
      </c>
      <c r="C98" s="1523"/>
      <c r="D98" s="1524"/>
      <c r="E98" s="1524"/>
      <c r="F98" s="1524"/>
      <c r="G98" s="1524"/>
      <c r="H98" s="1524"/>
      <c r="I98" s="1524"/>
      <c r="J98" s="1524"/>
      <c r="K98" s="1524"/>
      <c r="L98" s="1737"/>
      <c r="M98" s="1524"/>
      <c r="N98" s="1524"/>
      <c r="O98" s="1524"/>
      <c r="P98" s="1524"/>
      <c r="Q98" s="1524"/>
      <c r="R98" s="1524"/>
      <c r="S98" s="1525"/>
      <c r="T98" s="1439"/>
      <c r="U98" s="1440"/>
      <c r="V98" s="1440"/>
      <c r="W98" s="1440"/>
      <c r="X98" s="1440"/>
      <c r="Y98" s="1440"/>
      <c r="Z98" s="1440"/>
      <c r="AA98" s="1440"/>
      <c r="AB98" s="1440"/>
      <c r="AC98" s="1440"/>
      <c r="AD98" s="1440"/>
      <c r="AE98" s="1440"/>
      <c r="AF98" s="1440"/>
      <c r="AG98" s="1440"/>
      <c r="AH98" s="1532"/>
      <c r="AI98" s="1440"/>
      <c r="AJ98" s="1712"/>
      <c r="AK98" s="1439"/>
      <c r="AL98" s="1440"/>
      <c r="AM98" s="1440"/>
      <c r="AN98" s="1440"/>
      <c r="AO98" s="1440"/>
      <c r="AP98" s="1440"/>
      <c r="AQ98" s="1440"/>
      <c r="AR98" s="1440"/>
      <c r="AS98" s="1440"/>
      <c r="AT98" s="1440"/>
      <c r="AU98" s="1440"/>
      <c r="AV98" s="1440"/>
      <c r="AW98" s="1440"/>
      <c r="AX98" s="1440"/>
      <c r="AY98" s="1440"/>
      <c r="AZ98" s="1440"/>
      <c r="BA98" s="1712"/>
      <c r="BB98" s="1439"/>
      <c r="BC98" s="1440"/>
      <c r="BD98" s="1440"/>
      <c r="BE98" s="1440"/>
      <c r="BF98" s="1440"/>
      <c r="BG98" s="1440"/>
      <c r="BH98" s="1440"/>
      <c r="BI98" s="1440"/>
      <c r="BJ98" s="1440"/>
      <c r="BK98" s="1688"/>
      <c r="BL98" s="1440"/>
      <c r="BM98" s="1440"/>
      <c r="BN98" s="1440"/>
      <c r="BO98" s="1440"/>
      <c r="BP98" s="1440"/>
      <c r="BQ98" s="1440"/>
      <c r="BR98" s="1441"/>
      <c r="BS98" s="1446">
        <v>0</v>
      </c>
      <c r="BT98" s="1447">
        <v>0</v>
      </c>
      <c r="BU98" s="1447">
        <v>0</v>
      </c>
      <c r="BV98" s="1447">
        <v>0</v>
      </c>
      <c r="BW98" s="1447">
        <v>0</v>
      </c>
      <c r="BX98" s="1447">
        <v>0</v>
      </c>
      <c r="BY98" s="1447">
        <v>0</v>
      </c>
      <c r="BZ98" s="1447">
        <v>1</v>
      </c>
      <c r="CA98" s="1447">
        <v>0</v>
      </c>
      <c r="CB98" s="1447"/>
      <c r="CC98" s="1447"/>
      <c r="CD98" s="1447"/>
      <c r="CE98" s="1447"/>
      <c r="CF98" s="1447"/>
      <c r="CG98" s="1447"/>
      <c r="CH98" s="1447"/>
      <c r="CI98" s="1448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5" t="s">
        <v>79</v>
      </c>
      <c r="B99" s="1430" t="str">
        <f t="shared" si="152"/>
        <v>BO</v>
      </c>
      <c r="C99" s="1523"/>
      <c r="D99" s="1524"/>
      <c r="E99" s="1524"/>
      <c r="F99" s="1524"/>
      <c r="G99" s="1524"/>
      <c r="H99" s="1524"/>
      <c r="I99" s="1524"/>
      <c r="J99" s="1524"/>
      <c r="K99" s="1524"/>
      <c r="L99" s="1737"/>
      <c r="M99" s="1524"/>
      <c r="N99" s="1524"/>
      <c r="O99" s="1524"/>
      <c r="P99" s="1524"/>
      <c r="Q99" s="1524"/>
      <c r="R99" s="1524"/>
      <c r="S99" s="1525"/>
      <c r="T99" s="1439"/>
      <c r="U99" s="1440"/>
      <c r="V99" s="1440"/>
      <c r="W99" s="1440"/>
      <c r="X99" s="1440"/>
      <c r="Y99" s="1440"/>
      <c r="Z99" s="1440"/>
      <c r="AA99" s="1440"/>
      <c r="AB99" s="1440"/>
      <c r="AC99" s="1440"/>
      <c r="AD99" s="1440"/>
      <c r="AE99" s="1440"/>
      <c r="AF99" s="1440"/>
      <c r="AG99" s="1440"/>
      <c r="AH99" s="1532"/>
      <c r="AI99" s="1440"/>
      <c r="AJ99" s="1712"/>
      <c r="AK99" s="1439"/>
      <c r="AL99" s="1440"/>
      <c r="AM99" s="1440"/>
      <c r="AN99" s="1440"/>
      <c r="AO99" s="1440"/>
      <c r="AP99" s="1440"/>
      <c r="AQ99" s="1440"/>
      <c r="AR99" s="1440"/>
      <c r="AS99" s="1440"/>
      <c r="AT99" s="1440"/>
      <c r="AU99" s="1440"/>
      <c r="AV99" s="1440"/>
      <c r="AW99" s="1440"/>
      <c r="AX99" s="1440"/>
      <c r="AY99" s="1440"/>
      <c r="AZ99" s="1440"/>
      <c r="BA99" s="1712"/>
      <c r="BB99" s="1439"/>
      <c r="BC99" s="1440"/>
      <c r="BD99" s="1440"/>
      <c r="BE99" s="1440"/>
      <c r="BF99" s="1440"/>
      <c r="BG99" s="1440"/>
      <c r="BH99" s="1440"/>
      <c r="BI99" s="1440"/>
      <c r="BJ99" s="1440"/>
      <c r="BK99" s="1688"/>
      <c r="BL99" s="1440"/>
      <c r="BM99" s="1440"/>
      <c r="BN99" s="1440"/>
      <c r="BO99" s="1440"/>
      <c r="BP99" s="1440"/>
      <c r="BQ99" s="1440"/>
      <c r="BR99" s="1441"/>
      <c r="BS99" s="1446">
        <v>0</v>
      </c>
      <c r="BT99" s="1447">
        <v>1</v>
      </c>
      <c r="BU99" s="1447">
        <v>3</v>
      </c>
      <c r="BV99" s="1447">
        <v>0</v>
      </c>
      <c r="BW99" s="1447">
        <v>2</v>
      </c>
      <c r="BX99" s="1447">
        <v>0</v>
      </c>
      <c r="BY99" s="1447">
        <v>0</v>
      </c>
      <c r="BZ99" s="1447">
        <v>0</v>
      </c>
      <c r="CA99" s="1447">
        <v>3</v>
      </c>
      <c r="CB99" s="1447"/>
      <c r="CC99" s="1447"/>
      <c r="CD99" s="1447"/>
      <c r="CE99" s="1447"/>
      <c r="CF99" s="1447"/>
      <c r="CG99" s="1447"/>
      <c r="CH99" s="1447"/>
      <c r="CI99" s="1448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5" t="s">
        <v>80</v>
      </c>
      <c r="B100" s="1430" t="str">
        <f t="shared" si="152"/>
        <v>BO</v>
      </c>
      <c r="C100" s="1523"/>
      <c r="D100" s="1524"/>
      <c r="E100" s="1524"/>
      <c r="F100" s="1524"/>
      <c r="G100" s="1524"/>
      <c r="H100" s="1524"/>
      <c r="I100" s="1524"/>
      <c r="J100" s="1524"/>
      <c r="K100" s="1524"/>
      <c r="L100" s="1737"/>
      <c r="M100" s="1524"/>
      <c r="N100" s="1524"/>
      <c r="O100" s="1524"/>
      <c r="P100" s="1524"/>
      <c r="Q100" s="1524"/>
      <c r="R100" s="1524"/>
      <c r="S100" s="1525"/>
      <c r="T100" s="1439"/>
      <c r="U100" s="1440"/>
      <c r="V100" s="1440"/>
      <c r="W100" s="1440"/>
      <c r="X100" s="1440"/>
      <c r="Y100" s="1440"/>
      <c r="Z100" s="1440"/>
      <c r="AA100" s="1440"/>
      <c r="AB100" s="1440"/>
      <c r="AC100" s="1440"/>
      <c r="AD100" s="1440"/>
      <c r="AE100" s="1440"/>
      <c r="AF100" s="1440"/>
      <c r="AG100" s="1440"/>
      <c r="AH100" s="1532"/>
      <c r="AI100" s="1440"/>
      <c r="AJ100" s="1712"/>
      <c r="AK100" s="1439"/>
      <c r="AL100" s="1440"/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440"/>
      <c r="AW100" s="1440"/>
      <c r="AX100" s="1440"/>
      <c r="AY100" s="1440"/>
      <c r="AZ100" s="1440"/>
      <c r="BA100" s="1712"/>
      <c r="BB100" s="1439"/>
      <c r="BC100" s="1440"/>
      <c r="BD100" s="1440"/>
      <c r="BE100" s="1440"/>
      <c r="BF100" s="1440"/>
      <c r="BG100" s="1440"/>
      <c r="BH100" s="1440"/>
      <c r="BI100" s="1440"/>
      <c r="BJ100" s="1440"/>
      <c r="BK100" s="1688"/>
      <c r="BL100" s="1440"/>
      <c r="BM100" s="1440"/>
      <c r="BN100" s="1440"/>
      <c r="BO100" s="1440"/>
      <c r="BP100" s="1440"/>
      <c r="BQ100" s="1440"/>
      <c r="BR100" s="1441"/>
      <c r="BS100" s="1446">
        <v>0</v>
      </c>
      <c r="BT100" s="1447">
        <v>2</v>
      </c>
      <c r="BU100" s="1447">
        <v>4</v>
      </c>
      <c r="BV100" s="1447">
        <v>2</v>
      </c>
      <c r="BW100" s="1447">
        <v>4</v>
      </c>
      <c r="BX100" s="1447">
        <v>2</v>
      </c>
      <c r="BY100" s="1447">
        <v>0</v>
      </c>
      <c r="BZ100" s="1447">
        <v>1</v>
      </c>
      <c r="CA100" s="1447">
        <v>0</v>
      </c>
      <c r="CB100" s="1447"/>
      <c r="CC100" s="1447"/>
      <c r="CD100" s="1447"/>
      <c r="CE100" s="1447"/>
      <c r="CF100" s="1447"/>
      <c r="CG100" s="1447"/>
      <c r="CH100" s="1447"/>
      <c r="CI100" s="1448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8" t="s">
        <v>81</v>
      </c>
      <c r="B101" s="1430" t="str">
        <f t="shared" si="152"/>
        <v>BO</v>
      </c>
      <c r="C101" s="1526"/>
      <c r="D101" s="1527"/>
      <c r="E101" s="1527"/>
      <c r="F101" s="1527"/>
      <c r="G101" s="1527"/>
      <c r="H101" s="1527"/>
      <c r="I101" s="1527"/>
      <c r="J101" s="1527"/>
      <c r="K101" s="1527"/>
      <c r="L101" s="1738"/>
      <c r="M101" s="1527"/>
      <c r="N101" s="1527"/>
      <c r="O101" s="1527"/>
      <c r="P101" s="1527"/>
      <c r="Q101" s="1527"/>
      <c r="R101" s="1527"/>
      <c r="S101" s="1528"/>
      <c r="T101" s="1450"/>
      <c r="U101" s="1451"/>
      <c r="V101" s="1451"/>
      <c r="W101" s="1451"/>
      <c r="X101" s="1451"/>
      <c r="Y101" s="1451"/>
      <c r="Z101" s="1451"/>
      <c r="AA101" s="1451"/>
      <c r="AB101" s="1451"/>
      <c r="AC101" s="1451"/>
      <c r="AD101" s="1451"/>
      <c r="AE101" s="1451"/>
      <c r="AF101" s="1451"/>
      <c r="AG101" s="1451"/>
      <c r="AH101" s="1452"/>
      <c r="AI101" s="1451"/>
      <c r="AJ101" s="1702"/>
      <c r="AK101" s="1450"/>
      <c r="AL101" s="1451"/>
      <c r="AM101" s="1451"/>
      <c r="AN101" s="1451"/>
      <c r="AO101" s="1451"/>
      <c r="AP101" s="1451"/>
      <c r="AQ101" s="1451"/>
      <c r="AR101" s="1451"/>
      <c r="AS101" s="1451"/>
      <c r="AT101" s="1451"/>
      <c r="AU101" s="1451"/>
      <c r="AV101" s="1451"/>
      <c r="AW101" s="1451"/>
      <c r="AX101" s="1451"/>
      <c r="AY101" s="1451"/>
      <c r="AZ101" s="1451"/>
      <c r="BA101" s="1702"/>
      <c r="BB101" s="1450"/>
      <c r="BC101" s="1451"/>
      <c r="BD101" s="1451"/>
      <c r="BE101" s="1451"/>
      <c r="BF101" s="1451"/>
      <c r="BG101" s="1451"/>
      <c r="BH101" s="1451"/>
      <c r="BI101" s="1451"/>
      <c r="BJ101" s="1451"/>
      <c r="BK101" s="1690"/>
      <c r="BL101" s="1451"/>
      <c r="BM101" s="1451"/>
      <c r="BN101" s="1451"/>
      <c r="BO101" s="1451"/>
      <c r="BP101" s="1451"/>
      <c r="BQ101" s="1451"/>
      <c r="BR101" s="1453"/>
      <c r="BS101" s="1514">
        <f t="shared" ref="BS101:CI101" si="172">IF(BS94="","",SUM(BS94,BS96,-BS97,-BS98,-BS99,BS100))</f>
        <v>18</v>
      </c>
      <c r="BT101" s="1515">
        <f t="shared" si="172"/>
        <v>13</v>
      </c>
      <c r="BU101" s="1515">
        <f t="shared" si="172"/>
        <v>16</v>
      </c>
      <c r="BV101" s="1515">
        <f t="shared" si="172"/>
        <v>14</v>
      </c>
      <c r="BW101" s="1515">
        <f t="shared" si="172"/>
        <v>25</v>
      </c>
      <c r="BX101" s="1515">
        <f t="shared" si="172"/>
        <v>4</v>
      </c>
      <c r="BY101" s="1515">
        <f t="shared" si="172"/>
        <v>13</v>
      </c>
      <c r="BZ101" s="1515">
        <f t="shared" si="172"/>
        <v>13</v>
      </c>
      <c r="CA101" s="1515">
        <f t="shared" si="172"/>
        <v>16</v>
      </c>
      <c r="CB101" s="1515" t="str">
        <f t="shared" si="172"/>
        <v/>
      </c>
      <c r="CC101" s="1515" t="str">
        <f t="shared" si="172"/>
        <v/>
      </c>
      <c r="CD101" s="1515" t="str">
        <f t="shared" si="172"/>
        <v/>
      </c>
      <c r="CE101" s="1515" t="str">
        <f t="shared" si="172"/>
        <v/>
      </c>
      <c r="CF101" s="1515" t="str">
        <f t="shared" si="172"/>
        <v/>
      </c>
      <c r="CG101" s="1515" t="str">
        <f t="shared" si="172"/>
        <v/>
      </c>
      <c r="CH101" s="1515" t="str">
        <f t="shared" si="172"/>
        <v/>
      </c>
      <c r="CI101" s="1515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4" t="s">
        <v>836</v>
      </c>
      <c r="B102" s="1421" t="str">
        <f t="shared" ref="B102:B109" si="173">$B$9</f>
        <v>VP</v>
      </c>
      <c r="C102" s="1501">
        <v>0</v>
      </c>
      <c r="D102" s="1502">
        <v>0</v>
      </c>
      <c r="E102" s="1502">
        <v>0</v>
      </c>
      <c r="F102" s="1502">
        <v>0</v>
      </c>
      <c r="G102" s="1502"/>
      <c r="H102" s="1502"/>
      <c r="I102" s="1502">
        <v>2</v>
      </c>
      <c r="J102" s="1502"/>
      <c r="K102" s="1502">
        <v>0</v>
      </c>
      <c r="L102" s="1734"/>
      <c r="M102" s="1502"/>
      <c r="N102" s="1502"/>
      <c r="O102" s="1502"/>
      <c r="P102" s="1502"/>
      <c r="Q102" s="1502"/>
      <c r="R102" s="1502"/>
      <c r="S102" s="1503"/>
      <c r="T102" s="1446"/>
      <c r="U102" s="1461"/>
      <c r="V102" s="1461"/>
      <c r="W102" s="1461"/>
      <c r="X102" s="1461"/>
      <c r="Y102" s="1461"/>
      <c r="Z102" s="1461"/>
      <c r="AA102" s="1461"/>
      <c r="AB102" s="1461"/>
      <c r="AC102" s="1461"/>
      <c r="AD102" s="1461"/>
      <c r="AE102" s="1461"/>
      <c r="AF102" s="1461"/>
      <c r="AG102" s="1461"/>
      <c r="AH102" s="1476"/>
      <c r="AI102" s="1461"/>
      <c r="AJ102" s="1707"/>
      <c r="AK102" s="1427"/>
      <c r="AL102" s="1428"/>
      <c r="AM102" s="1428"/>
      <c r="AN102" s="1428"/>
      <c r="AO102" s="1428"/>
      <c r="AP102" s="1428"/>
      <c r="AQ102" s="1428"/>
      <c r="AR102" s="1428"/>
      <c r="AS102" s="1428"/>
      <c r="AT102" s="1428"/>
      <c r="AU102" s="1428"/>
      <c r="AV102" s="1428"/>
      <c r="AW102" s="1428"/>
      <c r="AX102" s="1428"/>
      <c r="AY102" s="1428"/>
      <c r="AZ102" s="1428"/>
      <c r="BA102" s="1711"/>
      <c r="BB102" s="1427"/>
      <c r="BC102" s="1428"/>
      <c r="BD102" s="1428"/>
      <c r="BE102" s="1428"/>
      <c r="BF102" s="1428"/>
      <c r="BG102" s="1428"/>
      <c r="BH102" s="1428"/>
      <c r="BI102" s="1428"/>
      <c r="BJ102" s="1428"/>
      <c r="BK102" s="1678"/>
      <c r="BL102" s="1428"/>
      <c r="BM102" s="1428"/>
      <c r="BN102" s="1428"/>
      <c r="BO102" s="1428"/>
      <c r="BP102" s="1428"/>
      <c r="BQ102" s="1428"/>
      <c r="BR102" s="1429"/>
      <c r="BS102" s="1427"/>
      <c r="BT102" s="1428"/>
      <c r="BU102" s="1428"/>
      <c r="BV102" s="1428"/>
      <c r="BW102" s="1428"/>
      <c r="BX102" s="1428"/>
      <c r="BY102" s="1428"/>
      <c r="BZ102" s="1428"/>
      <c r="CA102" s="1428"/>
      <c r="CB102" s="1428"/>
      <c r="CC102" s="1428"/>
      <c r="CD102" s="1428"/>
      <c r="CE102" s="1428"/>
      <c r="CF102" s="1428"/>
      <c r="CG102" s="1428"/>
      <c r="CH102" s="1428"/>
      <c r="CI102" s="1429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5" t="s">
        <v>75</v>
      </c>
      <c r="B103" s="1430" t="str">
        <f t="shared" si="173"/>
        <v>VP</v>
      </c>
      <c r="C103" s="1511"/>
      <c r="D103" s="1512">
        <v>0</v>
      </c>
      <c r="E103" s="1512">
        <v>0</v>
      </c>
      <c r="F103" s="1512">
        <v>0</v>
      </c>
      <c r="G103" s="1512"/>
      <c r="H103" s="1512"/>
      <c r="I103" s="1512">
        <v>1</v>
      </c>
      <c r="J103" s="1512"/>
      <c r="K103" s="1512">
        <v>0</v>
      </c>
      <c r="L103" s="1735"/>
      <c r="M103" s="1512"/>
      <c r="N103" s="1512"/>
      <c r="O103" s="1512"/>
      <c r="P103" s="1512"/>
      <c r="Q103" s="1512"/>
      <c r="R103" s="1512"/>
      <c r="S103" s="1513"/>
      <c r="T103" s="1446"/>
      <c r="U103" s="1447"/>
      <c r="V103" s="1447"/>
      <c r="W103" s="1447"/>
      <c r="X103" s="1447"/>
      <c r="Y103" s="1447"/>
      <c r="Z103" s="1447"/>
      <c r="AA103" s="1447"/>
      <c r="AB103" s="1447"/>
      <c r="AC103" s="1447"/>
      <c r="AD103" s="1447"/>
      <c r="AE103" s="1447"/>
      <c r="AF103" s="1447"/>
      <c r="AG103" s="1447"/>
      <c r="AH103" s="1487"/>
      <c r="AI103" s="1447"/>
      <c r="AJ103" s="1708"/>
      <c r="AK103" s="1439"/>
      <c r="AL103" s="1440"/>
      <c r="AM103" s="1440"/>
      <c r="AN103" s="1440"/>
      <c r="AO103" s="1440"/>
      <c r="AP103" s="1440"/>
      <c r="AQ103" s="1440"/>
      <c r="AR103" s="1440"/>
      <c r="AS103" s="1440"/>
      <c r="AT103" s="1440"/>
      <c r="AU103" s="1440"/>
      <c r="AV103" s="1440"/>
      <c r="AW103" s="1440"/>
      <c r="AX103" s="1440"/>
      <c r="AY103" s="1440"/>
      <c r="AZ103" s="1440"/>
      <c r="BA103" s="1712"/>
      <c r="BB103" s="1439"/>
      <c r="BC103" s="1440"/>
      <c r="BD103" s="1440"/>
      <c r="BE103" s="1440"/>
      <c r="BF103" s="1440"/>
      <c r="BG103" s="1440"/>
      <c r="BH103" s="1440"/>
      <c r="BI103" s="1440"/>
      <c r="BJ103" s="1440"/>
      <c r="BK103" s="1688"/>
      <c r="BL103" s="1440"/>
      <c r="BM103" s="1440"/>
      <c r="BN103" s="1440"/>
      <c r="BO103" s="1440"/>
      <c r="BP103" s="1440"/>
      <c r="BQ103" s="1440"/>
      <c r="BR103" s="1441"/>
      <c r="BS103" s="1439"/>
      <c r="BT103" s="1440"/>
      <c r="BU103" s="1440"/>
      <c r="BV103" s="1440"/>
      <c r="BW103" s="1440"/>
      <c r="BX103" s="1440"/>
      <c r="BY103" s="1440"/>
      <c r="BZ103" s="1440"/>
      <c r="CA103" s="1440"/>
      <c r="CB103" s="1440"/>
      <c r="CC103" s="1440"/>
      <c r="CD103" s="1440"/>
      <c r="CE103" s="1440"/>
      <c r="CF103" s="1440"/>
      <c r="CG103" s="1440"/>
      <c r="CH103" s="1440"/>
      <c r="CI103" s="1441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5" t="s">
        <v>76</v>
      </c>
      <c r="B104" s="1430" t="str">
        <f t="shared" si="173"/>
        <v>VP</v>
      </c>
      <c r="C104" s="1520"/>
      <c r="D104" s="1521"/>
      <c r="E104" s="1521"/>
      <c r="F104" s="1521"/>
      <c r="G104" s="1521"/>
      <c r="H104" s="1521"/>
      <c r="I104" s="1521"/>
      <c r="J104" s="1521"/>
      <c r="K104" s="1521"/>
      <c r="L104" s="1736"/>
      <c r="M104" s="1521"/>
      <c r="N104" s="1521"/>
      <c r="O104" s="1521"/>
      <c r="P104" s="1521"/>
      <c r="Q104" s="1521"/>
      <c r="R104" s="1521"/>
      <c r="S104" s="1522"/>
      <c r="T104" s="1446"/>
      <c r="U104" s="1447"/>
      <c r="V104" s="1447"/>
      <c r="W104" s="1447"/>
      <c r="X104" s="1447"/>
      <c r="Y104" s="1447"/>
      <c r="Z104" s="1447"/>
      <c r="AA104" s="1447"/>
      <c r="AB104" s="1447"/>
      <c r="AC104" s="1447"/>
      <c r="AD104" s="1447"/>
      <c r="AE104" s="1447"/>
      <c r="AF104" s="1447"/>
      <c r="AG104" s="1447"/>
      <c r="AH104" s="1487"/>
      <c r="AI104" s="1447"/>
      <c r="AJ104" s="1708"/>
      <c r="AK104" s="1439"/>
      <c r="AL104" s="1440"/>
      <c r="AM104" s="1440"/>
      <c r="AN104" s="1440"/>
      <c r="AO104" s="1440"/>
      <c r="AP104" s="1440"/>
      <c r="AQ104" s="1440"/>
      <c r="AR104" s="1440"/>
      <c r="AS104" s="1440"/>
      <c r="AT104" s="1440"/>
      <c r="AU104" s="1440"/>
      <c r="AV104" s="1440"/>
      <c r="AW104" s="1440"/>
      <c r="AX104" s="1440"/>
      <c r="AY104" s="1440"/>
      <c r="AZ104" s="1440"/>
      <c r="BA104" s="1712"/>
      <c r="BB104" s="1439"/>
      <c r="BC104" s="1440"/>
      <c r="BD104" s="1440"/>
      <c r="BE104" s="1440"/>
      <c r="BF104" s="1440"/>
      <c r="BG104" s="1440"/>
      <c r="BH104" s="1440"/>
      <c r="BI104" s="1440"/>
      <c r="BJ104" s="1440"/>
      <c r="BK104" s="1688"/>
      <c r="BL104" s="1440"/>
      <c r="BM104" s="1440"/>
      <c r="BN104" s="1440"/>
      <c r="BO104" s="1440"/>
      <c r="BP104" s="1440"/>
      <c r="BQ104" s="1440"/>
      <c r="BR104" s="1441"/>
      <c r="BS104" s="1439"/>
      <c r="BT104" s="1440"/>
      <c r="BU104" s="1440"/>
      <c r="BV104" s="1440"/>
      <c r="BW104" s="1440"/>
      <c r="BX104" s="1440"/>
      <c r="BY104" s="1440"/>
      <c r="BZ104" s="1440"/>
      <c r="CA104" s="1440"/>
      <c r="CB104" s="1440"/>
      <c r="CC104" s="1440"/>
      <c r="CD104" s="1440"/>
      <c r="CE104" s="1440"/>
      <c r="CF104" s="1440"/>
      <c r="CG104" s="1440"/>
      <c r="CH104" s="1440"/>
      <c r="CI104" s="1441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5" t="s">
        <v>77</v>
      </c>
      <c r="B105" s="1430" t="str">
        <f t="shared" si="173"/>
        <v>VP</v>
      </c>
      <c r="C105" s="1523"/>
      <c r="D105" s="1524"/>
      <c r="E105" s="1524"/>
      <c r="F105" s="1524"/>
      <c r="G105" s="1524"/>
      <c r="H105" s="1524"/>
      <c r="I105" s="1524"/>
      <c r="J105" s="1524"/>
      <c r="K105" s="1524"/>
      <c r="L105" s="1737"/>
      <c r="M105" s="1524"/>
      <c r="N105" s="1524"/>
      <c r="O105" s="1524"/>
      <c r="P105" s="1524"/>
      <c r="Q105" s="1524"/>
      <c r="R105" s="1524"/>
      <c r="S105" s="1525"/>
      <c r="T105" s="1446"/>
      <c r="U105" s="1447"/>
      <c r="V105" s="1447"/>
      <c r="W105" s="1447"/>
      <c r="X105" s="1447"/>
      <c r="Y105" s="1447"/>
      <c r="Z105" s="1447"/>
      <c r="AA105" s="1447"/>
      <c r="AB105" s="1447"/>
      <c r="AC105" s="1447"/>
      <c r="AD105" s="1447"/>
      <c r="AE105" s="1447"/>
      <c r="AF105" s="1447"/>
      <c r="AG105" s="1447"/>
      <c r="AH105" s="1487"/>
      <c r="AI105" s="1447"/>
      <c r="AJ105" s="1708"/>
      <c r="AK105" s="1442"/>
      <c r="AL105" s="1443"/>
      <c r="AM105" s="1443"/>
      <c r="AN105" s="1443"/>
      <c r="AO105" s="1443"/>
      <c r="AP105" s="1443"/>
      <c r="AQ105" s="1443"/>
      <c r="AR105" s="1443"/>
      <c r="AS105" s="1443"/>
      <c r="AT105" s="1443"/>
      <c r="AU105" s="1443"/>
      <c r="AV105" s="1443"/>
      <c r="AW105" s="1443"/>
      <c r="AX105" s="1443"/>
      <c r="AY105" s="1443"/>
      <c r="AZ105" s="1443"/>
      <c r="BA105" s="1713"/>
      <c r="BB105" s="1439"/>
      <c r="BC105" s="1440"/>
      <c r="BD105" s="1440"/>
      <c r="BE105" s="1440"/>
      <c r="BF105" s="1440"/>
      <c r="BG105" s="1440"/>
      <c r="BH105" s="1440"/>
      <c r="BI105" s="1440"/>
      <c r="BJ105" s="1440"/>
      <c r="BK105" s="1688"/>
      <c r="BL105" s="1440"/>
      <c r="BM105" s="1440"/>
      <c r="BN105" s="1440"/>
      <c r="BO105" s="1440"/>
      <c r="BP105" s="1440"/>
      <c r="BQ105" s="1440"/>
      <c r="BR105" s="1441"/>
      <c r="BS105" s="1439"/>
      <c r="BT105" s="1440"/>
      <c r="BU105" s="1440"/>
      <c r="BV105" s="1440"/>
      <c r="BW105" s="1440"/>
      <c r="BX105" s="1440"/>
      <c r="BY105" s="1440"/>
      <c r="BZ105" s="1440"/>
      <c r="CA105" s="1440"/>
      <c r="CB105" s="1440"/>
      <c r="CC105" s="1440"/>
      <c r="CD105" s="1440"/>
      <c r="CE105" s="1440"/>
      <c r="CF105" s="1440"/>
      <c r="CG105" s="1440"/>
      <c r="CH105" s="1440"/>
      <c r="CI105" s="1441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5" t="s">
        <v>78</v>
      </c>
      <c r="B106" s="1430" t="str">
        <f t="shared" si="173"/>
        <v>VP</v>
      </c>
      <c r="C106" s="1523"/>
      <c r="D106" s="1524"/>
      <c r="E106" s="1524"/>
      <c r="F106" s="1524"/>
      <c r="G106" s="1524"/>
      <c r="H106" s="1524"/>
      <c r="I106" s="1524"/>
      <c r="J106" s="1524"/>
      <c r="K106" s="1524"/>
      <c r="L106" s="1737"/>
      <c r="M106" s="1524"/>
      <c r="N106" s="1524"/>
      <c r="O106" s="1524"/>
      <c r="P106" s="1524"/>
      <c r="Q106" s="1524"/>
      <c r="R106" s="1524"/>
      <c r="S106" s="1525"/>
      <c r="T106" s="1446"/>
      <c r="U106" s="1447"/>
      <c r="V106" s="1447"/>
      <c r="W106" s="1447"/>
      <c r="X106" s="1447"/>
      <c r="Y106" s="1447"/>
      <c r="Z106" s="1447"/>
      <c r="AA106" s="1447"/>
      <c r="AB106" s="1447"/>
      <c r="AC106" s="1447"/>
      <c r="AD106" s="1447"/>
      <c r="AE106" s="1447"/>
      <c r="AF106" s="1447"/>
      <c r="AG106" s="1447"/>
      <c r="AH106" s="1487"/>
      <c r="AI106" s="1447"/>
      <c r="AJ106" s="1708"/>
      <c r="AK106" s="1442"/>
      <c r="AL106" s="1443"/>
      <c r="AM106" s="1443"/>
      <c r="AN106" s="1443"/>
      <c r="AO106" s="1443"/>
      <c r="AP106" s="1443"/>
      <c r="AQ106" s="1443"/>
      <c r="AR106" s="1443"/>
      <c r="AS106" s="1443"/>
      <c r="AT106" s="1443"/>
      <c r="AU106" s="1443"/>
      <c r="AV106" s="1443"/>
      <c r="AW106" s="1443"/>
      <c r="AX106" s="1443"/>
      <c r="AY106" s="1443"/>
      <c r="AZ106" s="1443"/>
      <c r="BA106" s="1713"/>
      <c r="BB106" s="1442"/>
      <c r="BC106" s="1443"/>
      <c r="BD106" s="1443"/>
      <c r="BE106" s="1443"/>
      <c r="BF106" s="1443"/>
      <c r="BG106" s="1443"/>
      <c r="BH106" s="1443"/>
      <c r="BI106" s="1443"/>
      <c r="BJ106" s="1443"/>
      <c r="BK106" s="1689"/>
      <c r="BL106" s="1443"/>
      <c r="BM106" s="1443"/>
      <c r="BN106" s="1443"/>
      <c r="BO106" s="1443"/>
      <c r="BP106" s="1443"/>
      <c r="BQ106" s="1443"/>
      <c r="BR106" s="1445"/>
      <c r="BS106" s="1439"/>
      <c r="BT106" s="1440"/>
      <c r="BU106" s="1440"/>
      <c r="BV106" s="1440"/>
      <c r="BW106" s="1440"/>
      <c r="BX106" s="1440"/>
      <c r="BY106" s="1440"/>
      <c r="BZ106" s="1440"/>
      <c r="CA106" s="1440"/>
      <c r="CB106" s="1440"/>
      <c r="CC106" s="1440"/>
      <c r="CD106" s="1440"/>
      <c r="CE106" s="1440"/>
      <c r="CF106" s="1440"/>
      <c r="CG106" s="1440"/>
      <c r="CH106" s="1440"/>
      <c r="CI106" s="1441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5" t="s">
        <v>79</v>
      </c>
      <c r="B107" s="1430" t="str">
        <f t="shared" si="173"/>
        <v>VP</v>
      </c>
      <c r="C107" s="1523"/>
      <c r="D107" s="1524"/>
      <c r="E107" s="1524"/>
      <c r="F107" s="1524"/>
      <c r="G107" s="1524"/>
      <c r="H107" s="1524"/>
      <c r="I107" s="1524"/>
      <c r="J107" s="1524"/>
      <c r="K107" s="1524"/>
      <c r="L107" s="1737"/>
      <c r="M107" s="1524"/>
      <c r="N107" s="1524"/>
      <c r="O107" s="1524"/>
      <c r="P107" s="1524"/>
      <c r="Q107" s="1524"/>
      <c r="R107" s="1524"/>
      <c r="S107" s="1525"/>
      <c r="T107" s="1446"/>
      <c r="U107" s="1447"/>
      <c r="V107" s="1447"/>
      <c r="W107" s="1447"/>
      <c r="X107" s="1447"/>
      <c r="Y107" s="1447"/>
      <c r="Z107" s="1447"/>
      <c r="AA107" s="1447"/>
      <c r="AB107" s="1447"/>
      <c r="AC107" s="1447"/>
      <c r="AD107" s="1447"/>
      <c r="AE107" s="1447"/>
      <c r="AF107" s="1447"/>
      <c r="AG107" s="1447"/>
      <c r="AH107" s="1487"/>
      <c r="AI107" s="1447"/>
      <c r="AJ107" s="1708"/>
      <c r="AK107" s="1442"/>
      <c r="AL107" s="1443"/>
      <c r="AM107" s="1443"/>
      <c r="AN107" s="1443"/>
      <c r="AO107" s="1443"/>
      <c r="AP107" s="1443"/>
      <c r="AQ107" s="1443"/>
      <c r="AR107" s="1443"/>
      <c r="AS107" s="1443"/>
      <c r="AT107" s="1443"/>
      <c r="AU107" s="1443"/>
      <c r="AV107" s="1443"/>
      <c r="AW107" s="1443"/>
      <c r="AX107" s="1443"/>
      <c r="AY107" s="1443"/>
      <c r="AZ107" s="1443"/>
      <c r="BA107" s="1713"/>
      <c r="BB107" s="1442"/>
      <c r="BC107" s="1443"/>
      <c r="BD107" s="1443"/>
      <c r="BE107" s="1443"/>
      <c r="BF107" s="1443"/>
      <c r="BG107" s="1443"/>
      <c r="BH107" s="1443"/>
      <c r="BI107" s="1443"/>
      <c r="BJ107" s="1443"/>
      <c r="BK107" s="1689"/>
      <c r="BL107" s="1443"/>
      <c r="BM107" s="1443"/>
      <c r="BN107" s="1443"/>
      <c r="BO107" s="1443"/>
      <c r="BP107" s="1443"/>
      <c r="BQ107" s="1443"/>
      <c r="BR107" s="1445"/>
      <c r="BS107" s="1439"/>
      <c r="BT107" s="1440"/>
      <c r="BU107" s="1440"/>
      <c r="BV107" s="1440"/>
      <c r="BW107" s="1440"/>
      <c r="BX107" s="1440"/>
      <c r="BY107" s="1440"/>
      <c r="BZ107" s="1440"/>
      <c r="CA107" s="1440"/>
      <c r="CB107" s="1440"/>
      <c r="CC107" s="1440"/>
      <c r="CD107" s="1440"/>
      <c r="CE107" s="1440"/>
      <c r="CF107" s="1440"/>
      <c r="CG107" s="1440"/>
      <c r="CH107" s="1440"/>
      <c r="CI107" s="1441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5" t="s">
        <v>80</v>
      </c>
      <c r="B108" s="1430" t="str">
        <f t="shared" si="173"/>
        <v>VP</v>
      </c>
      <c r="C108" s="1523"/>
      <c r="D108" s="1524"/>
      <c r="E108" s="1524"/>
      <c r="F108" s="1524"/>
      <c r="G108" s="1524"/>
      <c r="H108" s="1524"/>
      <c r="I108" s="1524"/>
      <c r="J108" s="1524"/>
      <c r="K108" s="1524"/>
      <c r="L108" s="1737"/>
      <c r="M108" s="1524"/>
      <c r="N108" s="1524"/>
      <c r="O108" s="1524"/>
      <c r="P108" s="1524"/>
      <c r="Q108" s="1524"/>
      <c r="R108" s="1524"/>
      <c r="S108" s="1525"/>
      <c r="T108" s="1446"/>
      <c r="U108" s="1447"/>
      <c r="V108" s="1447"/>
      <c r="W108" s="1447"/>
      <c r="X108" s="1447"/>
      <c r="Y108" s="1447"/>
      <c r="Z108" s="1447"/>
      <c r="AA108" s="1447"/>
      <c r="AB108" s="1447"/>
      <c r="AC108" s="1447"/>
      <c r="AD108" s="1447"/>
      <c r="AE108" s="1447"/>
      <c r="AF108" s="1447"/>
      <c r="AG108" s="1447"/>
      <c r="AH108" s="1487"/>
      <c r="AI108" s="1447"/>
      <c r="AJ108" s="1708"/>
      <c r="AK108" s="1442"/>
      <c r="AL108" s="1443"/>
      <c r="AM108" s="1443"/>
      <c r="AN108" s="1443"/>
      <c r="AO108" s="1443"/>
      <c r="AP108" s="1443"/>
      <c r="AQ108" s="1443"/>
      <c r="AR108" s="1443"/>
      <c r="AS108" s="1443"/>
      <c r="AT108" s="1443"/>
      <c r="AU108" s="1443"/>
      <c r="AV108" s="1443"/>
      <c r="AW108" s="1443"/>
      <c r="AX108" s="1443"/>
      <c r="AY108" s="1443"/>
      <c r="AZ108" s="1443"/>
      <c r="BA108" s="1713"/>
      <c r="BB108" s="1442"/>
      <c r="BC108" s="1443"/>
      <c r="BD108" s="1443"/>
      <c r="BE108" s="1443"/>
      <c r="BF108" s="1443"/>
      <c r="BG108" s="1443"/>
      <c r="BH108" s="1443"/>
      <c r="BI108" s="1443"/>
      <c r="BJ108" s="1443"/>
      <c r="BK108" s="1689"/>
      <c r="BL108" s="1443"/>
      <c r="BM108" s="1443"/>
      <c r="BN108" s="1443"/>
      <c r="BO108" s="1443"/>
      <c r="BP108" s="1443"/>
      <c r="BQ108" s="1443"/>
      <c r="BR108" s="1445"/>
      <c r="BS108" s="1439"/>
      <c r="BT108" s="1440"/>
      <c r="BU108" s="1440"/>
      <c r="BV108" s="1440"/>
      <c r="BW108" s="1440"/>
      <c r="BX108" s="1440"/>
      <c r="BY108" s="1440"/>
      <c r="BZ108" s="1440"/>
      <c r="CA108" s="1440"/>
      <c r="CB108" s="1440"/>
      <c r="CC108" s="1440"/>
      <c r="CD108" s="1440"/>
      <c r="CE108" s="1440"/>
      <c r="CF108" s="1440"/>
      <c r="CG108" s="1440"/>
      <c r="CH108" s="1440"/>
      <c r="CI108" s="1441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8" t="s">
        <v>81</v>
      </c>
      <c r="B109" s="1430" t="str">
        <f t="shared" si="173"/>
        <v>VP</v>
      </c>
      <c r="C109" s="1526"/>
      <c r="D109" s="1527"/>
      <c r="E109" s="1527"/>
      <c r="F109" s="1527"/>
      <c r="G109" s="1527"/>
      <c r="H109" s="1527"/>
      <c r="I109" s="1527"/>
      <c r="J109" s="1527"/>
      <c r="K109" s="1527"/>
      <c r="L109" s="1738"/>
      <c r="M109" s="1527"/>
      <c r="N109" s="1527"/>
      <c r="O109" s="1527"/>
      <c r="P109" s="1527"/>
      <c r="Q109" s="1527"/>
      <c r="R109" s="1527"/>
      <c r="S109" s="1528"/>
      <c r="T109" s="1514" t="str">
        <f t="shared" ref="T109:AC109" si="193">IF(T102="","",SUM(T102,T104,-T105,-T106,-T107,T108))</f>
        <v/>
      </c>
      <c r="U109" s="1515" t="str">
        <f t="shared" si="193"/>
        <v/>
      </c>
      <c r="V109" s="1515" t="str">
        <f t="shared" si="193"/>
        <v/>
      </c>
      <c r="W109" s="1515" t="str">
        <f t="shared" si="193"/>
        <v/>
      </c>
      <c r="X109" s="1515" t="str">
        <f t="shared" si="193"/>
        <v/>
      </c>
      <c r="Y109" s="1515" t="str">
        <f t="shared" si="193"/>
        <v/>
      </c>
      <c r="Z109" s="1515" t="str">
        <f t="shared" si="193"/>
        <v/>
      </c>
      <c r="AA109" s="1515" t="str">
        <f t="shared" si="193"/>
        <v/>
      </c>
      <c r="AB109" s="1515" t="str">
        <f t="shared" si="193"/>
        <v/>
      </c>
      <c r="AC109" s="1515" t="str">
        <f t="shared" si="193"/>
        <v/>
      </c>
      <c r="AD109" s="1515"/>
      <c r="AE109" s="1515"/>
      <c r="AF109" s="1515"/>
      <c r="AG109" s="1515" t="str">
        <f>IF(AG102="","",SUM(AG102,AG104,-AG105,-AG106,-AG107,AG108))</f>
        <v/>
      </c>
      <c r="AH109" s="1515" t="str">
        <f>IF(AH102="","",SUM(AH102,AH104,-AH105,-AH106,-AH107,AH108))</f>
        <v/>
      </c>
      <c r="AI109" s="1515" t="str">
        <f>IF(AI102="","",SUM(AI102,AI104,-AI105,-AI106,-AI107,AI108))</f>
        <v/>
      </c>
      <c r="AJ109" s="1687" t="str">
        <f>IF(AJ102="","",SUM(AJ102,AJ104,-AJ105,-AJ106,-AJ107,AJ108))</f>
        <v/>
      </c>
      <c r="AK109" s="1450"/>
      <c r="AL109" s="1451"/>
      <c r="AM109" s="1451"/>
      <c r="AN109" s="1451"/>
      <c r="AO109" s="1451"/>
      <c r="AP109" s="1451"/>
      <c r="AQ109" s="1451"/>
      <c r="AR109" s="1451"/>
      <c r="AS109" s="1451"/>
      <c r="AT109" s="1451"/>
      <c r="AU109" s="1451"/>
      <c r="AV109" s="1451"/>
      <c r="AW109" s="1451"/>
      <c r="AX109" s="1451"/>
      <c r="AY109" s="1451"/>
      <c r="AZ109" s="1451"/>
      <c r="BA109" s="1702"/>
      <c r="BB109" s="1450"/>
      <c r="BC109" s="1451"/>
      <c r="BD109" s="1451"/>
      <c r="BE109" s="1451"/>
      <c r="BF109" s="1451"/>
      <c r="BG109" s="1451"/>
      <c r="BH109" s="1451"/>
      <c r="BI109" s="1451"/>
      <c r="BJ109" s="1451"/>
      <c r="BK109" s="1690"/>
      <c r="BL109" s="1451"/>
      <c r="BM109" s="1451"/>
      <c r="BN109" s="1451"/>
      <c r="BO109" s="1451"/>
      <c r="BP109" s="1451"/>
      <c r="BQ109" s="1451"/>
      <c r="BR109" s="1453"/>
      <c r="BS109" s="1450"/>
      <c r="BT109" s="1451"/>
      <c r="BU109" s="1451"/>
      <c r="BV109" s="1451"/>
      <c r="BW109" s="1451"/>
      <c r="BX109" s="1451"/>
      <c r="BY109" s="1451"/>
      <c r="BZ109" s="1451"/>
      <c r="CA109" s="1451"/>
      <c r="CB109" s="1451"/>
      <c r="CC109" s="1451"/>
      <c r="CD109" s="1451"/>
      <c r="CE109" s="1451"/>
      <c r="CF109" s="1451"/>
      <c r="CG109" s="1451"/>
      <c r="CH109" s="1451"/>
      <c r="CI109" s="1453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4" t="s">
        <v>836</v>
      </c>
      <c r="B110" s="1421" t="str">
        <f t="shared" ref="B110:B117" si="194">$B$10</f>
        <v>P</v>
      </c>
      <c r="C110" s="1501">
        <v>1</v>
      </c>
      <c r="D110" s="1502">
        <v>3</v>
      </c>
      <c r="E110" s="1502">
        <v>0</v>
      </c>
      <c r="F110" s="1502"/>
      <c r="G110" s="1502">
        <v>1</v>
      </c>
      <c r="H110" s="1502">
        <v>2</v>
      </c>
      <c r="I110" s="1502">
        <v>6</v>
      </c>
      <c r="J110" s="1502">
        <v>4</v>
      </c>
      <c r="K110" s="1502">
        <v>0</v>
      </c>
      <c r="L110" s="1734"/>
      <c r="M110" s="1502"/>
      <c r="N110" s="1502"/>
      <c r="O110" s="1502"/>
      <c r="P110" s="1502"/>
      <c r="Q110" s="1502"/>
      <c r="R110" s="1502"/>
      <c r="S110" s="1503"/>
      <c r="T110" s="1529"/>
      <c r="U110" s="1530"/>
      <c r="V110" s="1530"/>
      <c r="W110" s="1530"/>
      <c r="X110" s="1530"/>
      <c r="Y110" s="1530"/>
      <c r="Z110" s="1530"/>
      <c r="AA110" s="1530"/>
      <c r="AB110" s="1530"/>
      <c r="AC110" s="1530"/>
      <c r="AD110" s="1530"/>
      <c r="AE110" s="1530"/>
      <c r="AF110" s="1530"/>
      <c r="AG110" s="1530"/>
      <c r="AH110" s="1530"/>
      <c r="AI110" s="1530"/>
      <c r="AJ110" s="1714"/>
      <c r="AK110" s="1446"/>
      <c r="AL110" s="1461">
        <v>2</v>
      </c>
      <c r="AM110" s="1461"/>
      <c r="AN110" s="1461">
        <v>4</v>
      </c>
      <c r="AO110" s="1461">
        <v>3</v>
      </c>
      <c r="AP110" s="1461">
        <v>2</v>
      </c>
      <c r="AQ110" s="1461"/>
      <c r="AR110" s="1461">
        <v>5</v>
      </c>
      <c r="AS110" s="1461"/>
      <c r="AT110" s="1461"/>
      <c r="AU110" s="1461"/>
      <c r="AV110" s="1461"/>
      <c r="AW110" s="1461"/>
      <c r="AX110" s="1461"/>
      <c r="AY110" s="1461"/>
      <c r="AZ110" s="1461"/>
      <c r="BA110" s="1707"/>
      <c r="BB110" s="1427"/>
      <c r="BC110" s="1428"/>
      <c r="BD110" s="1428"/>
      <c r="BE110" s="1428"/>
      <c r="BF110" s="1428"/>
      <c r="BG110" s="1428"/>
      <c r="BH110" s="1428"/>
      <c r="BI110" s="1428"/>
      <c r="BJ110" s="1428"/>
      <c r="BK110" s="1678"/>
      <c r="BL110" s="1428"/>
      <c r="BM110" s="1428"/>
      <c r="BN110" s="1428"/>
      <c r="BO110" s="1428"/>
      <c r="BP110" s="1428"/>
      <c r="BQ110" s="1428"/>
      <c r="BR110" s="1429"/>
      <c r="BS110" s="1427"/>
      <c r="BT110" s="1428"/>
      <c r="BU110" s="1428"/>
      <c r="BV110" s="1428"/>
      <c r="BW110" s="1428"/>
      <c r="BX110" s="1428"/>
      <c r="BY110" s="1428"/>
      <c r="BZ110" s="1428"/>
      <c r="CA110" s="1428"/>
      <c r="CB110" s="1428"/>
      <c r="CC110" s="1428"/>
      <c r="CD110" s="1428"/>
      <c r="CE110" s="1428"/>
      <c r="CF110" s="1428"/>
      <c r="CG110" s="1428"/>
      <c r="CH110" s="1428"/>
      <c r="CI110" s="1429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5" t="s">
        <v>75</v>
      </c>
      <c r="B111" s="1430" t="str">
        <f t="shared" si="194"/>
        <v>P</v>
      </c>
      <c r="C111" s="1511">
        <v>0</v>
      </c>
      <c r="D111" s="1512">
        <v>2</v>
      </c>
      <c r="E111" s="1512">
        <v>0</v>
      </c>
      <c r="F111" s="1512"/>
      <c r="G111" s="1512">
        <v>1</v>
      </c>
      <c r="H111" s="1512">
        <v>1</v>
      </c>
      <c r="I111" s="1512">
        <v>4</v>
      </c>
      <c r="J111" s="1512">
        <v>2</v>
      </c>
      <c r="K111" s="1512">
        <v>0</v>
      </c>
      <c r="L111" s="1735"/>
      <c r="M111" s="1512"/>
      <c r="N111" s="1512"/>
      <c r="O111" s="1512"/>
      <c r="P111" s="1512"/>
      <c r="Q111" s="1512"/>
      <c r="R111" s="1512"/>
      <c r="S111" s="1513"/>
      <c r="T111" s="1442"/>
      <c r="U111" s="1443"/>
      <c r="V111" s="1443"/>
      <c r="W111" s="1443"/>
      <c r="X111" s="1443"/>
      <c r="Y111" s="1443"/>
      <c r="Z111" s="1443"/>
      <c r="AA111" s="1443"/>
      <c r="AB111" s="1443"/>
      <c r="AC111" s="1443"/>
      <c r="AD111" s="1443"/>
      <c r="AE111" s="1443"/>
      <c r="AF111" s="1443"/>
      <c r="AG111" s="1443"/>
      <c r="AH111" s="1444"/>
      <c r="AI111" s="1443"/>
      <c r="AJ111" s="1713"/>
      <c r="AK111" s="1446"/>
      <c r="AL111" s="1447">
        <v>2</v>
      </c>
      <c r="AM111" s="1447"/>
      <c r="AN111" s="1447">
        <v>3</v>
      </c>
      <c r="AO111" s="1447">
        <v>2</v>
      </c>
      <c r="AP111" s="1447">
        <v>1</v>
      </c>
      <c r="AQ111" s="1447"/>
      <c r="AR111" s="1447">
        <v>3</v>
      </c>
      <c r="AS111" s="1447"/>
      <c r="AT111" s="1447"/>
      <c r="AU111" s="1447"/>
      <c r="AV111" s="1447"/>
      <c r="AW111" s="1447"/>
      <c r="AX111" s="1447"/>
      <c r="AY111" s="1447"/>
      <c r="AZ111" s="1447"/>
      <c r="BA111" s="1708"/>
      <c r="BB111" s="1439"/>
      <c r="BC111" s="1440"/>
      <c r="BD111" s="1440"/>
      <c r="BE111" s="1440"/>
      <c r="BF111" s="1440"/>
      <c r="BG111" s="1440"/>
      <c r="BH111" s="1440"/>
      <c r="BI111" s="1440"/>
      <c r="BJ111" s="1440"/>
      <c r="BK111" s="1688"/>
      <c r="BL111" s="1440"/>
      <c r="BM111" s="1440"/>
      <c r="BN111" s="1440"/>
      <c r="BO111" s="1440"/>
      <c r="BP111" s="1440"/>
      <c r="BQ111" s="1440"/>
      <c r="BR111" s="1441"/>
      <c r="BS111" s="1439"/>
      <c r="BT111" s="1440"/>
      <c r="BU111" s="1440"/>
      <c r="BV111" s="1440"/>
      <c r="BW111" s="1440"/>
      <c r="BX111" s="1440"/>
      <c r="BY111" s="1440"/>
      <c r="BZ111" s="1440"/>
      <c r="CA111" s="1440"/>
      <c r="CB111" s="1440"/>
      <c r="CC111" s="1440"/>
      <c r="CD111" s="1440"/>
      <c r="CE111" s="1440"/>
      <c r="CF111" s="1440"/>
      <c r="CG111" s="1440"/>
      <c r="CH111" s="1440"/>
      <c r="CI111" s="1441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5" t="s">
        <v>76</v>
      </c>
      <c r="B112" s="1430" t="str">
        <f t="shared" si="194"/>
        <v>P</v>
      </c>
      <c r="C112" s="1520"/>
      <c r="D112" s="1521"/>
      <c r="E112" s="1521"/>
      <c r="F112" s="1521"/>
      <c r="G112" s="1521"/>
      <c r="H112" s="1521"/>
      <c r="I112" s="1521"/>
      <c r="J112" s="1521"/>
      <c r="K112" s="1521"/>
      <c r="L112" s="1736"/>
      <c r="M112" s="1521"/>
      <c r="N112" s="1521"/>
      <c r="O112" s="1521"/>
      <c r="P112" s="1521"/>
      <c r="Q112" s="1521"/>
      <c r="R112" s="1521"/>
      <c r="S112" s="1522"/>
      <c r="T112" s="1439"/>
      <c r="U112" s="1440"/>
      <c r="V112" s="1440"/>
      <c r="W112" s="1440"/>
      <c r="X112" s="1440"/>
      <c r="Y112" s="1440"/>
      <c r="Z112" s="1440"/>
      <c r="AA112" s="1440"/>
      <c r="AB112" s="1440"/>
      <c r="AC112" s="1440"/>
      <c r="AD112" s="1440"/>
      <c r="AE112" s="1440"/>
      <c r="AF112" s="1440"/>
      <c r="AG112" s="1440"/>
      <c r="AH112" s="1532"/>
      <c r="AI112" s="1440"/>
      <c r="AJ112" s="1712"/>
      <c r="AK112" s="1446"/>
      <c r="AL112" s="1447">
        <v>4</v>
      </c>
      <c r="AM112" s="1447"/>
      <c r="AN112" s="1447">
        <v>2</v>
      </c>
      <c r="AO112" s="1447">
        <v>1</v>
      </c>
      <c r="AP112" s="1447">
        <v>2</v>
      </c>
      <c r="AQ112" s="1447"/>
      <c r="AR112" s="1447">
        <v>3</v>
      </c>
      <c r="AS112" s="1447"/>
      <c r="AT112" s="1447"/>
      <c r="AU112" s="1447"/>
      <c r="AV112" s="1447"/>
      <c r="AW112" s="1447"/>
      <c r="AX112" s="1447"/>
      <c r="AY112" s="1447"/>
      <c r="AZ112" s="1447"/>
      <c r="BA112" s="1708"/>
      <c r="BB112" s="1439"/>
      <c r="BC112" s="1440"/>
      <c r="BD112" s="1440"/>
      <c r="BE112" s="1440"/>
      <c r="BF112" s="1440"/>
      <c r="BG112" s="1440"/>
      <c r="BH112" s="1440"/>
      <c r="BI112" s="1440"/>
      <c r="BJ112" s="1440"/>
      <c r="BK112" s="1688"/>
      <c r="BL112" s="1440"/>
      <c r="BM112" s="1440"/>
      <c r="BN112" s="1440"/>
      <c r="BO112" s="1440"/>
      <c r="BP112" s="1440"/>
      <c r="BQ112" s="1440"/>
      <c r="BR112" s="1441"/>
      <c r="BS112" s="1439"/>
      <c r="BT112" s="1440"/>
      <c r="BU112" s="1440"/>
      <c r="BV112" s="1440"/>
      <c r="BW112" s="1440"/>
      <c r="BX112" s="1440"/>
      <c r="BY112" s="1440"/>
      <c r="BZ112" s="1440"/>
      <c r="CA112" s="1440"/>
      <c r="CB112" s="1440"/>
      <c r="CC112" s="1440"/>
      <c r="CD112" s="1440"/>
      <c r="CE112" s="1440"/>
      <c r="CF112" s="1440"/>
      <c r="CG112" s="1440"/>
      <c r="CH112" s="1440"/>
      <c r="CI112" s="1441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5" t="s">
        <v>77</v>
      </c>
      <c r="B113" s="1430" t="str">
        <f t="shared" si="194"/>
        <v>P</v>
      </c>
      <c r="C113" s="1523"/>
      <c r="D113" s="1524"/>
      <c r="E113" s="1524"/>
      <c r="F113" s="1524"/>
      <c r="G113" s="1524"/>
      <c r="H113" s="1524"/>
      <c r="I113" s="1524"/>
      <c r="J113" s="1524"/>
      <c r="K113" s="1524"/>
      <c r="L113" s="1737"/>
      <c r="M113" s="1524"/>
      <c r="N113" s="1524"/>
      <c r="O113" s="1524"/>
      <c r="P113" s="1524"/>
      <c r="Q113" s="1524"/>
      <c r="R113" s="1524"/>
      <c r="S113" s="1525"/>
      <c r="T113" s="1439"/>
      <c r="U113" s="1440"/>
      <c r="V113" s="1440"/>
      <c r="W113" s="1440"/>
      <c r="X113" s="1440"/>
      <c r="Y113" s="1440"/>
      <c r="Z113" s="1440"/>
      <c r="AA113" s="1440"/>
      <c r="AB113" s="1440"/>
      <c r="AC113" s="1440"/>
      <c r="AD113" s="1440"/>
      <c r="AE113" s="1440"/>
      <c r="AF113" s="1440"/>
      <c r="AG113" s="1440"/>
      <c r="AH113" s="1532"/>
      <c r="AI113" s="1440"/>
      <c r="AJ113" s="1712"/>
      <c r="AK113" s="1446"/>
      <c r="AL113" s="1447">
        <v>1</v>
      </c>
      <c r="AM113" s="1447"/>
      <c r="AN113" s="1447">
        <v>1</v>
      </c>
      <c r="AO113" s="1447">
        <v>0</v>
      </c>
      <c r="AP113" s="1447">
        <v>1</v>
      </c>
      <c r="AQ113" s="1447"/>
      <c r="AR113" s="1447">
        <v>3</v>
      </c>
      <c r="AS113" s="1447"/>
      <c r="AT113" s="1447"/>
      <c r="AU113" s="1447"/>
      <c r="AV113" s="1447"/>
      <c r="AW113" s="1447"/>
      <c r="AX113" s="1447"/>
      <c r="AY113" s="1447"/>
      <c r="AZ113" s="1447"/>
      <c r="BA113" s="1708"/>
      <c r="BB113" s="1439"/>
      <c r="BC113" s="1440"/>
      <c r="BD113" s="1440"/>
      <c r="BE113" s="1440"/>
      <c r="BF113" s="1440"/>
      <c r="BG113" s="1440"/>
      <c r="BH113" s="1440"/>
      <c r="BI113" s="1440"/>
      <c r="BJ113" s="1440"/>
      <c r="BK113" s="1688"/>
      <c r="BL113" s="1440"/>
      <c r="BM113" s="1440"/>
      <c r="BN113" s="1440"/>
      <c r="BO113" s="1440"/>
      <c r="BP113" s="1440"/>
      <c r="BQ113" s="1440"/>
      <c r="BR113" s="1441"/>
      <c r="BS113" s="1439"/>
      <c r="BT113" s="1440"/>
      <c r="BU113" s="1440"/>
      <c r="BV113" s="1440"/>
      <c r="BW113" s="1440"/>
      <c r="BX113" s="1440"/>
      <c r="BY113" s="1440"/>
      <c r="BZ113" s="1440"/>
      <c r="CA113" s="1440"/>
      <c r="CB113" s="1440"/>
      <c r="CC113" s="1440"/>
      <c r="CD113" s="1440"/>
      <c r="CE113" s="1440"/>
      <c r="CF113" s="1440"/>
      <c r="CG113" s="1440"/>
      <c r="CH113" s="1440"/>
      <c r="CI113" s="1441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5" t="s">
        <v>78</v>
      </c>
      <c r="B114" s="1430" t="str">
        <f t="shared" si="194"/>
        <v>P</v>
      </c>
      <c r="C114" s="1523"/>
      <c r="D114" s="1524"/>
      <c r="E114" s="1524"/>
      <c r="F114" s="1524"/>
      <c r="G114" s="1524"/>
      <c r="H114" s="1524"/>
      <c r="I114" s="1524"/>
      <c r="J114" s="1524"/>
      <c r="K114" s="1524"/>
      <c r="L114" s="1737"/>
      <c r="M114" s="1524"/>
      <c r="N114" s="1524"/>
      <c r="O114" s="1524"/>
      <c r="P114" s="1524"/>
      <c r="Q114" s="1524"/>
      <c r="R114" s="1524"/>
      <c r="S114" s="1525"/>
      <c r="T114" s="1439"/>
      <c r="U114" s="1440"/>
      <c r="V114" s="1440"/>
      <c r="W114" s="1440"/>
      <c r="X114" s="1440"/>
      <c r="Y114" s="1440"/>
      <c r="Z114" s="1440"/>
      <c r="AA114" s="1440"/>
      <c r="AB114" s="1440"/>
      <c r="AC114" s="1440"/>
      <c r="AD114" s="1440"/>
      <c r="AE114" s="1440"/>
      <c r="AF114" s="1440"/>
      <c r="AG114" s="1440"/>
      <c r="AH114" s="1532"/>
      <c r="AI114" s="1440"/>
      <c r="AJ114" s="1712"/>
      <c r="AK114" s="1446"/>
      <c r="AL114" s="1447">
        <v>0</v>
      </c>
      <c r="AM114" s="1447"/>
      <c r="AN114" s="1447">
        <v>0</v>
      </c>
      <c r="AO114" s="1447">
        <v>0</v>
      </c>
      <c r="AP114" s="1447">
        <v>0</v>
      </c>
      <c r="AQ114" s="1447"/>
      <c r="AR114" s="1447">
        <v>0</v>
      </c>
      <c r="AS114" s="1447"/>
      <c r="AT114" s="1447"/>
      <c r="AU114" s="1447"/>
      <c r="AV114" s="1447"/>
      <c r="AW114" s="1447"/>
      <c r="AX114" s="1447"/>
      <c r="AY114" s="1447"/>
      <c r="AZ114" s="1447"/>
      <c r="BA114" s="1708"/>
      <c r="BB114" s="1442"/>
      <c r="BC114" s="1443"/>
      <c r="BD114" s="1443"/>
      <c r="BE114" s="1443"/>
      <c r="BF114" s="1443"/>
      <c r="BG114" s="1443"/>
      <c r="BH114" s="1443"/>
      <c r="BI114" s="1443"/>
      <c r="BJ114" s="1443"/>
      <c r="BK114" s="1689"/>
      <c r="BL114" s="1443"/>
      <c r="BM114" s="1443"/>
      <c r="BN114" s="1443"/>
      <c r="BO114" s="1443"/>
      <c r="BP114" s="1443"/>
      <c r="BQ114" s="1443"/>
      <c r="BR114" s="1445"/>
      <c r="BS114" s="1439"/>
      <c r="BT114" s="1440"/>
      <c r="BU114" s="1440"/>
      <c r="BV114" s="1440"/>
      <c r="BW114" s="1440"/>
      <c r="BX114" s="1440"/>
      <c r="BY114" s="1440"/>
      <c r="BZ114" s="1440"/>
      <c r="CA114" s="1440"/>
      <c r="CB114" s="1440"/>
      <c r="CC114" s="1440"/>
      <c r="CD114" s="1440"/>
      <c r="CE114" s="1440"/>
      <c r="CF114" s="1440"/>
      <c r="CG114" s="1440"/>
      <c r="CH114" s="1440"/>
      <c r="CI114" s="1441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5" t="s">
        <v>79</v>
      </c>
      <c r="B115" s="1430" t="str">
        <f t="shared" si="194"/>
        <v>P</v>
      </c>
      <c r="C115" s="1523"/>
      <c r="D115" s="1524"/>
      <c r="E115" s="1524"/>
      <c r="F115" s="1524"/>
      <c r="G115" s="1524"/>
      <c r="H115" s="1524"/>
      <c r="I115" s="1524"/>
      <c r="J115" s="1524"/>
      <c r="K115" s="1524"/>
      <c r="L115" s="1737"/>
      <c r="M115" s="1524"/>
      <c r="N115" s="1524"/>
      <c r="O115" s="1524"/>
      <c r="P115" s="1524"/>
      <c r="Q115" s="1524"/>
      <c r="R115" s="1524"/>
      <c r="S115" s="1525"/>
      <c r="T115" s="1439"/>
      <c r="U115" s="1440"/>
      <c r="V115" s="1440"/>
      <c r="W115" s="1440"/>
      <c r="X115" s="1440"/>
      <c r="Y115" s="1440"/>
      <c r="Z115" s="1440"/>
      <c r="AA115" s="1440"/>
      <c r="AB115" s="1440"/>
      <c r="AC115" s="1440"/>
      <c r="AD115" s="1440"/>
      <c r="AE115" s="1440"/>
      <c r="AF115" s="1440"/>
      <c r="AG115" s="1440"/>
      <c r="AH115" s="1532"/>
      <c r="AI115" s="1440"/>
      <c r="AJ115" s="1712"/>
      <c r="AK115" s="1446"/>
      <c r="AL115" s="1447">
        <v>3</v>
      </c>
      <c r="AM115" s="1447"/>
      <c r="AN115" s="1447">
        <v>1</v>
      </c>
      <c r="AO115" s="1447">
        <v>1</v>
      </c>
      <c r="AP115" s="1447">
        <v>0</v>
      </c>
      <c r="AQ115" s="1447"/>
      <c r="AR115" s="1447">
        <v>0</v>
      </c>
      <c r="AS115" s="1447"/>
      <c r="AT115" s="1447"/>
      <c r="AU115" s="1447"/>
      <c r="AV115" s="1447"/>
      <c r="AW115" s="1447"/>
      <c r="AX115" s="1447"/>
      <c r="AY115" s="1447"/>
      <c r="AZ115" s="1447"/>
      <c r="BA115" s="1708"/>
      <c r="BB115" s="1442"/>
      <c r="BC115" s="1443"/>
      <c r="BD115" s="1443"/>
      <c r="BE115" s="1443"/>
      <c r="BF115" s="1443"/>
      <c r="BG115" s="1443"/>
      <c r="BH115" s="1443"/>
      <c r="BI115" s="1443"/>
      <c r="BJ115" s="1443"/>
      <c r="BK115" s="1689"/>
      <c r="BL115" s="1443"/>
      <c r="BM115" s="1443"/>
      <c r="BN115" s="1443"/>
      <c r="BO115" s="1443"/>
      <c r="BP115" s="1443"/>
      <c r="BQ115" s="1443"/>
      <c r="BR115" s="1445"/>
      <c r="BS115" s="1439"/>
      <c r="BT115" s="1440"/>
      <c r="BU115" s="1440"/>
      <c r="BV115" s="1440"/>
      <c r="BW115" s="1440"/>
      <c r="BX115" s="1440"/>
      <c r="BY115" s="1440"/>
      <c r="BZ115" s="1440"/>
      <c r="CA115" s="1440"/>
      <c r="CB115" s="1440"/>
      <c r="CC115" s="1440"/>
      <c r="CD115" s="1440"/>
      <c r="CE115" s="1440"/>
      <c r="CF115" s="1440"/>
      <c r="CG115" s="1440"/>
      <c r="CH115" s="1440"/>
      <c r="CI115" s="1441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5" t="s">
        <v>80</v>
      </c>
      <c r="B116" s="1430" t="str">
        <f t="shared" si="194"/>
        <v>P</v>
      </c>
      <c r="C116" s="1523"/>
      <c r="D116" s="1524"/>
      <c r="E116" s="1524"/>
      <c r="F116" s="1524"/>
      <c r="G116" s="1524"/>
      <c r="H116" s="1524"/>
      <c r="I116" s="1524"/>
      <c r="J116" s="1524"/>
      <c r="K116" s="1524"/>
      <c r="L116" s="1737"/>
      <c r="M116" s="1524"/>
      <c r="N116" s="1524"/>
      <c r="O116" s="1524"/>
      <c r="P116" s="1524"/>
      <c r="Q116" s="1524"/>
      <c r="R116" s="1524"/>
      <c r="S116" s="1525"/>
      <c r="T116" s="1439"/>
      <c r="U116" s="1440"/>
      <c r="V116" s="1440"/>
      <c r="W116" s="1440"/>
      <c r="X116" s="1440"/>
      <c r="Y116" s="1440"/>
      <c r="Z116" s="1440"/>
      <c r="AA116" s="1440"/>
      <c r="AB116" s="1440"/>
      <c r="AC116" s="1440"/>
      <c r="AD116" s="1440"/>
      <c r="AE116" s="1440"/>
      <c r="AF116" s="1440"/>
      <c r="AG116" s="1440"/>
      <c r="AH116" s="1532"/>
      <c r="AI116" s="1440"/>
      <c r="AJ116" s="1712"/>
      <c r="AK116" s="1446"/>
      <c r="AL116" s="1447">
        <v>1</v>
      </c>
      <c r="AM116" s="1447"/>
      <c r="AN116" s="1447">
        <v>1</v>
      </c>
      <c r="AO116" s="1447">
        <v>0</v>
      </c>
      <c r="AP116" s="1447">
        <v>1</v>
      </c>
      <c r="AQ116" s="1447"/>
      <c r="AR116" s="1447">
        <v>1</v>
      </c>
      <c r="AS116" s="1447"/>
      <c r="AT116" s="1447"/>
      <c r="AU116" s="1447"/>
      <c r="AV116" s="1447"/>
      <c r="AW116" s="1447"/>
      <c r="AX116" s="1447"/>
      <c r="AY116" s="1447"/>
      <c r="AZ116" s="1447"/>
      <c r="BA116" s="1708"/>
      <c r="BB116" s="1442"/>
      <c r="BC116" s="1443"/>
      <c r="BD116" s="1443"/>
      <c r="BE116" s="1443"/>
      <c r="BF116" s="1443"/>
      <c r="BG116" s="1443"/>
      <c r="BH116" s="1443"/>
      <c r="BI116" s="1443"/>
      <c r="BJ116" s="1443"/>
      <c r="BK116" s="1689"/>
      <c r="BL116" s="1443"/>
      <c r="BM116" s="1443"/>
      <c r="BN116" s="1443"/>
      <c r="BO116" s="1443"/>
      <c r="BP116" s="1443"/>
      <c r="BQ116" s="1443"/>
      <c r="BR116" s="1445"/>
      <c r="BS116" s="1439"/>
      <c r="BT116" s="1440"/>
      <c r="BU116" s="1440"/>
      <c r="BV116" s="1440"/>
      <c r="BW116" s="1440"/>
      <c r="BX116" s="1440"/>
      <c r="BY116" s="1440"/>
      <c r="BZ116" s="1440"/>
      <c r="CA116" s="1440"/>
      <c r="CB116" s="1440"/>
      <c r="CC116" s="1440"/>
      <c r="CD116" s="1440"/>
      <c r="CE116" s="1440"/>
      <c r="CF116" s="1440"/>
      <c r="CG116" s="1440"/>
      <c r="CH116" s="1440"/>
      <c r="CI116" s="1441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8" t="s">
        <v>81</v>
      </c>
      <c r="B117" s="1430" t="str">
        <f t="shared" si="194"/>
        <v>P</v>
      </c>
      <c r="C117" s="1526"/>
      <c r="D117" s="1527"/>
      <c r="E117" s="1527"/>
      <c r="F117" s="1527"/>
      <c r="G117" s="1527"/>
      <c r="H117" s="1527"/>
      <c r="I117" s="1527"/>
      <c r="J117" s="1527"/>
      <c r="K117" s="1527"/>
      <c r="L117" s="1738"/>
      <c r="M117" s="1527"/>
      <c r="N117" s="1527"/>
      <c r="O117" s="1527"/>
      <c r="P117" s="1527"/>
      <c r="Q117" s="1527"/>
      <c r="R117" s="1527"/>
      <c r="S117" s="1528"/>
      <c r="T117" s="1450"/>
      <c r="U117" s="1451"/>
      <c r="V117" s="1451"/>
      <c r="W117" s="1451"/>
      <c r="X117" s="1451"/>
      <c r="Y117" s="1451"/>
      <c r="Z117" s="1451"/>
      <c r="AA117" s="1451"/>
      <c r="AB117" s="1451"/>
      <c r="AC117" s="1451"/>
      <c r="AD117" s="1451"/>
      <c r="AE117" s="1451"/>
      <c r="AF117" s="1451"/>
      <c r="AG117" s="1451"/>
      <c r="AH117" s="1452"/>
      <c r="AI117" s="1451"/>
      <c r="AJ117" s="1702"/>
      <c r="AK117" s="1514" t="str">
        <f t="shared" ref="AK117:BA117" si="214">IF(AK110="","",SUM(AK110,AK112,-AK113,-AK114,-AK115,AK116))</f>
        <v/>
      </c>
      <c r="AL117" s="1515">
        <f t="shared" si="214"/>
        <v>3</v>
      </c>
      <c r="AM117" s="1515" t="str">
        <f t="shared" si="214"/>
        <v/>
      </c>
      <c r="AN117" s="1515">
        <f t="shared" si="214"/>
        <v>5</v>
      </c>
      <c r="AO117" s="1515">
        <f t="shared" si="214"/>
        <v>3</v>
      </c>
      <c r="AP117" s="1515">
        <f t="shared" si="214"/>
        <v>4</v>
      </c>
      <c r="AQ117" s="1515" t="str">
        <f t="shared" si="214"/>
        <v/>
      </c>
      <c r="AR117" s="1515">
        <f t="shared" si="214"/>
        <v>6</v>
      </c>
      <c r="AS117" s="1515" t="str">
        <f t="shared" si="214"/>
        <v/>
      </c>
      <c r="AT117" s="1515" t="str">
        <f t="shared" si="214"/>
        <v/>
      </c>
      <c r="AU117" s="1515" t="str">
        <f t="shared" si="214"/>
        <v/>
      </c>
      <c r="AV117" s="1515" t="str">
        <f t="shared" si="214"/>
        <v/>
      </c>
      <c r="AW117" s="1515" t="str">
        <f t="shared" si="214"/>
        <v/>
      </c>
      <c r="AX117" s="1515" t="str">
        <f t="shared" si="214"/>
        <v/>
      </c>
      <c r="AY117" s="1515" t="str">
        <f t="shared" si="214"/>
        <v/>
      </c>
      <c r="AZ117" s="1515" t="str">
        <f t="shared" si="214"/>
        <v/>
      </c>
      <c r="BA117" s="1687" t="str">
        <f t="shared" si="214"/>
        <v/>
      </c>
      <c r="BB117" s="1450"/>
      <c r="BC117" s="1451"/>
      <c r="BD117" s="1451"/>
      <c r="BE117" s="1451"/>
      <c r="BF117" s="1451"/>
      <c r="BG117" s="1451"/>
      <c r="BH117" s="1451"/>
      <c r="BI117" s="1451"/>
      <c r="BJ117" s="1451"/>
      <c r="BK117" s="1690"/>
      <c r="BL117" s="1451"/>
      <c r="BM117" s="1451"/>
      <c r="BN117" s="1451"/>
      <c r="BO117" s="1451"/>
      <c r="BP117" s="1451"/>
      <c r="BQ117" s="1451"/>
      <c r="BR117" s="1453"/>
      <c r="BS117" s="1450"/>
      <c r="BT117" s="1451"/>
      <c r="BU117" s="1451"/>
      <c r="BV117" s="1451"/>
      <c r="BW117" s="1451"/>
      <c r="BX117" s="1451"/>
      <c r="BY117" s="1451"/>
      <c r="BZ117" s="1451"/>
      <c r="CA117" s="1451"/>
      <c r="CB117" s="1451"/>
      <c r="CC117" s="1451"/>
      <c r="CD117" s="1451"/>
      <c r="CE117" s="1451"/>
      <c r="CF117" s="1451"/>
      <c r="CG117" s="1451"/>
      <c r="CH117" s="1451"/>
      <c r="CI117" s="1453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4" t="s">
        <v>836</v>
      </c>
      <c r="B118" s="1421" t="str">
        <f t="shared" ref="B118:B125" si="215">$B$11</f>
        <v>M</v>
      </c>
      <c r="C118" s="1501">
        <v>4</v>
      </c>
      <c r="D118" s="1502">
        <v>6</v>
      </c>
      <c r="E118" s="1502">
        <v>4</v>
      </c>
      <c r="F118" s="1502">
        <v>3</v>
      </c>
      <c r="G118" s="1502">
        <v>12</v>
      </c>
      <c r="H118" s="1502">
        <v>6</v>
      </c>
      <c r="I118" s="1502">
        <v>15</v>
      </c>
      <c r="J118" s="1502">
        <v>6</v>
      </c>
      <c r="K118" s="1502">
        <v>1</v>
      </c>
      <c r="L118" s="1734"/>
      <c r="M118" s="1502"/>
      <c r="N118" s="1502"/>
      <c r="O118" s="1502"/>
      <c r="P118" s="1502"/>
      <c r="Q118" s="1502"/>
      <c r="R118" s="1502"/>
      <c r="S118" s="1503"/>
      <c r="T118" s="1529"/>
      <c r="U118" s="1530"/>
      <c r="V118" s="1530"/>
      <c r="W118" s="1530"/>
      <c r="X118" s="1530"/>
      <c r="Y118" s="1530"/>
      <c r="Z118" s="1530"/>
      <c r="AA118" s="1530"/>
      <c r="AB118" s="1530"/>
      <c r="AC118" s="1530"/>
      <c r="AD118" s="1530"/>
      <c r="AE118" s="1530"/>
      <c r="AF118" s="1530"/>
      <c r="AG118" s="1530"/>
      <c r="AH118" s="1444"/>
      <c r="AI118" s="1530"/>
      <c r="AJ118" s="1714"/>
      <c r="AK118" s="1529"/>
      <c r="AL118" s="1530"/>
      <c r="AM118" s="1530"/>
      <c r="AN118" s="1530"/>
      <c r="AO118" s="1530"/>
      <c r="AP118" s="1530"/>
      <c r="AQ118" s="1530"/>
      <c r="AR118" s="1530"/>
      <c r="AS118" s="1530"/>
      <c r="AT118" s="1530"/>
      <c r="AU118" s="1530"/>
      <c r="AV118" s="1530"/>
      <c r="AW118" s="1530"/>
      <c r="AX118" s="1530"/>
      <c r="AY118" s="1530"/>
      <c r="AZ118" s="1530"/>
      <c r="BA118" s="1714"/>
      <c r="BB118" s="1460">
        <v>6</v>
      </c>
      <c r="BC118" s="1461">
        <v>8</v>
      </c>
      <c r="BD118" s="1461">
        <v>4</v>
      </c>
      <c r="BE118" s="1461">
        <v>5</v>
      </c>
      <c r="BF118" s="1461">
        <v>15</v>
      </c>
      <c r="BG118" s="1461">
        <v>3</v>
      </c>
      <c r="BH118" s="1461">
        <v>5</v>
      </c>
      <c r="BI118" s="1461">
        <v>6</v>
      </c>
      <c r="BJ118" s="1461">
        <v>10</v>
      </c>
      <c r="BK118" s="1685"/>
      <c r="BL118" s="1461"/>
      <c r="BM118" s="1461"/>
      <c r="BN118" s="1461"/>
      <c r="BO118" s="1461"/>
      <c r="BP118" s="1461"/>
      <c r="BQ118" s="1461"/>
      <c r="BR118" s="1462"/>
      <c r="BS118" s="1427"/>
      <c r="BT118" s="1428"/>
      <c r="BU118" s="1428"/>
      <c r="BV118" s="1428"/>
      <c r="BW118" s="1428"/>
      <c r="BX118" s="1428"/>
      <c r="BY118" s="1428"/>
      <c r="BZ118" s="1428"/>
      <c r="CA118" s="1428"/>
      <c r="CB118" s="1428"/>
      <c r="CC118" s="1428"/>
      <c r="CD118" s="1428"/>
      <c r="CE118" s="1428"/>
      <c r="CF118" s="1428"/>
      <c r="CG118" s="1428"/>
      <c r="CH118" s="1428"/>
      <c r="CI118" s="1429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5" t="s">
        <v>75</v>
      </c>
      <c r="B119" s="1430" t="str">
        <f t="shared" si="215"/>
        <v>M</v>
      </c>
      <c r="C119" s="1511">
        <v>3</v>
      </c>
      <c r="D119" s="1512">
        <v>4</v>
      </c>
      <c r="E119" s="1512">
        <v>3</v>
      </c>
      <c r="F119" s="1512">
        <v>2</v>
      </c>
      <c r="G119" s="1512">
        <v>7</v>
      </c>
      <c r="H119" s="1512">
        <v>4</v>
      </c>
      <c r="I119" s="1512">
        <v>8</v>
      </c>
      <c r="J119" s="1512">
        <v>4</v>
      </c>
      <c r="K119" s="1512">
        <v>1</v>
      </c>
      <c r="L119" s="1735"/>
      <c r="M119" s="1512"/>
      <c r="N119" s="1512"/>
      <c r="O119" s="1512"/>
      <c r="P119" s="1512"/>
      <c r="Q119" s="1512"/>
      <c r="R119" s="1512"/>
      <c r="S119" s="1513"/>
      <c r="T119" s="1442"/>
      <c r="U119" s="1443"/>
      <c r="V119" s="1443"/>
      <c r="W119" s="1443"/>
      <c r="X119" s="1443"/>
      <c r="Y119" s="1443"/>
      <c r="Z119" s="1443"/>
      <c r="AA119" s="1443"/>
      <c r="AB119" s="1443"/>
      <c r="AC119" s="1443"/>
      <c r="AD119" s="1443"/>
      <c r="AE119" s="1443"/>
      <c r="AF119" s="1443"/>
      <c r="AG119" s="1443"/>
      <c r="AH119" s="1444"/>
      <c r="AI119" s="1443"/>
      <c r="AJ119" s="1713"/>
      <c r="AK119" s="1442"/>
      <c r="AL119" s="1443"/>
      <c r="AM119" s="1443"/>
      <c r="AN119" s="1443"/>
      <c r="AO119" s="1443"/>
      <c r="AP119" s="1443"/>
      <c r="AQ119" s="1443"/>
      <c r="AR119" s="1443"/>
      <c r="AS119" s="1443"/>
      <c r="AT119" s="1443"/>
      <c r="AU119" s="1443"/>
      <c r="AV119" s="1443"/>
      <c r="AW119" s="1443"/>
      <c r="AX119" s="1443"/>
      <c r="AY119" s="1443"/>
      <c r="AZ119" s="1443"/>
      <c r="BA119" s="1713"/>
      <c r="BB119" s="1446">
        <v>5</v>
      </c>
      <c r="BC119" s="1447">
        <v>5</v>
      </c>
      <c r="BD119" s="1447">
        <v>3</v>
      </c>
      <c r="BE119" s="1447">
        <v>4</v>
      </c>
      <c r="BF119" s="1447">
        <v>10</v>
      </c>
      <c r="BG119" s="1447">
        <v>3</v>
      </c>
      <c r="BH119" s="1447">
        <v>4</v>
      </c>
      <c r="BI119" s="1447">
        <v>5</v>
      </c>
      <c r="BJ119" s="1447">
        <v>7</v>
      </c>
      <c r="BK119" s="1680"/>
      <c r="BL119" s="1447"/>
      <c r="BM119" s="1447"/>
      <c r="BN119" s="1447"/>
      <c r="BO119" s="1447"/>
      <c r="BP119" s="1447"/>
      <c r="BQ119" s="1447"/>
      <c r="BR119" s="1448"/>
      <c r="BS119" s="1439"/>
      <c r="BT119" s="1440"/>
      <c r="BU119" s="1440"/>
      <c r="BV119" s="1440"/>
      <c r="BW119" s="1440"/>
      <c r="BX119" s="1440"/>
      <c r="BY119" s="1440"/>
      <c r="BZ119" s="1440"/>
      <c r="CA119" s="1440"/>
      <c r="CB119" s="1440"/>
      <c r="CC119" s="1440"/>
      <c r="CD119" s="1440"/>
      <c r="CE119" s="1440"/>
      <c r="CF119" s="1440"/>
      <c r="CG119" s="1440"/>
      <c r="CH119" s="1440"/>
      <c r="CI119" s="1441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5" t="s">
        <v>76</v>
      </c>
      <c r="B120" s="1430" t="str">
        <f t="shared" si="215"/>
        <v>M</v>
      </c>
      <c r="C120" s="1520"/>
      <c r="D120" s="1521"/>
      <c r="E120" s="1521"/>
      <c r="F120" s="1521"/>
      <c r="G120" s="1521"/>
      <c r="H120" s="1521"/>
      <c r="I120" s="1521"/>
      <c r="J120" s="1521"/>
      <c r="K120" s="1521"/>
      <c r="L120" s="1736"/>
      <c r="M120" s="1521"/>
      <c r="N120" s="1521"/>
      <c r="O120" s="1521"/>
      <c r="P120" s="1521"/>
      <c r="Q120" s="1521"/>
      <c r="R120" s="1521"/>
      <c r="S120" s="1522"/>
      <c r="T120" s="1439"/>
      <c r="U120" s="1440"/>
      <c r="V120" s="1440"/>
      <c r="W120" s="1440"/>
      <c r="X120" s="1440"/>
      <c r="Y120" s="1440"/>
      <c r="Z120" s="1440"/>
      <c r="AA120" s="1440"/>
      <c r="AB120" s="1440"/>
      <c r="AC120" s="1440"/>
      <c r="AD120" s="1440"/>
      <c r="AE120" s="1440"/>
      <c r="AF120" s="1440"/>
      <c r="AG120" s="1440"/>
      <c r="AH120" s="1532"/>
      <c r="AI120" s="1440"/>
      <c r="AJ120" s="1712"/>
      <c r="AK120" s="1439"/>
      <c r="AL120" s="1440"/>
      <c r="AM120" s="1440"/>
      <c r="AN120" s="1440"/>
      <c r="AO120" s="1440"/>
      <c r="AP120" s="1440"/>
      <c r="AQ120" s="1440"/>
      <c r="AR120" s="1440"/>
      <c r="AS120" s="1440"/>
      <c r="AT120" s="1440"/>
      <c r="AU120" s="1440"/>
      <c r="AV120" s="1440"/>
      <c r="AW120" s="1440"/>
      <c r="AX120" s="1440"/>
      <c r="AY120" s="1440"/>
      <c r="AZ120" s="1440"/>
      <c r="BA120" s="1712"/>
      <c r="BB120" s="1446">
        <v>5</v>
      </c>
      <c r="BC120" s="1447">
        <v>4</v>
      </c>
      <c r="BD120" s="1447">
        <v>4</v>
      </c>
      <c r="BE120" s="1447">
        <v>8</v>
      </c>
      <c r="BF120" s="1447">
        <v>10</v>
      </c>
      <c r="BG120" s="1447">
        <v>3</v>
      </c>
      <c r="BH120" s="1447">
        <v>6</v>
      </c>
      <c r="BI120" s="1447">
        <v>10</v>
      </c>
      <c r="BJ120" s="1447">
        <v>14</v>
      </c>
      <c r="BK120" s="1680"/>
      <c r="BL120" s="1447"/>
      <c r="BM120" s="1447"/>
      <c r="BN120" s="1447"/>
      <c r="BO120" s="1447"/>
      <c r="BP120" s="1447"/>
      <c r="BQ120" s="1447"/>
      <c r="BR120" s="1448"/>
      <c r="BS120" s="1439"/>
      <c r="BT120" s="1440"/>
      <c r="BU120" s="1440"/>
      <c r="BV120" s="1440"/>
      <c r="BW120" s="1440"/>
      <c r="BX120" s="1440"/>
      <c r="BY120" s="1440"/>
      <c r="BZ120" s="1440"/>
      <c r="CA120" s="1440"/>
      <c r="CB120" s="1440"/>
      <c r="CC120" s="1440"/>
      <c r="CD120" s="1440"/>
      <c r="CE120" s="1440"/>
      <c r="CF120" s="1440"/>
      <c r="CG120" s="1440"/>
      <c r="CH120" s="1440"/>
      <c r="CI120" s="1441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5" t="s">
        <v>77</v>
      </c>
      <c r="B121" s="1430" t="str">
        <f t="shared" si="215"/>
        <v>M</v>
      </c>
      <c r="C121" s="1523"/>
      <c r="D121" s="1524"/>
      <c r="E121" s="1524"/>
      <c r="F121" s="1524"/>
      <c r="G121" s="1524"/>
      <c r="H121" s="1524"/>
      <c r="I121" s="1524"/>
      <c r="J121" s="1524"/>
      <c r="K121" s="1524"/>
      <c r="L121" s="1737"/>
      <c r="M121" s="1524"/>
      <c r="N121" s="1524"/>
      <c r="O121" s="1524"/>
      <c r="P121" s="1524"/>
      <c r="Q121" s="1524"/>
      <c r="R121" s="1524"/>
      <c r="S121" s="1525"/>
      <c r="T121" s="1439"/>
      <c r="U121" s="1440"/>
      <c r="V121" s="1440"/>
      <c r="W121" s="1440"/>
      <c r="X121" s="1440"/>
      <c r="Y121" s="1440"/>
      <c r="Z121" s="1440"/>
      <c r="AA121" s="1440"/>
      <c r="AB121" s="1440"/>
      <c r="AC121" s="1440"/>
      <c r="AD121" s="1440"/>
      <c r="AE121" s="1440"/>
      <c r="AF121" s="1440"/>
      <c r="AG121" s="1440"/>
      <c r="AH121" s="1532"/>
      <c r="AI121" s="1440"/>
      <c r="AJ121" s="1712"/>
      <c r="AK121" s="1442"/>
      <c r="AL121" s="1443"/>
      <c r="AM121" s="1443"/>
      <c r="AN121" s="1443"/>
      <c r="AO121" s="1443"/>
      <c r="AP121" s="1443"/>
      <c r="AQ121" s="1443"/>
      <c r="AR121" s="1443"/>
      <c r="AS121" s="1443"/>
      <c r="AT121" s="1443"/>
      <c r="AU121" s="1443"/>
      <c r="AV121" s="1443"/>
      <c r="AW121" s="1443"/>
      <c r="AX121" s="1443"/>
      <c r="AY121" s="1443"/>
      <c r="AZ121" s="1443"/>
      <c r="BA121" s="1713"/>
      <c r="BB121" s="1446">
        <v>1</v>
      </c>
      <c r="BC121" s="1447">
        <v>2</v>
      </c>
      <c r="BD121" s="1447">
        <v>2</v>
      </c>
      <c r="BE121" s="1447">
        <v>3</v>
      </c>
      <c r="BF121" s="1447">
        <v>5</v>
      </c>
      <c r="BG121" s="1447">
        <v>1</v>
      </c>
      <c r="BH121" s="1447">
        <v>2</v>
      </c>
      <c r="BI121" s="1447">
        <v>5</v>
      </c>
      <c r="BJ121" s="1447">
        <v>10</v>
      </c>
      <c r="BK121" s="1680"/>
      <c r="BL121" s="1447"/>
      <c r="BM121" s="1447"/>
      <c r="BN121" s="1447"/>
      <c r="BO121" s="1447"/>
      <c r="BP121" s="1447"/>
      <c r="BQ121" s="1447"/>
      <c r="BR121" s="1448"/>
      <c r="BS121" s="1439"/>
      <c r="BT121" s="1440"/>
      <c r="BU121" s="1440"/>
      <c r="BV121" s="1440"/>
      <c r="BW121" s="1440"/>
      <c r="BX121" s="1440"/>
      <c r="BY121" s="1440"/>
      <c r="BZ121" s="1440"/>
      <c r="CA121" s="1440"/>
      <c r="CB121" s="1440"/>
      <c r="CC121" s="1440"/>
      <c r="CD121" s="1440"/>
      <c r="CE121" s="1440"/>
      <c r="CF121" s="1440"/>
      <c r="CG121" s="1440"/>
      <c r="CH121" s="1440"/>
      <c r="CI121" s="1441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5" t="s">
        <v>78</v>
      </c>
      <c r="B122" s="1430" t="str">
        <f t="shared" si="215"/>
        <v>M</v>
      </c>
      <c r="C122" s="1523"/>
      <c r="D122" s="1524"/>
      <c r="E122" s="1524"/>
      <c r="F122" s="1524"/>
      <c r="G122" s="1524"/>
      <c r="H122" s="1524"/>
      <c r="I122" s="1524"/>
      <c r="J122" s="1524"/>
      <c r="K122" s="1524"/>
      <c r="L122" s="1737"/>
      <c r="M122" s="1524"/>
      <c r="N122" s="1524"/>
      <c r="O122" s="1524"/>
      <c r="P122" s="1524"/>
      <c r="Q122" s="1524"/>
      <c r="R122" s="1524"/>
      <c r="S122" s="1525"/>
      <c r="T122" s="1439"/>
      <c r="U122" s="1440"/>
      <c r="V122" s="1440"/>
      <c r="W122" s="1440"/>
      <c r="X122" s="1440"/>
      <c r="Y122" s="1440"/>
      <c r="Z122" s="1440"/>
      <c r="AA122" s="1440"/>
      <c r="AB122" s="1440"/>
      <c r="AC122" s="1440"/>
      <c r="AD122" s="1440"/>
      <c r="AE122" s="1440"/>
      <c r="AF122" s="1440"/>
      <c r="AG122" s="1440"/>
      <c r="AH122" s="1532"/>
      <c r="AI122" s="1440"/>
      <c r="AJ122" s="1712"/>
      <c r="AK122" s="1442"/>
      <c r="AL122" s="1443"/>
      <c r="AM122" s="1443"/>
      <c r="AN122" s="1443"/>
      <c r="AO122" s="1443"/>
      <c r="AP122" s="1443"/>
      <c r="AQ122" s="1443"/>
      <c r="AR122" s="1443"/>
      <c r="AS122" s="1443"/>
      <c r="AT122" s="1443"/>
      <c r="AU122" s="1443"/>
      <c r="AV122" s="1443"/>
      <c r="AW122" s="1443"/>
      <c r="AX122" s="1443"/>
      <c r="AY122" s="1443"/>
      <c r="AZ122" s="1443"/>
      <c r="BA122" s="1713"/>
      <c r="BB122" s="1446">
        <v>4</v>
      </c>
      <c r="BC122" s="1447">
        <v>1</v>
      </c>
      <c r="BD122" s="1447">
        <v>0</v>
      </c>
      <c r="BE122" s="1447">
        <v>1</v>
      </c>
      <c r="BF122" s="1447">
        <v>0</v>
      </c>
      <c r="BG122" s="1447">
        <v>2</v>
      </c>
      <c r="BH122" s="1447">
        <v>1</v>
      </c>
      <c r="BI122" s="1447">
        <v>2</v>
      </c>
      <c r="BJ122" s="1447">
        <v>2</v>
      </c>
      <c r="BK122" s="1680"/>
      <c r="BL122" s="1447"/>
      <c r="BM122" s="1447"/>
      <c r="BN122" s="1447"/>
      <c r="BO122" s="1447"/>
      <c r="BP122" s="1447"/>
      <c r="BQ122" s="1447"/>
      <c r="BR122" s="1448"/>
      <c r="BS122" s="1439"/>
      <c r="BT122" s="1440"/>
      <c r="BU122" s="1440"/>
      <c r="BV122" s="1440"/>
      <c r="BW122" s="1440"/>
      <c r="BX122" s="1440"/>
      <c r="BY122" s="1440"/>
      <c r="BZ122" s="1440"/>
      <c r="CA122" s="1440"/>
      <c r="CB122" s="1440"/>
      <c r="CC122" s="1440"/>
      <c r="CD122" s="1440"/>
      <c r="CE122" s="1440"/>
      <c r="CF122" s="1440"/>
      <c r="CG122" s="1440"/>
      <c r="CH122" s="1440"/>
      <c r="CI122" s="1441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5" t="s">
        <v>79</v>
      </c>
      <c r="B123" s="1430" t="str">
        <f t="shared" si="215"/>
        <v>M</v>
      </c>
      <c r="C123" s="1523"/>
      <c r="D123" s="1524"/>
      <c r="E123" s="1524"/>
      <c r="F123" s="1524"/>
      <c r="G123" s="1524"/>
      <c r="H123" s="1524"/>
      <c r="I123" s="1524"/>
      <c r="J123" s="1524"/>
      <c r="K123" s="1524"/>
      <c r="L123" s="1737"/>
      <c r="M123" s="1524"/>
      <c r="N123" s="1524"/>
      <c r="O123" s="1524"/>
      <c r="P123" s="1524"/>
      <c r="Q123" s="1524"/>
      <c r="R123" s="1524"/>
      <c r="S123" s="1525"/>
      <c r="T123" s="1439"/>
      <c r="U123" s="1440"/>
      <c r="V123" s="1440"/>
      <c r="W123" s="1440"/>
      <c r="X123" s="1440"/>
      <c r="Y123" s="1440"/>
      <c r="Z123" s="1440"/>
      <c r="AA123" s="1440"/>
      <c r="AB123" s="1440"/>
      <c r="AC123" s="1440"/>
      <c r="AD123" s="1440"/>
      <c r="AE123" s="1440"/>
      <c r="AF123" s="1440"/>
      <c r="AG123" s="1440"/>
      <c r="AH123" s="1532"/>
      <c r="AI123" s="1440"/>
      <c r="AJ123" s="1712"/>
      <c r="AK123" s="1442"/>
      <c r="AL123" s="1443"/>
      <c r="AM123" s="1443"/>
      <c r="AN123" s="1443"/>
      <c r="AO123" s="1443"/>
      <c r="AP123" s="1443"/>
      <c r="AQ123" s="1443"/>
      <c r="AR123" s="1443"/>
      <c r="AS123" s="1443"/>
      <c r="AT123" s="1443"/>
      <c r="AU123" s="1443"/>
      <c r="AV123" s="1443"/>
      <c r="AW123" s="1443"/>
      <c r="AX123" s="1443"/>
      <c r="AY123" s="1443"/>
      <c r="AZ123" s="1443"/>
      <c r="BA123" s="1713"/>
      <c r="BB123" s="1446">
        <v>2</v>
      </c>
      <c r="BC123" s="1447">
        <v>0</v>
      </c>
      <c r="BD123" s="1447">
        <v>0</v>
      </c>
      <c r="BE123" s="1447">
        <v>0</v>
      </c>
      <c r="BF123" s="1447">
        <v>1</v>
      </c>
      <c r="BG123" s="1447">
        <v>1</v>
      </c>
      <c r="BH123" s="1447">
        <v>0</v>
      </c>
      <c r="BI123" s="1447">
        <v>3</v>
      </c>
      <c r="BJ123" s="1447">
        <v>2</v>
      </c>
      <c r="BK123" s="1680"/>
      <c r="BL123" s="1447"/>
      <c r="BM123" s="1447"/>
      <c r="BN123" s="1447"/>
      <c r="BO123" s="1447"/>
      <c r="BP123" s="1447"/>
      <c r="BQ123" s="1447"/>
      <c r="BR123" s="1448"/>
      <c r="BS123" s="1439"/>
      <c r="BT123" s="1440"/>
      <c r="BU123" s="1440"/>
      <c r="BV123" s="1440"/>
      <c r="BW123" s="1440"/>
      <c r="BX123" s="1440"/>
      <c r="BY123" s="1440"/>
      <c r="BZ123" s="1440"/>
      <c r="CA123" s="1440"/>
      <c r="CB123" s="1440"/>
      <c r="CC123" s="1440"/>
      <c r="CD123" s="1440"/>
      <c r="CE123" s="1440"/>
      <c r="CF123" s="1440"/>
      <c r="CG123" s="1440"/>
      <c r="CH123" s="1440"/>
      <c r="CI123" s="1441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5" t="s">
        <v>80</v>
      </c>
      <c r="B124" s="1430" t="str">
        <f t="shared" si="215"/>
        <v>M</v>
      </c>
      <c r="C124" s="1523"/>
      <c r="D124" s="1524"/>
      <c r="E124" s="1524"/>
      <c r="F124" s="1524"/>
      <c r="G124" s="1524"/>
      <c r="H124" s="1524"/>
      <c r="I124" s="1524"/>
      <c r="J124" s="1524"/>
      <c r="K124" s="1524"/>
      <c r="L124" s="1737"/>
      <c r="M124" s="1524"/>
      <c r="N124" s="1524"/>
      <c r="O124" s="1524"/>
      <c r="P124" s="1524"/>
      <c r="Q124" s="1524"/>
      <c r="R124" s="1524"/>
      <c r="S124" s="1525"/>
      <c r="T124" s="1439"/>
      <c r="U124" s="1440"/>
      <c r="V124" s="1440"/>
      <c r="W124" s="1440"/>
      <c r="X124" s="1440"/>
      <c r="Y124" s="1440"/>
      <c r="Z124" s="1440"/>
      <c r="AA124" s="1440"/>
      <c r="AB124" s="1440"/>
      <c r="AC124" s="1440"/>
      <c r="AD124" s="1440"/>
      <c r="AE124" s="1440"/>
      <c r="AF124" s="1440"/>
      <c r="AG124" s="1440"/>
      <c r="AH124" s="1532"/>
      <c r="AI124" s="1440"/>
      <c r="AJ124" s="1712"/>
      <c r="AK124" s="1442"/>
      <c r="AL124" s="1443"/>
      <c r="AM124" s="1443"/>
      <c r="AN124" s="1443"/>
      <c r="AO124" s="1443"/>
      <c r="AP124" s="1443"/>
      <c r="AQ124" s="1443"/>
      <c r="AR124" s="1443"/>
      <c r="AS124" s="1443"/>
      <c r="AT124" s="1443"/>
      <c r="AU124" s="1443"/>
      <c r="AV124" s="1443"/>
      <c r="AW124" s="1443"/>
      <c r="AX124" s="1443"/>
      <c r="AY124" s="1443"/>
      <c r="AZ124" s="1443"/>
      <c r="BA124" s="1713"/>
      <c r="BB124" s="1446">
        <v>0</v>
      </c>
      <c r="BC124" s="1447">
        <v>0</v>
      </c>
      <c r="BD124" s="1447">
        <v>0</v>
      </c>
      <c r="BE124" s="1447">
        <v>1</v>
      </c>
      <c r="BF124" s="1447">
        <v>4</v>
      </c>
      <c r="BG124" s="1447">
        <v>2</v>
      </c>
      <c r="BH124" s="1447">
        <v>1</v>
      </c>
      <c r="BI124" s="1447">
        <v>2</v>
      </c>
      <c r="BJ124" s="1447">
        <v>2</v>
      </c>
      <c r="BK124" s="1680"/>
      <c r="BL124" s="1447"/>
      <c r="BM124" s="1447"/>
      <c r="BN124" s="1447"/>
      <c r="BO124" s="1447"/>
      <c r="BP124" s="1447"/>
      <c r="BQ124" s="1447"/>
      <c r="BR124" s="1448"/>
      <c r="BS124" s="1439"/>
      <c r="BT124" s="1440"/>
      <c r="BU124" s="1440"/>
      <c r="BV124" s="1440"/>
      <c r="BW124" s="1440"/>
      <c r="BX124" s="1440"/>
      <c r="BY124" s="1440"/>
      <c r="BZ124" s="1440"/>
      <c r="CA124" s="1440"/>
      <c r="CB124" s="1440"/>
      <c r="CC124" s="1440"/>
      <c r="CD124" s="1440"/>
      <c r="CE124" s="1440"/>
      <c r="CF124" s="1440"/>
      <c r="CG124" s="1440"/>
      <c r="CH124" s="1440"/>
      <c r="CI124" s="1441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8" t="s">
        <v>81</v>
      </c>
      <c r="B125" s="1430" t="str">
        <f t="shared" si="215"/>
        <v>M</v>
      </c>
      <c r="C125" s="1526"/>
      <c r="D125" s="1527"/>
      <c r="E125" s="1527"/>
      <c r="F125" s="1527"/>
      <c r="G125" s="1527"/>
      <c r="H125" s="1527"/>
      <c r="I125" s="1527"/>
      <c r="J125" s="1527"/>
      <c r="K125" s="1527"/>
      <c r="L125" s="1738"/>
      <c r="M125" s="1527"/>
      <c r="N125" s="1527"/>
      <c r="O125" s="1527"/>
      <c r="P125" s="1527"/>
      <c r="Q125" s="1527"/>
      <c r="R125" s="1527"/>
      <c r="S125" s="1528"/>
      <c r="T125" s="1450"/>
      <c r="U125" s="1451"/>
      <c r="V125" s="1451"/>
      <c r="W125" s="1451"/>
      <c r="X125" s="1451"/>
      <c r="Y125" s="1451"/>
      <c r="Z125" s="1451"/>
      <c r="AA125" s="1451"/>
      <c r="AB125" s="1451"/>
      <c r="AC125" s="1451"/>
      <c r="AD125" s="1451"/>
      <c r="AE125" s="1451"/>
      <c r="AF125" s="1451"/>
      <c r="AG125" s="1451"/>
      <c r="AH125" s="1452"/>
      <c r="AI125" s="1451"/>
      <c r="AJ125" s="1702"/>
      <c r="AK125" s="1450"/>
      <c r="AL125" s="1451"/>
      <c r="AM125" s="1451"/>
      <c r="AN125" s="1451"/>
      <c r="AO125" s="1451"/>
      <c r="AP125" s="1451"/>
      <c r="AQ125" s="1451"/>
      <c r="AR125" s="1451"/>
      <c r="AS125" s="1451"/>
      <c r="AT125" s="1451"/>
      <c r="AU125" s="1451"/>
      <c r="AV125" s="1451"/>
      <c r="AW125" s="1451"/>
      <c r="AX125" s="1451"/>
      <c r="AY125" s="1451"/>
      <c r="AZ125" s="1451"/>
      <c r="BA125" s="1702"/>
      <c r="BB125" s="1514">
        <f t="shared" ref="BB125:BJ125" si="235">IF(BB118="","",SUM(BB118,BB120,-BB121,-BB122,-BB123,BB124))</f>
        <v>4</v>
      </c>
      <c r="BC125" s="1515">
        <f t="shared" si="235"/>
        <v>9</v>
      </c>
      <c r="BD125" s="1515">
        <f t="shared" si="235"/>
        <v>6</v>
      </c>
      <c r="BE125" s="1515">
        <f t="shared" si="235"/>
        <v>10</v>
      </c>
      <c r="BF125" s="1515">
        <f t="shared" si="235"/>
        <v>23</v>
      </c>
      <c r="BG125" s="1515">
        <f t="shared" si="235"/>
        <v>4</v>
      </c>
      <c r="BH125" s="1515">
        <f t="shared" si="235"/>
        <v>9</v>
      </c>
      <c r="BI125" s="1515">
        <f t="shared" si="235"/>
        <v>8</v>
      </c>
      <c r="BJ125" s="1515">
        <f t="shared" si="235"/>
        <v>12</v>
      </c>
      <c r="BK125" s="1687"/>
      <c r="BL125" s="1515"/>
      <c r="BM125" s="1515" t="str">
        <f t="shared" ref="BM125:BR125" si="236">IF(BM118="","",SUM(BM118,BM120,-BM121,-BM122,-BM123,BM124))</f>
        <v/>
      </c>
      <c r="BN125" s="1515" t="str">
        <f t="shared" si="236"/>
        <v/>
      </c>
      <c r="BO125" s="1515" t="str">
        <f t="shared" si="236"/>
        <v/>
      </c>
      <c r="BP125" s="1515" t="str">
        <f t="shared" si="236"/>
        <v/>
      </c>
      <c r="BQ125" s="1515" t="str">
        <f t="shared" si="236"/>
        <v/>
      </c>
      <c r="BR125" s="1515" t="str">
        <f t="shared" si="236"/>
        <v/>
      </c>
      <c r="BS125" s="1450"/>
      <c r="BT125" s="1451"/>
      <c r="BU125" s="1451"/>
      <c r="BV125" s="1451"/>
      <c r="BW125" s="1451"/>
      <c r="BX125" s="1451"/>
      <c r="BY125" s="1451"/>
      <c r="BZ125" s="1451"/>
      <c r="CA125" s="1451"/>
      <c r="CB125" s="1451"/>
      <c r="CC125" s="1451"/>
      <c r="CD125" s="1451"/>
      <c r="CE125" s="1451"/>
      <c r="CF125" s="1451"/>
      <c r="CG125" s="1451"/>
      <c r="CH125" s="1451"/>
      <c r="CI125" s="1453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4" t="s">
        <v>836</v>
      </c>
      <c r="B126" s="1421" t="str">
        <f t="shared" ref="B126:B133" si="237">$B$12</f>
        <v>BO</v>
      </c>
      <c r="C126" s="1501">
        <v>10</v>
      </c>
      <c r="D126" s="1533">
        <v>12</v>
      </c>
      <c r="E126" s="1533">
        <v>10</v>
      </c>
      <c r="F126" s="1533">
        <v>15</v>
      </c>
      <c r="G126" s="1533">
        <v>20</v>
      </c>
      <c r="H126" s="1533">
        <v>10</v>
      </c>
      <c r="I126" s="1533">
        <v>25</v>
      </c>
      <c r="J126" s="1533">
        <v>15</v>
      </c>
      <c r="K126" s="1533">
        <v>5</v>
      </c>
      <c r="L126" s="1739"/>
      <c r="M126" s="1533"/>
      <c r="N126" s="1533"/>
      <c r="O126" s="1533"/>
      <c r="P126" s="1533"/>
      <c r="Q126" s="1533"/>
      <c r="R126" s="1533"/>
      <c r="S126" s="1534"/>
      <c r="T126" s="1529"/>
      <c r="U126" s="1530"/>
      <c r="V126" s="1530"/>
      <c r="W126" s="1530"/>
      <c r="X126" s="1530"/>
      <c r="Y126" s="1530"/>
      <c r="Z126" s="1530"/>
      <c r="AA126" s="1530"/>
      <c r="AB126" s="1530"/>
      <c r="AC126" s="1530"/>
      <c r="AD126" s="1530"/>
      <c r="AE126" s="1530"/>
      <c r="AF126" s="1530"/>
      <c r="AG126" s="1530"/>
      <c r="AH126" s="1444"/>
      <c r="AI126" s="1530"/>
      <c r="AJ126" s="1714"/>
      <c r="AK126" s="1529"/>
      <c r="AL126" s="1530"/>
      <c r="AM126" s="1530"/>
      <c r="AN126" s="1530"/>
      <c r="AO126" s="1530"/>
      <c r="AP126" s="1530"/>
      <c r="AQ126" s="1530"/>
      <c r="AR126" s="1530"/>
      <c r="AS126" s="1530"/>
      <c r="AT126" s="1530"/>
      <c r="AU126" s="1530"/>
      <c r="AV126" s="1530"/>
      <c r="AW126" s="1530"/>
      <c r="AX126" s="1530"/>
      <c r="AY126" s="1530"/>
      <c r="AZ126" s="1530"/>
      <c r="BA126" s="1714"/>
      <c r="BB126" s="1529"/>
      <c r="BC126" s="1530"/>
      <c r="BD126" s="1530"/>
      <c r="BE126" s="1530"/>
      <c r="BF126" s="1530"/>
      <c r="BG126" s="1530"/>
      <c r="BH126" s="1530"/>
      <c r="BI126" s="1530"/>
      <c r="BJ126" s="1530"/>
      <c r="BK126" s="1691"/>
      <c r="BL126" s="1530"/>
      <c r="BM126" s="1530"/>
      <c r="BN126" s="1530"/>
      <c r="BO126" s="1530"/>
      <c r="BP126" s="1530"/>
      <c r="BQ126" s="1530"/>
      <c r="BR126" s="1531"/>
      <c r="BS126" s="1460">
        <v>13</v>
      </c>
      <c r="BT126" s="1461">
        <v>15</v>
      </c>
      <c r="BU126" s="1461">
        <v>10</v>
      </c>
      <c r="BV126" s="1461">
        <v>7</v>
      </c>
      <c r="BW126" s="1461"/>
      <c r="BX126" s="1461">
        <v>6</v>
      </c>
      <c r="BY126" s="1461">
        <v>15</v>
      </c>
      <c r="BZ126" s="1461">
        <v>8</v>
      </c>
      <c r="CA126" s="1461">
        <v>12</v>
      </c>
      <c r="CB126" s="1461"/>
      <c r="CC126" s="1461"/>
      <c r="CD126" s="1461"/>
      <c r="CE126" s="1461"/>
      <c r="CF126" s="1461"/>
      <c r="CG126" s="1461"/>
      <c r="CH126" s="1461"/>
      <c r="CI126" s="1462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5" t="s">
        <v>75</v>
      </c>
      <c r="B127" s="1430" t="str">
        <f t="shared" si="237"/>
        <v>BO</v>
      </c>
      <c r="C127" s="1511">
        <v>5</v>
      </c>
      <c r="D127" s="1368">
        <v>6</v>
      </c>
      <c r="E127" s="1368">
        <v>6</v>
      </c>
      <c r="F127" s="1368">
        <v>8</v>
      </c>
      <c r="G127" s="1368">
        <v>15</v>
      </c>
      <c r="H127" s="1368">
        <v>8</v>
      </c>
      <c r="I127" s="1368">
        <v>20</v>
      </c>
      <c r="J127" s="1368">
        <v>8</v>
      </c>
      <c r="K127" s="1368">
        <v>3</v>
      </c>
      <c r="L127" s="1740"/>
      <c r="M127" s="1368"/>
      <c r="N127" s="1368"/>
      <c r="O127" s="1368"/>
      <c r="P127" s="1368"/>
      <c r="Q127" s="1368"/>
      <c r="R127" s="1368"/>
      <c r="S127" s="1535"/>
      <c r="T127" s="1442"/>
      <c r="U127" s="1443"/>
      <c r="V127" s="1443"/>
      <c r="W127" s="1443"/>
      <c r="X127" s="1443"/>
      <c r="Y127" s="1443"/>
      <c r="Z127" s="1443"/>
      <c r="AA127" s="1443"/>
      <c r="AB127" s="1443"/>
      <c r="AC127" s="1443"/>
      <c r="AD127" s="1443"/>
      <c r="AE127" s="1443"/>
      <c r="AF127" s="1443"/>
      <c r="AG127" s="1443"/>
      <c r="AH127" s="1444"/>
      <c r="AI127" s="1443"/>
      <c r="AJ127" s="1713"/>
      <c r="AK127" s="1442"/>
      <c r="AL127" s="1443"/>
      <c r="AM127" s="1443"/>
      <c r="AN127" s="1443"/>
      <c r="AO127" s="1443"/>
      <c r="AP127" s="1443"/>
      <c r="AQ127" s="1443"/>
      <c r="AR127" s="1443"/>
      <c r="AS127" s="1443"/>
      <c r="AT127" s="1443"/>
      <c r="AU127" s="1443"/>
      <c r="AV127" s="1443"/>
      <c r="AW127" s="1443"/>
      <c r="AX127" s="1443"/>
      <c r="AY127" s="1443"/>
      <c r="AZ127" s="1443"/>
      <c r="BA127" s="1713"/>
      <c r="BB127" s="1442"/>
      <c r="BC127" s="1443"/>
      <c r="BD127" s="1443"/>
      <c r="BE127" s="1443"/>
      <c r="BF127" s="1443"/>
      <c r="BG127" s="1443"/>
      <c r="BH127" s="1443"/>
      <c r="BI127" s="1443"/>
      <c r="BJ127" s="1443"/>
      <c r="BK127" s="1689"/>
      <c r="BL127" s="1443"/>
      <c r="BM127" s="1443"/>
      <c r="BN127" s="1443"/>
      <c r="BO127" s="1443"/>
      <c r="BP127" s="1443"/>
      <c r="BQ127" s="1443"/>
      <c r="BR127" s="1445"/>
      <c r="BS127" s="1446">
        <v>6</v>
      </c>
      <c r="BT127" s="1447">
        <v>8</v>
      </c>
      <c r="BU127" s="1447">
        <v>6</v>
      </c>
      <c r="BV127" s="1447">
        <v>5</v>
      </c>
      <c r="BW127" s="1447"/>
      <c r="BX127" s="1447">
        <v>4</v>
      </c>
      <c r="BY127" s="1447">
        <v>13</v>
      </c>
      <c r="BZ127" s="1447">
        <v>6</v>
      </c>
      <c r="CA127" s="1447">
        <v>5</v>
      </c>
      <c r="CB127" s="1447"/>
      <c r="CC127" s="1447"/>
      <c r="CD127" s="1447"/>
      <c r="CE127" s="1447"/>
      <c r="CF127" s="1447"/>
      <c r="CG127" s="1447"/>
      <c r="CH127" s="1447"/>
      <c r="CI127" s="1448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5" t="s">
        <v>76</v>
      </c>
      <c r="B128" s="1430" t="str">
        <f t="shared" si="237"/>
        <v>BO</v>
      </c>
      <c r="C128" s="1520"/>
      <c r="D128" s="1521"/>
      <c r="E128" s="1521"/>
      <c r="F128" s="1521"/>
      <c r="G128" s="1521"/>
      <c r="H128" s="1521"/>
      <c r="I128" s="1521"/>
      <c r="J128" s="1521"/>
      <c r="K128" s="1521"/>
      <c r="L128" s="1736"/>
      <c r="M128" s="1521"/>
      <c r="N128" s="1521"/>
      <c r="O128" s="1521"/>
      <c r="P128" s="1521"/>
      <c r="Q128" s="1521"/>
      <c r="R128" s="1521"/>
      <c r="S128" s="1522"/>
      <c r="T128" s="1439"/>
      <c r="U128" s="1440"/>
      <c r="V128" s="1440"/>
      <c r="W128" s="1440"/>
      <c r="X128" s="1440"/>
      <c r="Y128" s="1440"/>
      <c r="Z128" s="1440"/>
      <c r="AA128" s="1440"/>
      <c r="AB128" s="1440"/>
      <c r="AC128" s="1440"/>
      <c r="AD128" s="1440"/>
      <c r="AE128" s="1440"/>
      <c r="AF128" s="1440"/>
      <c r="AG128" s="1440"/>
      <c r="AH128" s="1532"/>
      <c r="AI128" s="1440"/>
      <c r="AJ128" s="1712"/>
      <c r="AK128" s="1439"/>
      <c r="AL128" s="1440"/>
      <c r="AM128" s="1440"/>
      <c r="AN128" s="1440"/>
      <c r="AO128" s="1440"/>
      <c r="AP128" s="1440"/>
      <c r="AQ128" s="1440"/>
      <c r="AR128" s="1440"/>
      <c r="AS128" s="1440"/>
      <c r="AT128" s="1440"/>
      <c r="AU128" s="1440"/>
      <c r="AV128" s="1440"/>
      <c r="AW128" s="1440"/>
      <c r="AX128" s="1440"/>
      <c r="AY128" s="1440"/>
      <c r="AZ128" s="1440"/>
      <c r="BA128" s="1712"/>
      <c r="BB128" s="1439"/>
      <c r="BC128" s="1440"/>
      <c r="BD128" s="1440"/>
      <c r="BE128" s="1440"/>
      <c r="BF128" s="1440"/>
      <c r="BG128" s="1440"/>
      <c r="BH128" s="1440"/>
      <c r="BI128" s="1440"/>
      <c r="BJ128" s="1440"/>
      <c r="BK128" s="1688"/>
      <c r="BL128" s="1440"/>
      <c r="BM128" s="1440"/>
      <c r="BN128" s="1440"/>
      <c r="BO128" s="1440"/>
      <c r="BP128" s="1440"/>
      <c r="BQ128" s="1440"/>
      <c r="BR128" s="1441"/>
      <c r="BS128" s="1446">
        <v>8</v>
      </c>
      <c r="BT128" s="1447">
        <v>10</v>
      </c>
      <c r="BU128" s="1447">
        <v>6</v>
      </c>
      <c r="BV128" s="1447">
        <v>10</v>
      </c>
      <c r="BW128" s="1447"/>
      <c r="BX128" s="1447">
        <v>2</v>
      </c>
      <c r="BY128" s="1447">
        <v>15</v>
      </c>
      <c r="BZ128" s="1447">
        <v>6</v>
      </c>
      <c r="CA128" s="1447">
        <v>10</v>
      </c>
      <c r="CB128" s="1447"/>
      <c r="CC128" s="1447"/>
      <c r="CD128" s="1447"/>
      <c r="CE128" s="1447"/>
      <c r="CF128" s="1447"/>
      <c r="CG128" s="1447"/>
      <c r="CH128" s="1447"/>
      <c r="CI128" s="1448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5" t="s">
        <v>77</v>
      </c>
      <c r="B129" s="1430" t="str">
        <f t="shared" si="237"/>
        <v>BO</v>
      </c>
      <c r="C129" s="1523"/>
      <c r="D129" s="1524"/>
      <c r="E129" s="1524"/>
      <c r="F129" s="1524"/>
      <c r="G129" s="1524"/>
      <c r="H129" s="1524"/>
      <c r="I129" s="1524"/>
      <c r="J129" s="1524"/>
      <c r="K129" s="1524"/>
      <c r="L129" s="1737"/>
      <c r="M129" s="1524"/>
      <c r="N129" s="1524"/>
      <c r="O129" s="1524"/>
      <c r="P129" s="1524"/>
      <c r="Q129" s="1524"/>
      <c r="R129" s="1524"/>
      <c r="S129" s="1525"/>
      <c r="T129" s="1439"/>
      <c r="U129" s="1440"/>
      <c r="V129" s="1440"/>
      <c r="W129" s="1440"/>
      <c r="X129" s="1440"/>
      <c r="Y129" s="1440"/>
      <c r="Z129" s="1440"/>
      <c r="AA129" s="1440"/>
      <c r="AB129" s="1440"/>
      <c r="AC129" s="1440"/>
      <c r="AD129" s="1440"/>
      <c r="AE129" s="1440"/>
      <c r="AF129" s="1440"/>
      <c r="AG129" s="1440"/>
      <c r="AH129" s="1532"/>
      <c r="AI129" s="1440"/>
      <c r="AJ129" s="1712"/>
      <c r="AK129" s="1439"/>
      <c r="AL129" s="1440"/>
      <c r="AM129" s="1440"/>
      <c r="AN129" s="1440"/>
      <c r="AO129" s="1440"/>
      <c r="AP129" s="1440"/>
      <c r="AQ129" s="1440"/>
      <c r="AR129" s="1440"/>
      <c r="AS129" s="1440"/>
      <c r="AT129" s="1440"/>
      <c r="AU129" s="1440"/>
      <c r="AV129" s="1440"/>
      <c r="AW129" s="1440"/>
      <c r="AX129" s="1440"/>
      <c r="AY129" s="1440"/>
      <c r="AZ129" s="1440"/>
      <c r="BA129" s="1712"/>
      <c r="BB129" s="1439"/>
      <c r="BC129" s="1440"/>
      <c r="BD129" s="1440"/>
      <c r="BE129" s="1440"/>
      <c r="BF129" s="1440"/>
      <c r="BG129" s="1440"/>
      <c r="BH129" s="1440"/>
      <c r="BI129" s="1440"/>
      <c r="BJ129" s="1440"/>
      <c r="BK129" s="1688"/>
      <c r="BL129" s="1440"/>
      <c r="BM129" s="1440"/>
      <c r="BN129" s="1440"/>
      <c r="BO129" s="1440"/>
      <c r="BP129" s="1440"/>
      <c r="BQ129" s="1440"/>
      <c r="BR129" s="1441"/>
      <c r="BS129" s="1446">
        <v>3</v>
      </c>
      <c r="BT129" s="1447">
        <v>0</v>
      </c>
      <c r="BU129" s="1447">
        <v>4</v>
      </c>
      <c r="BV129" s="1447">
        <v>5</v>
      </c>
      <c r="BW129" s="1447"/>
      <c r="BX129" s="1447">
        <v>1</v>
      </c>
      <c r="BY129" s="1447">
        <v>20</v>
      </c>
      <c r="BZ129" s="1447">
        <v>2</v>
      </c>
      <c r="CA129" s="1447">
        <v>3</v>
      </c>
      <c r="CB129" s="1447"/>
      <c r="CC129" s="1447"/>
      <c r="CD129" s="1447"/>
      <c r="CE129" s="1447"/>
      <c r="CF129" s="1447"/>
      <c r="CG129" s="1447"/>
      <c r="CH129" s="1447"/>
      <c r="CI129" s="1448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5" t="s">
        <v>78</v>
      </c>
      <c r="B130" s="1430" t="str">
        <f t="shared" si="237"/>
        <v>BO</v>
      </c>
      <c r="C130" s="1523"/>
      <c r="D130" s="1524"/>
      <c r="E130" s="1524"/>
      <c r="F130" s="1524"/>
      <c r="G130" s="1524"/>
      <c r="H130" s="1524"/>
      <c r="I130" s="1524"/>
      <c r="J130" s="1524"/>
      <c r="K130" s="1524"/>
      <c r="L130" s="1737"/>
      <c r="M130" s="1524"/>
      <c r="N130" s="1524"/>
      <c r="O130" s="1524"/>
      <c r="P130" s="1524"/>
      <c r="Q130" s="1524"/>
      <c r="R130" s="1524"/>
      <c r="S130" s="1525"/>
      <c r="T130" s="1439"/>
      <c r="U130" s="1440"/>
      <c r="V130" s="1440"/>
      <c r="W130" s="1440"/>
      <c r="X130" s="1440"/>
      <c r="Y130" s="1440"/>
      <c r="Z130" s="1440"/>
      <c r="AA130" s="1440"/>
      <c r="AB130" s="1440"/>
      <c r="AC130" s="1440"/>
      <c r="AD130" s="1440"/>
      <c r="AE130" s="1440"/>
      <c r="AF130" s="1440"/>
      <c r="AG130" s="1440"/>
      <c r="AH130" s="1532"/>
      <c r="AI130" s="1440"/>
      <c r="AJ130" s="1712"/>
      <c r="AK130" s="1439"/>
      <c r="AL130" s="1440"/>
      <c r="AM130" s="1440"/>
      <c r="AN130" s="1440"/>
      <c r="AO130" s="1440"/>
      <c r="AP130" s="1440"/>
      <c r="AQ130" s="1440"/>
      <c r="AR130" s="1440"/>
      <c r="AS130" s="1440"/>
      <c r="AT130" s="1440"/>
      <c r="AU130" s="1440"/>
      <c r="AV130" s="1440"/>
      <c r="AW130" s="1440"/>
      <c r="AX130" s="1440"/>
      <c r="AY130" s="1440"/>
      <c r="AZ130" s="1440"/>
      <c r="BA130" s="1712"/>
      <c r="BB130" s="1439"/>
      <c r="BC130" s="1440"/>
      <c r="BD130" s="1440"/>
      <c r="BE130" s="1440"/>
      <c r="BF130" s="1440"/>
      <c r="BG130" s="1440"/>
      <c r="BH130" s="1440"/>
      <c r="BI130" s="1440"/>
      <c r="BJ130" s="1440"/>
      <c r="BK130" s="1688"/>
      <c r="BL130" s="1440"/>
      <c r="BM130" s="1440"/>
      <c r="BN130" s="1440"/>
      <c r="BO130" s="1440"/>
      <c r="BP130" s="1440"/>
      <c r="BQ130" s="1440"/>
      <c r="BR130" s="1441"/>
      <c r="BS130" s="1446">
        <v>0</v>
      </c>
      <c r="BT130" s="1447">
        <v>2</v>
      </c>
      <c r="BU130" s="1447">
        <v>1</v>
      </c>
      <c r="BV130" s="1447">
        <v>2</v>
      </c>
      <c r="BW130" s="1447"/>
      <c r="BX130" s="1447">
        <v>0</v>
      </c>
      <c r="BY130" s="1447">
        <v>4</v>
      </c>
      <c r="BZ130" s="1447">
        <v>4</v>
      </c>
      <c r="CA130" s="1447">
        <v>0</v>
      </c>
      <c r="CB130" s="1447"/>
      <c r="CC130" s="1447"/>
      <c r="CD130" s="1447"/>
      <c r="CE130" s="1447"/>
      <c r="CF130" s="1447"/>
      <c r="CG130" s="1447"/>
      <c r="CH130" s="1447"/>
      <c r="CI130" s="1448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5" t="s">
        <v>79</v>
      </c>
      <c r="B131" s="1430" t="str">
        <f t="shared" si="237"/>
        <v>BO</v>
      </c>
      <c r="C131" s="1523"/>
      <c r="D131" s="1524"/>
      <c r="E131" s="1524"/>
      <c r="F131" s="1524"/>
      <c r="G131" s="1524"/>
      <c r="H131" s="1524"/>
      <c r="I131" s="1524"/>
      <c r="J131" s="1524"/>
      <c r="K131" s="1524"/>
      <c r="L131" s="1737"/>
      <c r="M131" s="1524"/>
      <c r="N131" s="1524"/>
      <c r="O131" s="1524"/>
      <c r="P131" s="1524"/>
      <c r="Q131" s="1524"/>
      <c r="R131" s="1524"/>
      <c r="S131" s="1525"/>
      <c r="T131" s="1439"/>
      <c r="U131" s="1440"/>
      <c r="V131" s="1440"/>
      <c r="W131" s="1440"/>
      <c r="X131" s="1440"/>
      <c r="Y131" s="1440"/>
      <c r="Z131" s="1440"/>
      <c r="AA131" s="1440"/>
      <c r="AB131" s="1440"/>
      <c r="AC131" s="1440"/>
      <c r="AD131" s="1440"/>
      <c r="AE131" s="1440"/>
      <c r="AF131" s="1440"/>
      <c r="AG131" s="1440"/>
      <c r="AH131" s="1532"/>
      <c r="AI131" s="1440"/>
      <c r="AJ131" s="1712"/>
      <c r="AK131" s="1439"/>
      <c r="AL131" s="1440"/>
      <c r="AM131" s="1440"/>
      <c r="AN131" s="1440"/>
      <c r="AO131" s="1440"/>
      <c r="AP131" s="1440"/>
      <c r="AQ131" s="1440"/>
      <c r="AR131" s="1440"/>
      <c r="AS131" s="1440"/>
      <c r="AT131" s="1440"/>
      <c r="AU131" s="1440"/>
      <c r="AV131" s="1440"/>
      <c r="AW131" s="1440"/>
      <c r="AX131" s="1440"/>
      <c r="AY131" s="1440"/>
      <c r="AZ131" s="1440"/>
      <c r="BA131" s="1712"/>
      <c r="BB131" s="1439"/>
      <c r="BC131" s="1440"/>
      <c r="BD131" s="1440"/>
      <c r="BE131" s="1440"/>
      <c r="BF131" s="1440"/>
      <c r="BG131" s="1440"/>
      <c r="BH131" s="1440"/>
      <c r="BI131" s="1440"/>
      <c r="BJ131" s="1440"/>
      <c r="BK131" s="1688"/>
      <c r="BL131" s="1440"/>
      <c r="BM131" s="1440"/>
      <c r="BN131" s="1440"/>
      <c r="BO131" s="1440"/>
      <c r="BP131" s="1440"/>
      <c r="BQ131" s="1440"/>
      <c r="BR131" s="1441"/>
      <c r="BS131" s="1446">
        <v>4</v>
      </c>
      <c r="BT131" s="1447">
        <v>1</v>
      </c>
      <c r="BU131" s="1447">
        <v>0</v>
      </c>
      <c r="BV131" s="1447">
        <v>2</v>
      </c>
      <c r="BW131" s="1447"/>
      <c r="BX131" s="1447">
        <v>0</v>
      </c>
      <c r="BY131" s="1447">
        <v>5</v>
      </c>
      <c r="BZ131" s="1447">
        <v>0</v>
      </c>
      <c r="CA131" s="1447">
        <v>1</v>
      </c>
      <c r="CB131" s="1447"/>
      <c r="CC131" s="1447"/>
      <c r="CD131" s="1447"/>
      <c r="CE131" s="1447"/>
      <c r="CF131" s="1447"/>
      <c r="CG131" s="1447"/>
      <c r="CH131" s="1447"/>
      <c r="CI131" s="1448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5" t="s">
        <v>80</v>
      </c>
      <c r="B132" s="1430" t="str">
        <f t="shared" si="237"/>
        <v>BO</v>
      </c>
      <c r="C132" s="1523"/>
      <c r="D132" s="1524"/>
      <c r="E132" s="1524"/>
      <c r="F132" s="1524"/>
      <c r="G132" s="1524"/>
      <c r="H132" s="1524"/>
      <c r="I132" s="1524"/>
      <c r="J132" s="1524"/>
      <c r="K132" s="1524"/>
      <c r="L132" s="1737"/>
      <c r="M132" s="1524"/>
      <c r="N132" s="1524"/>
      <c r="O132" s="1524"/>
      <c r="P132" s="1524"/>
      <c r="Q132" s="1524"/>
      <c r="R132" s="1524"/>
      <c r="S132" s="1525"/>
      <c r="T132" s="1439"/>
      <c r="U132" s="1440"/>
      <c r="V132" s="1440"/>
      <c r="W132" s="1440"/>
      <c r="X132" s="1440"/>
      <c r="Y132" s="1440"/>
      <c r="Z132" s="1440"/>
      <c r="AA132" s="1440"/>
      <c r="AB132" s="1440"/>
      <c r="AC132" s="1440"/>
      <c r="AD132" s="1440"/>
      <c r="AE132" s="1440"/>
      <c r="AF132" s="1440"/>
      <c r="AG132" s="1440"/>
      <c r="AH132" s="1532"/>
      <c r="AI132" s="1440"/>
      <c r="AJ132" s="1712"/>
      <c r="AK132" s="1439"/>
      <c r="AL132" s="1440"/>
      <c r="AM132" s="1440"/>
      <c r="AN132" s="1440"/>
      <c r="AO132" s="1440"/>
      <c r="AP132" s="1440"/>
      <c r="AQ132" s="1440"/>
      <c r="AR132" s="1440"/>
      <c r="AS132" s="1440"/>
      <c r="AT132" s="1440"/>
      <c r="AU132" s="1440"/>
      <c r="AV132" s="1440"/>
      <c r="AW132" s="1440"/>
      <c r="AX132" s="1440"/>
      <c r="AY132" s="1440"/>
      <c r="AZ132" s="1440"/>
      <c r="BA132" s="1712"/>
      <c r="BB132" s="1439"/>
      <c r="BC132" s="1440"/>
      <c r="BD132" s="1440"/>
      <c r="BE132" s="1440"/>
      <c r="BF132" s="1440"/>
      <c r="BG132" s="1440"/>
      <c r="BH132" s="1440"/>
      <c r="BI132" s="1440"/>
      <c r="BJ132" s="1440"/>
      <c r="BK132" s="1688"/>
      <c r="BL132" s="1440"/>
      <c r="BM132" s="1440"/>
      <c r="BN132" s="1440"/>
      <c r="BO132" s="1440"/>
      <c r="BP132" s="1440"/>
      <c r="BQ132" s="1440"/>
      <c r="BR132" s="1441"/>
      <c r="BS132" s="1446">
        <v>0</v>
      </c>
      <c r="BT132" s="1447">
        <v>0</v>
      </c>
      <c r="BU132" s="1447">
        <v>0</v>
      </c>
      <c r="BV132" s="1447">
        <v>2</v>
      </c>
      <c r="BW132" s="1447"/>
      <c r="BX132" s="1447">
        <v>2</v>
      </c>
      <c r="BY132" s="1447">
        <v>3</v>
      </c>
      <c r="BZ132" s="1447">
        <v>3</v>
      </c>
      <c r="CA132" s="1447">
        <v>0</v>
      </c>
      <c r="CB132" s="1447"/>
      <c r="CC132" s="1447"/>
      <c r="CD132" s="1447"/>
      <c r="CE132" s="1447"/>
      <c r="CF132" s="1447"/>
      <c r="CG132" s="1447"/>
      <c r="CH132" s="1447"/>
      <c r="CI132" s="1448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8" t="s">
        <v>81</v>
      </c>
      <c r="B133" s="1430" t="str">
        <f t="shared" si="237"/>
        <v>BO</v>
      </c>
      <c r="C133" s="1526"/>
      <c r="D133" s="1527"/>
      <c r="E133" s="1527"/>
      <c r="F133" s="1527"/>
      <c r="G133" s="1527"/>
      <c r="H133" s="1527"/>
      <c r="I133" s="1527"/>
      <c r="J133" s="1527"/>
      <c r="K133" s="1527"/>
      <c r="L133" s="1738"/>
      <c r="M133" s="1527"/>
      <c r="N133" s="1527"/>
      <c r="O133" s="1527"/>
      <c r="P133" s="1527"/>
      <c r="Q133" s="1527"/>
      <c r="R133" s="1527"/>
      <c r="S133" s="1528"/>
      <c r="T133" s="1450"/>
      <c r="U133" s="1451"/>
      <c r="V133" s="1451"/>
      <c r="W133" s="1451"/>
      <c r="X133" s="1451"/>
      <c r="Y133" s="1451"/>
      <c r="Z133" s="1451"/>
      <c r="AA133" s="1451"/>
      <c r="AB133" s="1451"/>
      <c r="AC133" s="1451"/>
      <c r="AD133" s="1451"/>
      <c r="AE133" s="1451"/>
      <c r="AF133" s="1451"/>
      <c r="AG133" s="1451"/>
      <c r="AH133" s="1452"/>
      <c r="AI133" s="1451"/>
      <c r="AJ133" s="1702"/>
      <c r="AK133" s="1450"/>
      <c r="AL133" s="1451"/>
      <c r="AM133" s="1451"/>
      <c r="AN133" s="1451"/>
      <c r="AO133" s="1451"/>
      <c r="AP133" s="1451"/>
      <c r="AQ133" s="1451"/>
      <c r="AR133" s="1451"/>
      <c r="AS133" s="1451"/>
      <c r="AT133" s="1451"/>
      <c r="AU133" s="1451"/>
      <c r="AV133" s="1451"/>
      <c r="AW133" s="1451"/>
      <c r="AX133" s="1451"/>
      <c r="AY133" s="1451"/>
      <c r="AZ133" s="1451"/>
      <c r="BA133" s="1702"/>
      <c r="BB133" s="1450"/>
      <c r="BC133" s="1451"/>
      <c r="BD133" s="1451"/>
      <c r="BE133" s="1451"/>
      <c r="BF133" s="1451"/>
      <c r="BG133" s="1451"/>
      <c r="BH133" s="1451"/>
      <c r="BI133" s="1451"/>
      <c r="BJ133" s="1451"/>
      <c r="BK133" s="1690"/>
      <c r="BL133" s="1451"/>
      <c r="BM133" s="1451"/>
      <c r="BN133" s="1451"/>
      <c r="BO133" s="1451"/>
      <c r="BP133" s="1451"/>
      <c r="BQ133" s="1451"/>
      <c r="BR133" s="1453"/>
      <c r="BS133" s="1514">
        <f>IF(BS126="","",SUM(BS126,BS128,-BS129,-BS130,-BS131,BS132))</f>
        <v>14</v>
      </c>
      <c r="BT133" s="1515">
        <f>IF(BT126="","",SUM(BT126,BT128,-BT129,-BT130,-BT131,BT132))</f>
        <v>22</v>
      </c>
      <c r="BU133" s="1515">
        <f>IF(BU126="","",SUM(BU126,BU128,-BU129,-BU130,-BU131,BU132))</f>
        <v>11</v>
      </c>
      <c r="BV133" s="1515">
        <f>IF(BV126="","",SUM(BV126,BV128,-BV129,-BV130,-BV131,BV132))</f>
        <v>10</v>
      </c>
      <c r="BW133" s="1515" t="str">
        <f t="shared" ref="BW133:BX133" si="257">IF(BW126="","",SUM(BW126,BW128,-BW129,-BW130,-BW131,BW132))</f>
        <v/>
      </c>
      <c r="BX133" s="1515">
        <f t="shared" si="257"/>
        <v>9</v>
      </c>
      <c r="BY133" s="1515">
        <f t="shared" ref="BY133:CI133" si="258">IF(BY126="","",SUM(BY126,BY128,-BY129,-BY130,-BY131,BY132))</f>
        <v>4</v>
      </c>
      <c r="BZ133" s="1515">
        <f t="shared" si="258"/>
        <v>11</v>
      </c>
      <c r="CA133" s="1515">
        <f t="shared" si="258"/>
        <v>18</v>
      </c>
      <c r="CB133" s="1515" t="str">
        <f t="shared" si="258"/>
        <v/>
      </c>
      <c r="CC133" s="1515" t="str">
        <f t="shared" si="258"/>
        <v/>
      </c>
      <c r="CD133" s="1515" t="str">
        <f t="shared" si="258"/>
        <v/>
      </c>
      <c r="CE133" s="1515" t="str">
        <f t="shared" si="258"/>
        <v/>
      </c>
      <c r="CF133" s="1515" t="str">
        <f t="shared" si="258"/>
        <v/>
      </c>
      <c r="CG133" s="1515" t="str">
        <f t="shared" si="258"/>
        <v/>
      </c>
      <c r="CH133" s="1515" t="str">
        <f t="shared" si="258"/>
        <v/>
      </c>
      <c r="CI133" s="1515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4" t="s">
        <v>837</v>
      </c>
      <c r="B134" s="1421" t="str">
        <f t="shared" ref="B134:B141" si="259">$B$9</f>
        <v>VP</v>
      </c>
      <c r="C134" s="1501"/>
      <c r="D134" s="1533"/>
      <c r="E134" s="1533"/>
      <c r="F134" s="1533"/>
      <c r="G134" s="1533"/>
      <c r="H134" s="1533"/>
      <c r="I134" s="1533"/>
      <c r="J134" s="1533"/>
      <c r="K134" s="1533"/>
      <c r="L134" s="1739"/>
      <c r="M134" s="1533"/>
      <c r="N134" s="1533"/>
      <c r="O134" s="1533"/>
      <c r="P134" s="1533"/>
      <c r="Q134" s="1533"/>
      <c r="R134" s="1533"/>
      <c r="S134" s="1534"/>
      <c r="T134" s="1446"/>
      <c r="U134" s="1461"/>
      <c r="V134" s="1461"/>
      <c r="W134" s="1461"/>
      <c r="X134" s="1461"/>
      <c r="Y134" s="1461"/>
      <c r="Z134" s="1461"/>
      <c r="AA134" s="1461"/>
      <c r="AB134" s="1461"/>
      <c r="AC134" s="1461"/>
      <c r="AD134" s="1461"/>
      <c r="AE134" s="1461"/>
      <c r="AF134" s="1461"/>
      <c r="AG134" s="1461"/>
      <c r="AH134" s="1476"/>
      <c r="AI134" s="1461"/>
      <c r="AJ134" s="1707"/>
      <c r="AK134" s="1427"/>
      <c r="AL134" s="1428"/>
      <c r="AM134" s="1428"/>
      <c r="AN134" s="1428"/>
      <c r="AO134" s="1428"/>
      <c r="AP134" s="1428"/>
      <c r="AQ134" s="1428"/>
      <c r="AR134" s="1428"/>
      <c r="AS134" s="1428"/>
      <c r="AT134" s="1428"/>
      <c r="AU134" s="1428"/>
      <c r="AV134" s="1428"/>
      <c r="AW134" s="1428"/>
      <c r="AX134" s="1428"/>
      <c r="AY134" s="1428"/>
      <c r="AZ134" s="1428"/>
      <c r="BA134" s="1711"/>
      <c r="BB134" s="1427"/>
      <c r="BC134" s="1428"/>
      <c r="BD134" s="1428"/>
      <c r="BE134" s="1428"/>
      <c r="BF134" s="1428"/>
      <c r="BG134" s="1428"/>
      <c r="BH134" s="1428"/>
      <c r="BI134" s="1428"/>
      <c r="BJ134" s="1428"/>
      <c r="BK134" s="1678"/>
      <c r="BL134" s="1428"/>
      <c r="BM134" s="1428"/>
      <c r="BN134" s="1428"/>
      <c r="BO134" s="1428"/>
      <c r="BP134" s="1428"/>
      <c r="BQ134" s="1428"/>
      <c r="BR134" s="1429"/>
      <c r="BS134" s="1427"/>
      <c r="BT134" s="1428"/>
      <c r="BU134" s="1428"/>
      <c r="BV134" s="1428"/>
      <c r="BW134" s="1428"/>
      <c r="BX134" s="1428"/>
      <c r="BY134" s="1428"/>
      <c r="BZ134" s="1428"/>
      <c r="CA134" s="1428"/>
      <c r="CB134" s="1428"/>
      <c r="CC134" s="1428"/>
      <c r="CD134" s="1428"/>
      <c r="CE134" s="1428"/>
      <c r="CF134" s="1428"/>
      <c r="CG134" s="1428"/>
      <c r="CH134" s="1428"/>
      <c r="CI134" s="1429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5" t="s">
        <v>75</v>
      </c>
      <c r="B135" s="1430" t="str">
        <f t="shared" si="259"/>
        <v>VP</v>
      </c>
      <c r="C135" s="1511"/>
      <c r="D135" s="1368"/>
      <c r="E135" s="1368"/>
      <c r="F135" s="1368"/>
      <c r="G135" s="1368"/>
      <c r="H135" s="1368"/>
      <c r="I135" s="1368"/>
      <c r="J135" s="1368"/>
      <c r="K135" s="1368"/>
      <c r="L135" s="1740"/>
      <c r="M135" s="1368"/>
      <c r="N135" s="1368"/>
      <c r="O135" s="1368"/>
      <c r="P135" s="1368"/>
      <c r="Q135" s="1368"/>
      <c r="R135" s="1368"/>
      <c r="S135" s="1535"/>
      <c r="T135" s="1446"/>
      <c r="U135" s="1447"/>
      <c r="V135" s="1447"/>
      <c r="W135" s="1447"/>
      <c r="X135" s="1447"/>
      <c r="Y135" s="1447"/>
      <c r="Z135" s="1447"/>
      <c r="AA135" s="1447"/>
      <c r="AB135" s="1447"/>
      <c r="AC135" s="1447"/>
      <c r="AD135" s="1447"/>
      <c r="AE135" s="1447"/>
      <c r="AF135" s="1447"/>
      <c r="AG135" s="1447"/>
      <c r="AH135" s="1487"/>
      <c r="AI135" s="1447"/>
      <c r="AJ135" s="1708"/>
      <c r="AK135" s="1439"/>
      <c r="AL135" s="1440"/>
      <c r="AM135" s="1440"/>
      <c r="AN135" s="1440"/>
      <c r="AO135" s="1440"/>
      <c r="AP135" s="1440"/>
      <c r="AQ135" s="1440"/>
      <c r="AR135" s="1440"/>
      <c r="AS135" s="1440"/>
      <c r="AT135" s="1440"/>
      <c r="AU135" s="1440"/>
      <c r="AV135" s="1440"/>
      <c r="AW135" s="1440"/>
      <c r="AX135" s="1440"/>
      <c r="AY135" s="1440"/>
      <c r="AZ135" s="1440"/>
      <c r="BA135" s="1712"/>
      <c r="BB135" s="1439"/>
      <c r="BC135" s="1440"/>
      <c r="BD135" s="1440"/>
      <c r="BE135" s="1440"/>
      <c r="BF135" s="1440"/>
      <c r="BG135" s="1440"/>
      <c r="BH135" s="1440"/>
      <c r="BI135" s="1440"/>
      <c r="BJ135" s="1440"/>
      <c r="BK135" s="1688"/>
      <c r="BL135" s="1440"/>
      <c r="BM135" s="1440"/>
      <c r="BN135" s="1440"/>
      <c r="BO135" s="1440"/>
      <c r="BP135" s="1440"/>
      <c r="BQ135" s="1440"/>
      <c r="BR135" s="1441"/>
      <c r="BS135" s="1439"/>
      <c r="BT135" s="1440"/>
      <c r="BU135" s="1440"/>
      <c r="BV135" s="1440"/>
      <c r="BW135" s="1440"/>
      <c r="BX135" s="1440"/>
      <c r="BY135" s="1440"/>
      <c r="BZ135" s="1440"/>
      <c r="CA135" s="1440"/>
      <c r="CB135" s="1440"/>
      <c r="CC135" s="1440"/>
      <c r="CD135" s="1440"/>
      <c r="CE135" s="1440"/>
      <c r="CF135" s="1440"/>
      <c r="CG135" s="1440"/>
      <c r="CH135" s="1440"/>
      <c r="CI135" s="1441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5" t="s">
        <v>76</v>
      </c>
      <c r="B136" s="1430" t="str">
        <f t="shared" si="259"/>
        <v>VP</v>
      </c>
      <c r="C136" s="1520"/>
      <c r="D136" s="1521"/>
      <c r="E136" s="1521"/>
      <c r="F136" s="1521"/>
      <c r="G136" s="1521"/>
      <c r="H136" s="1521"/>
      <c r="I136" s="1521"/>
      <c r="J136" s="1521"/>
      <c r="K136" s="1521"/>
      <c r="L136" s="1736"/>
      <c r="M136" s="1521"/>
      <c r="N136" s="1521"/>
      <c r="O136" s="1521"/>
      <c r="P136" s="1521"/>
      <c r="Q136" s="1521"/>
      <c r="R136" s="1521"/>
      <c r="S136" s="1522"/>
      <c r="T136" s="1446"/>
      <c r="U136" s="1447"/>
      <c r="V136" s="1447"/>
      <c r="W136" s="1447"/>
      <c r="X136" s="1447"/>
      <c r="Y136" s="1447"/>
      <c r="Z136" s="1447"/>
      <c r="AA136" s="1447"/>
      <c r="AB136" s="1447"/>
      <c r="AC136" s="1447"/>
      <c r="AD136" s="1447"/>
      <c r="AE136" s="1447"/>
      <c r="AF136" s="1447"/>
      <c r="AG136" s="1447"/>
      <c r="AH136" s="1487"/>
      <c r="AI136" s="1447"/>
      <c r="AJ136" s="1708"/>
      <c r="AK136" s="1439"/>
      <c r="AL136" s="1440"/>
      <c r="AM136" s="1440"/>
      <c r="AN136" s="1440"/>
      <c r="AO136" s="1440"/>
      <c r="AP136" s="1440"/>
      <c r="AQ136" s="1440"/>
      <c r="AR136" s="1440"/>
      <c r="AS136" s="1440"/>
      <c r="AT136" s="1440"/>
      <c r="AU136" s="1440"/>
      <c r="AV136" s="1440"/>
      <c r="AW136" s="1440"/>
      <c r="AX136" s="1440"/>
      <c r="AY136" s="1440"/>
      <c r="AZ136" s="1440"/>
      <c r="BA136" s="1712"/>
      <c r="BB136" s="1439"/>
      <c r="BC136" s="1440"/>
      <c r="BD136" s="1440"/>
      <c r="BE136" s="1440"/>
      <c r="BF136" s="1440"/>
      <c r="BG136" s="1440"/>
      <c r="BH136" s="1440"/>
      <c r="BI136" s="1440"/>
      <c r="BJ136" s="1440"/>
      <c r="BK136" s="1688"/>
      <c r="BL136" s="1440"/>
      <c r="BM136" s="1440"/>
      <c r="BN136" s="1440"/>
      <c r="BO136" s="1440"/>
      <c r="BP136" s="1440"/>
      <c r="BQ136" s="1440"/>
      <c r="BR136" s="1441"/>
      <c r="BS136" s="1439"/>
      <c r="BT136" s="1440"/>
      <c r="BU136" s="1440"/>
      <c r="BV136" s="1440"/>
      <c r="BW136" s="1440"/>
      <c r="BX136" s="1440"/>
      <c r="BY136" s="1440"/>
      <c r="BZ136" s="1440"/>
      <c r="CA136" s="1440"/>
      <c r="CB136" s="1440"/>
      <c r="CC136" s="1440"/>
      <c r="CD136" s="1440"/>
      <c r="CE136" s="1440"/>
      <c r="CF136" s="1440"/>
      <c r="CG136" s="1440"/>
      <c r="CH136" s="1440"/>
      <c r="CI136" s="1441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5" t="s">
        <v>77</v>
      </c>
      <c r="B137" s="1430" t="str">
        <f t="shared" si="259"/>
        <v>VP</v>
      </c>
      <c r="C137" s="1523"/>
      <c r="D137" s="1524"/>
      <c r="E137" s="1524"/>
      <c r="F137" s="1524"/>
      <c r="G137" s="1524"/>
      <c r="H137" s="1524"/>
      <c r="I137" s="1524"/>
      <c r="J137" s="1524"/>
      <c r="K137" s="1524"/>
      <c r="L137" s="1737"/>
      <c r="M137" s="1524"/>
      <c r="N137" s="1524"/>
      <c r="O137" s="1524"/>
      <c r="P137" s="1524"/>
      <c r="Q137" s="1524"/>
      <c r="R137" s="1524"/>
      <c r="S137" s="1525"/>
      <c r="T137" s="1446"/>
      <c r="U137" s="1447"/>
      <c r="V137" s="1447"/>
      <c r="W137" s="1447"/>
      <c r="X137" s="1447"/>
      <c r="Y137" s="1447"/>
      <c r="Z137" s="1447"/>
      <c r="AA137" s="1447"/>
      <c r="AB137" s="1447"/>
      <c r="AC137" s="1447"/>
      <c r="AD137" s="1447"/>
      <c r="AE137" s="1447"/>
      <c r="AF137" s="1447"/>
      <c r="AG137" s="1447"/>
      <c r="AH137" s="1487"/>
      <c r="AI137" s="1447"/>
      <c r="AJ137" s="1708"/>
      <c r="AK137" s="1442"/>
      <c r="AL137" s="1443"/>
      <c r="AM137" s="1443"/>
      <c r="AN137" s="1443"/>
      <c r="AO137" s="1443"/>
      <c r="AP137" s="1443"/>
      <c r="AQ137" s="1443"/>
      <c r="AR137" s="1443"/>
      <c r="AS137" s="1443"/>
      <c r="AT137" s="1443"/>
      <c r="AU137" s="1443"/>
      <c r="AV137" s="1443"/>
      <c r="AW137" s="1443"/>
      <c r="AX137" s="1443"/>
      <c r="AY137" s="1443"/>
      <c r="AZ137" s="1443"/>
      <c r="BA137" s="1713"/>
      <c r="BB137" s="1439"/>
      <c r="BC137" s="1440"/>
      <c r="BD137" s="1440"/>
      <c r="BE137" s="1440"/>
      <c r="BF137" s="1440"/>
      <c r="BG137" s="1440"/>
      <c r="BH137" s="1440"/>
      <c r="BI137" s="1440"/>
      <c r="BJ137" s="1440"/>
      <c r="BK137" s="1688"/>
      <c r="BL137" s="1440"/>
      <c r="BM137" s="1440"/>
      <c r="BN137" s="1440"/>
      <c r="BO137" s="1440"/>
      <c r="BP137" s="1440"/>
      <c r="BQ137" s="1440"/>
      <c r="BR137" s="1441"/>
      <c r="BS137" s="1439"/>
      <c r="BT137" s="1440"/>
      <c r="BU137" s="1440"/>
      <c r="BV137" s="1440"/>
      <c r="BW137" s="1440"/>
      <c r="BX137" s="1440"/>
      <c r="BY137" s="1440"/>
      <c r="BZ137" s="1440"/>
      <c r="CA137" s="1440"/>
      <c r="CB137" s="1440"/>
      <c r="CC137" s="1440"/>
      <c r="CD137" s="1440"/>
      <c r="CE137" s="1440"/>
      <c r="CF137" s="1440"/>
      <c r="CG137" s="1440"/>
      <c r="CH137" s="1440"/>
      <c r="CI137" s="1441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5" t="s">
        <v>78</v>
      </c>
      <c r="B138" s="1430" t="str">
        <f t="shared" si="259"/>
        <v>VP</v>
      </c>
      <c r="C138" s="1523"/>
      <c r="D138" s="1524"/>
      <c r="E138" s="1524"/>
      <c r="F138" s="1524"/>
      <c r="G138" s="1524"/>
      <c r="H138" s="1524"/>
      <c r="I138" s="1524"/>
      <c r="J138" s="1524"/>
      <c r="K138" s="1524"/>
      <c r="L138" s="1737"/>
      <c r="M138" s="1524"/>
      <c r="N138" s="1524"/>
      <c r="O138" s="1524"/>
      <c r="P138" s="1524"/>
      <c r="Q138" s="1524"/>
      <c r="R138" s="1524"/>
      <c r="S138" s="1525"/>
      <c r="T138" s="1446"/>
      <c r="U138" s="1447"/>
      <c r="V138" s="1447"/>
      <c r="W138" s="1447"/>
      <c r="X138" s="1447"/>
      <c r="Y138" s="1447"/>
      <c r="Z138" s="1447"/>
      <c r="AA138" s="1447"/>
      <c r="AB138" s="1447"/>
      <c r="AC138" s="1447"/>
      <c r="AD138" s="1447"/>
      <c r="AE138" s="1447"/>
      <c r="AF138" s="1447"/>
      <c r="AG138" s="1447"/>
      <c r="AH138" s="1487"/>
      <c r="AI138" s="1447"/>
      <c r="AJ138" s="1708"/>
      <c r="AK138" s="1442"/>
      <c r="AL138" s="1443"/>
      <c r="AM138" s="1443"/>
      <c r="AN138" s="1443"/>
      <c r="AO138" s="1443"/>
      <c r="AP138" s="1443"/>
      <c r="AQ138" s="1443"/>
      <c r="AR138" s="1443"/>
      <c r="AS138" s="1443"/>
      <c r="AT138" s="1443"/>
      <c r="AU138" s="1443"/>
      <c r="AV138" s="1443"/>
      <c r="AW138" s="1443"/>
      <c r="AX138" s="1443"/>
      <c r="AY138" s="1443"/>
      <c r="AZ138" s="1443"/>
      <c r="BA138" s="1713"/>
      <c r="BB138" s="1442"/>
      <c r="BC138" s="1443"/>
      <c r="BD138" s="1443"/>
      <c r="BE138" s="1443"/>
      <c r="BF138" s="1443"/>
      <c r="BG138" s="1443"/>
      <c r="BH138" s="1443"/>
      <c r="BI138" s="1443"/>
      <c r="BJ138" s="1443"/>
      <c r="BK138" s="1689"/>
      <c r="BL138" s="1443"/>
      <c r="BM138" s="1443"/>
      <c r="BN138" s="1443"/>
      <c r="BO138" s="1443"/>
      <c r="BP138" s="1443"/>
      <c r="BQ138" s="1443"/>
      <c r="BR138" s="1445"/>
      <c r="BS138" s="1439"/>
      <c r="BT138" s="1440"/>
      <c r="BU138" s="1440"/>
      <c r="BV138" s="1440"/>
      <c r="BW138" s="1440"/>
      <c r="BX138" s="1440"/>
      <c r="BY138" s="1440"/>
      <c r="BZ138" s="1440"/>
      <c r="CA138" s="1440"/>
      <c r="CB138" s="1440"/>
      <c r="CC138" s="1440"/>
      <c r="CD138" s="1440"/>
      <c r="CE138" s="1440"/>
      <c r="CF138" s="1440"/>
      <c r="CG138" s="1440"/>
      <c r="CH138" s="1440"/>
      <c r="CI138" s="1441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5" t="s">
        <v>79</v>
      </c>
      <c r="B139" s="1430" t="str">
        <f t="shared" si="259"/>
        <v>VP</v>
      </c>
      <c r="C139" s="1523"/>
      <c r="D139" s="1524"/>
      <c r="E139" s="1524"/>
      <c r="F139" s="1524"/>
      <c r="G139" s="1524"/>
      <c r="H139" s="1524"/>
      <c r="I139" s="1524"/>
      <c r="J139" s="1524"/>
      <c r="K139" s="1524"/>
      <c r="L139" s="1737"/>
      <c r="M139" s="1524"/>
      <c r="N139" s="1524"/>
      <c r="O139" s="1524"/>
      <c r="P139" s="1524"/>
      <c r="Q139" s="1524"/>
      <c r="R139" s="1524"/>
      <c r="S139" s="1525"/>
      <c r="T139" s="1446"/>
      <c r="U139" s="1447"/>
      <c r="V139" s="1447"/>
      <c r="W139" s="1447"/>
      <c r="X139" s="1447"/>
      <c r="Y139" s="1447"/>
      <c r="Z139" s="1447"/>
      <c r="AA139" s="1447"/>
      <c r="AB139" s="1447"/>
      <c r="AC139" s="1447"/>
      <c r="AD139" s="1447"/>
      <c r="AE139" s="1447"/>
      <c r="AF139" s="1447"/>
      <c r="AG139" s="1447"/>
      <c r="AH139" s="1487"/>
      <c r="AI139" s="1447"/>
      <c r="AJ139" s="1708"/>
      <c r="AK139" s="1442"/>
      <c r="AL139" s="1443"/>
      <c r="AM139" s="1443"/>
      <c r="AN139" s="1443"/>
      <c r="AO139" s="1443"/>
      <c r="AP139" s="1443"/>
      <c r="AQ139" s="1443"/>
      <c r="AR139" s="1443"/>
      <c r="AS139" s="1443"/>
      <c r="AT139" s="1443"/>
      <c r="AU139" s="1443"/>
      <c r="AV139" s="1443"/>
      <c r="AW139" s="1443"/>
      <c r="AX139" s="1443"/>
      <c r="AY139" s="1443"/>
      <c r="AZ139" s="1443"/>
      <c r="BA139" s="1713"/>
      <c r="BB139" s="1442"/>
      <c r="BC139" s="1443"/>
      <c r="BD139" s="1443"/>
      <c r="BE139" s="1443"/>
      <c r="BF139" s="1443"/>
      <c r="BG139" s="1443"/>
      <c r="BH139" s="1443"/>
      <c r="BI139" s="1443"/>
      <c r="BJ139" s="1443"/>
      <c r="BK139" s="1689"/>
      <c r="BL139" s="1443"/>
      <c r="BM139" s="1443"/>
      <c r="BN139" s="1443"/>
      <c r="BO139" s="1443"/>
      <c r="BP139" s="1443"/>
      <c r="BQ139" s="1443"/>
      <c r="BR139" s="1445"/>
      <c r="BS139" s="1439"/>
      <c r="BT139" s="1440"/>
      <c r="BU139" s="1440"/>
      <c r="BV139" s="1440"/>
      <c r="BW139" s="1440"/>
      <c r="BX139" s="1440"/>
      <c r="BY139" s="1440"/>
      <c r="BZ139" s="1440"/>
      <c r="CA139" s="1440"/>
      <c r="CB139" s="1440"/>
      <c r="CC139" s="1440"/>
      <c r="CD139" s="1440"/>
      <c r="CE139" s="1440"/>
      <c r="CF139" s="1440"/>
      <c r="CG139" s="1440"/>
      <c r="CH139" s="1440"/>
      <c r="CI139" s="1441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5" t="s">
        <v>80</v>
      </c>
      <c r="B140" s="1430" t="str">
        <f t="shared" si="259"/>
        <v>VP</v>
      </c>
      <c r="C140" s="1523"/>
      <c r="D140" s="1524"/>
      <c r="E140" s="1524"/>
      <c r="F140" s="1524"/>
      <c r="G140" s="1524"/>
      <c r="H140" s="1524"/>
      <c r="I140" s="1524"/>
      <c r="J140" s="1524"/>
      <c r="K140" s="1524"/>
      <c r="L140" s="1737"/>
      <c r="M140" s="1524"/>
      <c r="N140" s="1524"/>
      <c r="O140" s="1524"/>
      <c r="P140" s="1524"/>
      <c r="Q140" s="1524"/>
      <c r="R140" s="1524"/>
      <c r="S140" s="1525"/>
      <c r="T140" s="1446"/>
      <c r="U140" s="1447"/>
      <c r="V140" s="1447"/>
      <c r="W140" s="1447"/>
      <c r="X140" s="1447"/>
      <c r="Y140" s="1447"/>
      <c r="Z140" s="1447"/>
      <c r="AA140" s="1447"/>
      <c r="AB140" s="1447"/>
      <c r="AC140" s="1447"/>
      <c r="AD140" s="1447"/>
      <c r="AE140" s="1447"/>
      <c r="AF140" s="1447"/>
      <c r="AG140" s="1447"/>
      <c r="AH140" s="1487"/>
      <c r="AI140" s="1447"/>
      <c r="AJ140" s="1708"/>
      <c r="AK140" s="1442"/>
      <c r="AL140" s="1443"/>
      <c r="AM140" s="1443"/>
      <c r="AN140" s="1443"/>
      <c r="AO140" s="1443"/>
      <c r="AP140" s="1443"/>
      <c r="AQ140" s="1443"/>
      <c r="AR140" s="1443"/>
      <c r="AS140" s="1443"/>
      <c r="AT140" s="1443"/>
      <c r="AU140" s="1443"/>
      <c r="AV140" s="1443"/>
      <c r="AW140" s="1443"/>
      <c r="AX140" s="1443"/>
      <c r="AY140" s="1443"/>
      <c r="AZ140" s="1443"/>
      <c r="BA140" s="1713"/>
      <c r="BB140" s="1442"/>
      <c r="BC140" s="1443"/>
      <c r="BD140" s="1443"/>
      <c r="BE140" s="1443"/>
      <c r="BF140" s="1443"/>
      <c r="BG140" s="1443"/>
      <c r="BH140" s="1443"/>
      <c r="BI140" s="1443"/>
      <c r="BJ140" s="1443"/>
      <c r="BK140" s="1689"/>
      <c r="BL140" s="1443"/>
      <c r="BM140" s="1443"/>
      <c r="BN140" s="1443"/>
      <c r="BO140" s="1443"/>
      <c r="BP140" s="1443"/>
      <c r="BQ140" s="1443"/>
      <c r="BR140" s="1445"/>
      <c r="BS140" s="1439"/>
      <c r="BT140" s="1440"/>
      <c r="BU140" s="1440"/>
      <c r="BV140" s="1440"/>
      <c r="BW140" s="1440"/>
      <c r="BX140" s="1440"/>
      <c r="BY140" s="1440"/>
      <c r="BZ140" s="1440"/>
      <c r="CA140" s="1440"/>
      <c r="CB140" s="1440"/>
      <c r="CC140" s="1440"/>
      <c r="CD140" s="1440"/>
      <c r="CE140" s="1440"/>
      <c r="CF140" s="1440"/>
      <c r="CG140" s="1440"/>
      <c r="CH140" s="1440"/>
      <c r="CI140" s="1441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8" t="s">
        <v>81</v>
      </c>
      <c r="B141" s="1430" t="str">
        <f t="shared" si="259"/>
        <v>VP</v>
      </c>
      <c r="C141" s="1526"/>
      <c r="D141" s="1527"/>
      <c r="E141" s="1527"/>
      <c r="F141" s="1527"/>
      <c r="G141" s="1527"/>
      <c r="H141" s="1527"/>
      <c r="I141" s="1527"/>
      <c r="J141" s="1527"/>
      <c r="K141" s="1527"/>
      <c r="L141" s="1738"/>
      <c r="M141" s="1527"/>
      <c r="N141" s="1527"/>
      <c r="O141" s="1527"/>
      <c r="P141" s="1527"/>
      <c r="Q141" s="1527"/>
      <c r="R141" s="1527"/>
      <c r="S141" s="1528"/>
      <c r="T141" s="1514" t="str">
        <f t="shared" ref="T141:AC141" si="279">IF(T134="","",SUM(T134,T136,-T137,-T138,-T139,T140))</f>
        <v/>
      </c>
      <c r="U141" s="1515" t="str">
        <f t="shared" si="279"/>
        <v/>
      </c>
      <c r="V141" s="1515" t="str">
        <f t="shared" si="279"/>
        <v/>
      </c>
      <c r="W141" s="1515" t="str">
        <f t="shared" si="279"/>
        <v/>
      </c>
      <c r="X141" s="1515" t="str">
        <f t="shared" si="279"/>
        <v/>
      </c>
      <c r="Y141" s="1515" t="str">
        <f t="shared" si="279"/>
        <v/>
      </c>
      <c r="Z141" s="1515" t="str">
        <f t="shared" si="279"/>
        <v/>
      </c>
      <c r="AA141" s="1515" t="str">
        <f t="shared" si="279"/>
        <v/>
      </c>
      <c r="AB141" s="1515" t="str">
        <f t="shared" si="279"/>
        <v/>
      </c>
      <c r="AC141" s="1515" t="str">
        <f t="shared" si="279"/>
        <v/>
      </c>
      <c r="AD141" s="1515"/>
      <c r="AE141" s="1515"/>
      <c r="AF141" s="1515"/>
      <c r="AG141" s="1515" t="str">
        <f>IF(AG134="","",SUM(AG134,AG136,-AG137,-AG138,-AG139,AG140))</f>
        <v/>
      </c>
      <c r="AH141" s="1515" t="str">
        <f>IF(AH134="","",SUM(AH134,AH136,-AH137,-AH138,-AH139,AH140))</f>
        <v/>
      </c>
      <c r="AI141" s="1515" t="str">
        <f>IF(AI134="","",SUM(AI134,AI136,-AI137,-AI138,-AI139,AI140))</f>
        <v/>
      </c>
      <c r="AJ141" s="1687" t="str">
        <f>IF(AJ134="","",SUM(AJ134,AJ136,-AJ137,-AJ138,-AJ139,AJ140))</f>
        <v/>
      </c>
      <c r="AK141" s="1450"/>
      <c r="AL141" s="1451"/>
      <c r="AM141" s="1451"/>
      <c r="AN141" s="1451"/>
      <c r="AO141" s="1451"/>
      <c r="AP141" s="1451"/>
      <c r="AQ141" s="1451"/>
      <c r="AR141" s="1451"/>
      <c r="AS141" s="1451"/>
      <c r="AT141" s="1451"/>
      <c r="AU141" s="1451"/>
      <c r="AV141" s="1451"/>
      <c r="AW141" s="1451"/>
      <c r="AX141" s="1451"/>
      <c r="AY141" s="1451"/>
      <c r="AZ141" s="1451"/>
      <c r="BA141" s="1702"/>
      <c r="BB141" s="1450"/>
      <c r="BC141" s="1451"/>
      <c r="BD141" s="1451"/>
      <c r="BE141" s="1451"/>
      <c r="BF141" s="1451"/>
      <c r="BG141" s="1451"/>
      <c r="BH141" s="1451"/>
      <c r="BI141" s="1451"/>
      <c r="BJ141" s="1451"/>
      <c r="BK141" s="1690"/>
      <c r="BL141" s="1451"/>
      <c r="BM141" s="1451"/>
      <c r="BN141" s="1451"/>
      <c r="BO141" s="1451"/>
      <c r="BP141" s="1451"/>
      <c r="BQ141" s="1451"/>
      <c r="BR141" s="1453"/>
      <c r="BS141" s="1450"/>
      <c r="BT141" s="1451"/>
      <c r="BU141" s="1451"/>
      <c r="BV141" s="1451"/>
      <c r="BW141" s="1451"/>
      <c r="BX141" s="1451"/>
      <c r="BY141" s="1451"/>
      <c r="BZ141" s="1451"/>
      <c r="CA141" s="1451"/>
      <c r="CB141" s="1451"/>
      <c r="CC141" s="1451"/>
      <c r="CD141" s="1451"/>
      <c r="CE141" s="1451"/>
      <c r="CF141" s="1451"/>
      <c r="CG141" s="1451"/>
      <c r="CH141" s="1451"/>
      <c r="CI141" s="1453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4" t="s">
        <v>837</v>
      </c>
      <c r="B142" s="1421" t="str">
        <f t="shared" ref="B142:B149" si="280">$B$10</f>
        <v>P</v>
      </c>
      <c r="C142" s="1501"/>
      <c r="D142" s="1533"/>
      <c r="E142" s="1533"/>
      <c r="F142" s="1533"/>
      <c r="G142" s="1533"/>
      <c r="H142" s="1533"/>
      <c r="I142" s="1533"/>
      <c r="J142" s="1533"/>
      <c r="K142" s="1533"/>
      <c r="L142" s="1739"/>
      <c r="M142" s="1533"/>
      <c r="N142" s="1533"/>
      <c r="O142" s="1533"/>
      <c r="P142" s="1533"/>
      <c r="Q142" s="1533"/>
      <c r="R142" s="1533"/>
      <c r="S142" s="1534"/>
      <c r="T142" s="1529"/>
      <c r="U142" s="1530"/>
      <c r="V142" s="1530"/>
      <c r="W142" s="1530"/>
      <c r="X142" s="1530"/>
      <c r="Y142" s="1530"/>
      <c r="Z142" s="1530"/>
      <c r="AA142" s="1530"/>
      <c r="AB142" s="1530"/>
      <c r="AC142" s="1530"/>
      <c r="AD142" s="1530"/>
      <c r="AE142" s="1530"/>
      <c r="AF142" s="1530"/>
      <c r="AG142" s="1530"/>
      <c r="AH142" s="1530"/>
      <c r="AI142" s="1530"/>
      <c r="AJ142" s="1714"/>
      <c r="AK142" s="1446"/>
      <c r="AL142" s="1461"/>
      <c r="AM142" s="1461"/>
      <c r="AN142" s="1461"/>
      <c r="AO142" s="1461"/>
      <c r="AP142" s="1461"/>
      <c r="AQ142" s="1461"/>
      <c r="AR142" s="1461"/>
      <c r="AS142" s="1461"/>
      <c r="AT142" s="1461"/>
      <c r="AU142" s="1461"/>
      <c r="AV142" s="1461"/>
      <c r="AW142" s="1461"/>
      <c r="AX142" s="1461"/>
      <c r="AY142" s="1461"/>
      <c r="AZ142" s="1461"/>
      <c r="BA142" s="1707"/>
      <c r="BB142" s="1427"/>
      <c r="BC142" s="1428"/>
      <c r="BD142" s="1428"/>
      <c r="BE142" s="1428"/>
      <c r="BF142" s="1428"/>
      <c r="BG142" s="1428"/>
      <c r="BH142" s="1428"/>
      <c r="BI142" s="1428"/>
      <c r="BJ142" s="1428"/>
      <c r="BK142" s="1678"/>
      <c r="BL142" s="1428"/>
      <c r="BM142" s="1428"/>
      <c r="BN142" s="1428"/>
      <c r="BO142" s="1428"/>
      <c r="BP142" s="1428"/>
      <c r="BQ142" s="1428"/>
      <c r="BR142" s="1429"/>
      <c r="BS142" s="1427"/>
      <c r="BT142" s="1428"/>
      <c r="BU142" s="1428"/>
      <c r="BV142" s="1428"/>
      <c r="BW142" s="1428"/>
      <c r="BX142" s="1428"/>
      <c r="BY142" s="1428"/>
      <c r="BZ142" s="1428"/>
      <c r="CA142" s="1428"/>
      <c r="CB142" s="1428"/>
      <c r="CC142" s="1428"/>
      <c r="CD142" s="1428"/>
      <c r="CE142" s="1428"/>
      <c r="CF142" s="1428"/>
      <c r="CG142" s="1428"/>
      <c r="CH142" s="1428"/>
      <c r="CI142" s="1429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5" t="s">
        <v>75</v>
      </c>
      <c r="B143" s="1430" t="str">
        <f t="shared" si="280"/>
        <v>P</v>
      </c>
      <c r="C143" s="1511"/>
      <c r="D143" s="1368"/>
      <c r="E143" s="1368"/>
      <c r="F143" s="1368"/>
      <c r="G143" s="1368"/>
      <c r="H143" s="1368"/>
      <c r="I143" s="1368"/>
      <c r="J143" s="1368"/>
      <c r="K143" s="1368"/>
      <c r="L143" s="1740"/>
      <c r="M143" s="1368"/>
      <c r="N143" s="1368"/>
      <c r="O143" s="1368"/>
      <c r="P143" s="1368"/>
      <c r="Q143" s="1368"/>
      <c r="R143" s="1368"/>
      <c r="S143" s="1535"/>
      <c r="T143" s="1442"/>
      <c r="U143" s="1443"/>
      <c r="V143" s="1443"/>
      <c r="W143" s="1443"/>
      <c r="X143" s="1443"/>
      <c r="Y143" s="1443"/>
      <c r="Z143" s="1443"/>
      <c r="AA143" s="1443"/>
      <c r="AB143" s="1443"/>
      <c r="AC143" s="1443"/>
      <c r="AD143" s="1443"/>
      <c r="AE143" s="1443"/>
      <c r="AF143" s="1443"/>
      <c r="AG143" s="1443"/>
      <c r="AH143" s="1444"/>
      <c r="AI143" s="1443"/>
      <c r="AJ143" s="1713"/>
      <c r="AK143" s="1446"/>
      <c r="AL143" s="1447"/>
      <c r="AM143" s="1447"/>
      <c r="AN143" s="1447"/>
      <c r="AO143" s="1447"/>
      <c r="AP143" s="1447"/>
      <c r="AQ143" s="1447"/>
      <c r="AR143" s="1447"/>
      <c r="AS143" s="1447"/>
      <c r="AT143" s="1447"/>
      <c r="AU143" s="1447"/>
      <c r="AV143" s="1447"/>
      <c r="AW143" s="1447"/>
      <c r="AX143" s="1447"/>
      <c r="AY143" s="1447"/>
      <c r="AZ143" s="1447"/>
      <c r="BA143" s="1708"/>
      <c r="BB143" s="1439"/>
      <c r="BC143" s="1440"/>
      <c r="BD143" s="1440"/>
      <c r="BE143" s="1440"/>
      <c r="BF143" s="1440"/>
      <c r="BG143" s="1440"/>
      <c r="BH143" s="1440"/>
      <c r="BI143" s="1440"/>
      <c r="BJ143" s="1440"/>
      <c r="BK143" s="1688"/>
      <c r="BL143" s="1440"/>
      <c r="BM143" s="1440"/>
      <c r="BN143" s="1440"/>
      <c r="BO143" s="1440"/>
      <c r="BP143" s="1440"/>
      <c r="BQ143" s="1440"/>
      <c r="BR143" s="1441"/>
      <c r="BS143" s="1439"/>
      <c r="BT143" s="1440"/>
      <c r="BU143" s="1440"/>
      <c r="BV143" s="1440"/>
      <c r="BW143" s="1440"/>
      <c r="BX143" s="1440"/>
      <c r="BY143" s="1440"/>
      <c r="BZ143" s="1440"/>
      <c r="CA143" s="1440"/>
      <c r="CB143" s="1440"/>
      <c r="CC143" s="1440"/>
      <c r="CD143" s="1440"/>
      <c r="CE143" s="1440"/>
      <c r="CF143" s="1440"/>
      <c r="CG143" s="1440"/>
      <c r="CH143" s="1440"/>
      <c r="CI143" s="1441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5" t="s">
        <v>76</v>
      </c>
      <c r="B144" s="1430" t="str">
        <f t="shared" si="280"/>
        <v>P</v>
      </c>
      <c r="C144" s="1520"/>
      <c r="D144" s="1521"/>
      <c r="E144" s="1521"/>
      <c r="F144" s="1521"/>
      <c r="G144" s="1521"/>
      <c r="H144" s="1521"/>
      <c r="I144" s="1521"/>
      <c r="J144" s="1521"/>
      <c r="K144" s="1521"/>
      <c r="L144" s="1736"/>
      <c r="M144" s="1521"/>
      <c r="N144" s="1521"/>
      <c r="O144" s="1521"/>
      <c r="P144" s="1521"/>
      <c r="Q144" s="1521"/>
      <c r="R144" s="1521"/>
      <c r="S144" s="1522"/>
      <c r="T144" s="1439"/>
      <c r="U144" s="1440"/>
      <c r="V144" s="1440"/>
      <c r="W144" s="1440"/>
      <c r="X144" s="1440"/>
      <c r="Y144" s="1440"/>
      <c r="Z144" s="1440"/>
      <c r="AA144" s="1440"/>
      <c r="AB144" s="1440"/>
      <c r="AC144" s="1440"/>
      <c r="AD144" s="1440"/>
      <c r="AE144" s="1440"/>
      <c r="AF144" s="1440"/>
      <c r="AG144" s="1440"/>
      <c r="AH144" s="1532"/>
      <c r="AI144" s="1440"/>
      <c r="AJ144" s="1712"/>
      <c r="AK144" s="1446"/>
      <c r="AL144" s="1447"/>
      <c r="AM144" s="1447"/>
      <c r="AN144" s="1447"/>
      <c r="AO144" s="1447"/>
      <c r="AP144" s="1447"/>
      <c r="AQ144" s="1447"/>
      <c r="AR144" s="1447"/>
      <c r="AS144" s="1447"/>
      <c r="AT144" s="1447"/>
      <c r="AU144" s="1447"/>
      <c r="AV144" s="1447"/>
      <c r="AW144" s="1447"/>
      <c r="AX144" s="1447"/>
      <c r="AY144" s="1447"/>
      <c r="AZ144" s="1447"/>
      <c r="BA144" s="1708"/>
      <c r="BB144" s="1439"/>
      <c r="BC144" s="1440"/>
      <c r="BD144" s="1440"/>
      <c r="BE144" s="1440"/>
      <c r="BF144" s="1440"/>
      <c r="BG144" s="1440"/>
      <c r="BH144" s="1440"/>
      <c r="BI144" s="1440"/>
      <c r="BJ144" s="1440"/>
      <c r="BK144" s="1688"/>
      <c r="BL144" s="1440"/>
      <c r="BM144" s="1440"/>
      <c r="BN144" s="1440"/>
      <c r="BO144" s="1440"/>
      <c r="BP144" s="1440"/>
      <c r="BQ144" s="1440"/>
      <c r="BR144" s="1441"/>
      <c r="BS144" s="1439"/>
      <c r="BT144" s="1440"/>
      <c r="BU144" s="1440"/>
      <c r="BV144" s="1440"/>
      <c r="BW144" s="1440"/>
      <c r="BX144" s="1440"/>
      <c r="BY144" s="1440"/>
      <c r="BZ144" s="1440"/>
      <c r="CA144" s="1440"/>
      <c r="CB144" s="1440"/>
      <c r="CC144" s="1440"/>
      <c r="CD144" s="1440"/>
      <c r="CE144" s="1440"/>
      <c r="CF144" s="1440"/>
      <c r="CG144" s="1440"/>
      <c r="CH144" s="1440"/>
      <c r="CI144" s="1441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5" t="s">
        <v>77</v>
      </c>
      <c r="B145" s="1430" t="str">
        <f t="shared" si="280"/>
        <v>P</v>
      </c>
      <c r="C145" s="1523"/>
      <c r="D145" s="1524"/>
      <c r="E145" s="1524"/>
      <c r="F145" s="1524"/>
      <c r="G145" s="1524"/>
      <c r="H145" s="1524"/>
      <c r="I145" s="1524"/>
      <c r="J145" s="1524"/>
      <c r="K145" s="1524"/>
      <c r="L145" s="1737"/>
      <c r="M145" s="1524"/>
      <c r="N145" s="1524"/>
      <c r="O145" s="1524"/>
      <c r="P145" s="1524"/>
      <c r="Q145" s="1524"/>
      <c r="R145" s="1524"/>
      <c r="S145" s="1525"/>
      <c r="T145" s="1439"/>
      <c r="U145" s="1440"/>
      <c r="V145" s="1440"/>
      <c r="W145" s="1440"/>
      <c r="X145" s="1440"/>
      <c r="Y145" s="1440"/>
      <c r="Z145" s="1440"/>
      <c r="AA145" s="1440"/>
      <c r="AB145" s="1440"/>
      <c r="AC145" s="1440"/>
      <c r="AD145" s="1440"/>
      <c r="AE145" s="1440"/>
      <c r="AF145" s="1440"/>
      <c r="AG145" s="1440"/>
      <c r="AH145" s="1532"/>
      <c r="AI145" s="1440"/>
      <c r="AJ145" s="1712"/>
      <c r="AK145" s="1446"/>
      <c r="AL145" s="1447"/>
      <c r="AM145" s="1447"/>
      <c r="AN145" s="1447"/>
      <c r="AO145" s="1447"/>
      <c r="AP145" s="1447"/>
      <c r="AQ145" s="1447"/>
      <c r="AR145" s="1447"/>
      <c r="AS145" s="1447"/>
      <c r="AT145" s="1447"/>
      <c r="AU145" s="1447"/>
      <c r="AV145" s="1447"/>
      <c r="AW145" s="1447"/>
      <c r="AX145" s="1447"/>
      <c r="AY145" s="1447"/>
      <c r="AZ145" s="1447"/>
      <c r="BA145" s="1708"/>
      <c r="BB145" s="1439"/>
      <c r="BC145" s="1440"/>
      <c r="BD145" s="1440"/>
      <c r="BE145" s="1440"/>
      <c r="BF145" s="1440"/>
      <c r="BG145" s="1440"/>
      <c r="BH145" s="1440"/>
      <c r="BI145" s="1440"/>
      <c r="BJ145" s="1440"/>
      <c r="BK145" s="1688"/>
      <c r="BL145" s="1440"/>
      <c r="BM145" s="1440"/>
      <c r="BN145" s="1440"/>
      <c r="BO145" s="1440"/>
      <c r="BP145" s="1440"/>
      <c r="BQ145" s="1440"/>
      <c r="BR145" s="1441"/>
      <c r="BS145" s="1439"/>
      <c r="BT145" s="1440"/>
      <c r="BU145" s="1440"/>
      <c r="BV145" s="1440"/>
      <c r="BW145" s="1440"/>
      <c r="BX145" s="1440"/>
      <c r="BY145" s="1440"/>
      <c r="BZ145" s="1440"/>
      <c r="CA145" s="1440"/>
      <c r="CB145" s="1440"/>
      <c r="CC145" s="1440"/>
      <c r="CD145" s="1440"/>
      <c r="CE145" s="1440"/>
      <c r="CF145" s="1440"/>
      <c r="CG145" s="1440"/>
      <c r="CH145" s="1440"/>
      <c r="CI145" s="1441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5" t="s">
        <v>78</v>
      </c>
      <c r="B146" s="1430" t="str">
        <f t="shared" si="280"/>
        <v>P</v>
      </c>
      <c r="C146" s="1523"/>
      <c r="D146" s="1524"/>
      <c r="E146" s="1524"/>
      <c r="F146" s="1524"/>
      <c r="G146" s="1524"/>
      <c r="H146" s="1524"/>
      <c r="I146" s="1524"/>
      <c r="J146" s="1524"/>
      <c r="K146" s="1524"/>
      <c r="L146" s="1737"/>
      <c r="M146" s="1524"/>
      <c r="N146" s="1524"/>
      <c r="O146" s="1524"/>
      <c r="P146" s="1524"/>
      <c r="Q146" s="1524"/>
      <c r="R146" s="1524"/>
      <c r="S146" s="1525"/>
      <c r="T146" s="1439"/>
      <c r="U146" s="1440"/>
      <c r="V146" s="1440"/>
      <c r="W146" s="1440"/>
      <c r="X146" s="1440"/>
      <c r="Y146" s="1440"/>
      <c r="Z146" s="1440"/>
      <c r="AA146" s="1440"/>
      <c r="AB146" s="1440"/>
      <c r="AC146" s="1440"/>
      <c r="AD146" s="1440"/>
      <c r="AE146" s="1440"/>
      <c r="AF146" s="1440"/>
      <c r="AG146" s="1440"/>
      <c r="AH146" s="1532"/>
      <c r="AI146" s="1440"/>
      <c r="AJ146" s="1712"/>
      <c r="AK146" s="1446"/>
      <c r="AL146" s="1447"/>
      <c r="AM146" s="1447"/>
      <c r="AN146" s="1447"/>
      <c r="AO146" s="1447"/>
      <c r="AP146" s="1447"/>
      <c r="AQ146" s="1447"/>
      <c r="AR146" s="1447"/>
      <c r="AS146" s="1447"/>
      <c r="AT146" s="1447"/>
      <c r="AU146" s="1447"/>
      <c r="AV146" s="1447"/>
      <c r="AW146" s="1447"/>
      <c r="AX146" s="1447"/>
      <c r="AY146" s="1447"/>
      <c r="AZ146" s="1447"/>
      <c r="BA146" s="1708"/>
      <c r="BB146" s="1442"/>
      <c r="BC146" s="1443"/>
      <c r="BD146" s="1443"/>
      <c r="BE146" s="1443"/>
      <c r="BF146" s="1443"/>
      <c r="BG146" s="1443"/>
      <c r="BH146" s="1443"/>
      <c r="BI146" s="1443"/>
      <c r="BJ146" s="1443"/>
      <c r="BK146" s="1689"/>
      <c r="BL146" s="1443"/>
      <c r="BM146" s="1443"/>
      <c r="BN146" s="1443"/>
      <c r="BO146" s="1443"/>
      <c r="BP146" s="1443"/>
      <c r="BQ146" s="1443"/>
      <c r="BR146" s="1445"/>
      <c r="BS146" s="1439"/>
      <c r="BT146" s="1440"/>
      <c r="BU146" s="1440"/>
      <c r="BV146" s="1440"/>
      <c r="BW146" s="1440"/>
      <c r="BX146" s="1440"/>
      <c r="BY146" s="1440"/>
      <c r="BZ146" s="1440"/>
      <c r="CA146" s="1440"/>
      <c r="CB146" s="1440"/>
      <c r="CC146" s="1440"/>
      <c r="CD146" s="1440"/>
      <c r="CE146" s="1440"/>
      <c r="CF146" s="1440"/>
      <c r="CG146" s="1440"/>
      <c r="CH146" s="1440"/>
      <c r="CI146" s="1441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5" t="s">
        <v>79</v>
      </c>
      <c r="B147" s="1430" t="str">
        <f t="shared" si="280"/>
        <v>P</v>
      </c>
      <c r="C147" s="1523"/>
      <c r="D147" s="1524"/>
      <c r="E147" s="1524"/>
      <c r="F147" s="1524"/>
      <c r="G147" s="1524"/>
      <c r="H147" s="1524"/>
      <c r="I147" s="1524"/>
      <c r="J147" s="1524"/>
      <c r="K147" s="1524"/>
      <c r="L147" s="1737"/>
      <c r="M147" s="1524"/>
      <c r="N147" s="1524"/>
      <c r="O147" s="1524"/>
      <c r="P147" s="1524"/>
      <c r="Q147" s="1524"/>
      <c r="R147" s="1524"/>
      <c r="S147" s="1525"/>
      <c r="T147" s="1439"/>
      <c r="U147" s="1440"/>
      <c r="V147" s="1440"/>
      <c r="W147" s="1440"/>
      <c r="X147" s="1440"/>
      <c r="Y147" s="1440"/>
      <c r="Z147" s="1440"/>
      <c r="AA147" s="1440"/>
      <c r="AB147" s="1440"/>
      <c r="AC147" s="1440"/>
      <c r="AD147" s="1440"/>
      <c r="AE147" s="1440"/>
      <c r="AF147" s="1440"/>
      <c r="AG147" s="1440"/>
      <c r="AH147" s="1532"/>
      <c r="AI147" s="1440"/>
      <c r="AJ147" s="1712"/>
      <c r="AK147" s="1446"/>
      <c r="AL147" s="1447"/>
      <c r="AM147" s="1447"/>
      <c r="AN147" s="1447"/>
      <c r="AO147" s="1447"/>
      <c r="AP147" s="1447"/>
      <c r="AQ147" s="1447"/>
      <c r="AR147" s="1447"/>
      <c r="AS147" s="1447"/>
      <c r="AT147" s="1447"/>
      <c r="AU147" s="1447"/>
      <c r="AV147" s="1447"/>
      <c r="AW147" s="1447"/>
      <c r="AX147" s="1447"/>
      <c r="AY147" s="1447"/>
      <c r="AZ147" s="1447"/>
      <c r="BA147" s="1708"/>
      <c r="BB147" s="1442"/>
      <c r="BC147" s="1443"/>
      <c r="BD147" s="1443"/>
      <c r="BE147" s="1443"/>
      <c r="BF147" s="1443"/>
      <c r="BG147" s="1443"/>
      <c r="BH147" s="1443"/>
      <c r="BI147" s="1443"/>
      <c r="BJ147" s="1443"/>
      <c r="BK147" s="1689"/>
      <c r="BL147" s="1443"/>
      <c r="BM147" s="1443"/>
      <c r="BN147" s="1443"/>
      <c r="BO147" s="1443"/>
      <c r="BP147" s="1443"/>
      <c r="BQ147" s="1443"/>
      <c r="BR147" s="1445"/>
      <c r="BS147" s="1439"/>
      <c r="BT147" s="1440"/>
      <c r="BU147" s="1440"/>
      <c r="BV147" s="1440"/>
      <c r="BW147" s="1440"/>
      <c r="BX147" s="1440"/>
      <c r="BY147" s="1440"/>
      <c r="BZ147" s="1440"/>
      <c r="CA147" s="1440"/>
      <c r="CB147" s="1440"/>
      <c r="CC147" s="1440"/>
      <c r="CD147" s="1440"/>
      <c r="CE147" s="1440"/>
      <c r="CF147" s="1440"/>
      <c r="CG147" s="1440"/>
      <c r="CH147" s="1440"/>
      <c r="CI147" s="1441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5" t="s">
        <v>80</v>
      </c>
      <c r="B148" s="1430" t="str">
        <f t="shared" si="280"/>
        <v>P</v>
      </c>
      <c r="C148" s="1523"/>
      <c r="D148" s="1524"/>
      <c r="E148" s="1524"/>
      <c r="F148" s="1524"/>
      <c r="G148" s="1524"/>
      <c r="H148" s="1524"/>
      <c r="I148" s="1524"/>
      <c r="J148" s="1524"/>
      <c r="K148" s="1524"/>
      <c r="L148" s="1737"/>
      <c r="M148" s="1524"/>
      <c r="N148" s="1524"/>
      <c r="O148" s="1524"/>
      <c r="P148" s="1524"/>
      <c r="Q148" s="1524"/>
      <c r="R148" s="1524"/>
      <c r="S148" s="1525"/>
      <c r="T148" s="1439"/>
      <c r="U148" s="1440"/>
      <c r="V148" s="1440"/>
      <c r="W148" s="1440"/>
      <c r="X148" s="1440"/>
      <c r="Y148" s="1440"/>
      <c r="Z148" s="1440"/>
      <c r="AA148" s="1440"/>
      <c r="AB148" s="1440"/>
      <c r="AC148" s="1440"/>
      <c r="AD148" s="1440"/>
      <c r="AE148" s="1440"/>
      <c r="AF148" s="1440"/>
      <c r="AG148" s="1440"/>
      <c r="AH148" s="1532"/>
      <c r="AI148" s="1440"/>
      <c r="AJ148" s="1712"/>
      <c r="AK148" s="1446"/>
      <c r="AL148" s="1447"/>
      <c r="AM148" s="1447"/>
      <c r="AN148" s="1447"/>
      <c r="AO148" s="1447"/>
      <c r="AP148" s="1447"/>
      <c r="AQ148" s="1447"/>
      <c r="AR148" s="1447"/>
      <c r="AS148" s="1447"/>
      <c r="AT148" s="1447"/>
      <c r="AU148" s="1447"/>
      <c r="AV148" s="1447"/>
      <c r="AW148" s="1447"/>
      <c r="AX148" s="1447"/>
      <c r="AY148" s="1447"/>
      <c r="AZ148" s="1447"/>
      <c r="BA148" s="1708"/>
      <c r="BB148" s="1442"/>
      <c r="BC148" s="1443"/>
      <c r="BD148" s="1443"/>
      <c r="BE148" s="1443"/>
      <c r="BF148" s="1443"/>
      <c r="BG148" s="1443"/>
      <c r="BH148" s="1443"/>
      <c r="BI148" s="1443"/>
      <c r="BJ148" s="1443"/>
      <c r="BK148" s="1689"/>
      <c r="BL148" s="1443"/>
      <c r="BM148" s="1443"/>
      <c r="BN148" s="1443"/>
      <c r="BO148" s="1443"/>
      <c r="BP148" s="1443"/>
      <c r="BQ148" s="1443"/>
      <c r="BR148" s="1445"/>
      <c r="BS148" s="1439"/>
      <c r="BT148" s="1440"/>
      <c r="BU148" s="1440"/>
      <c r="BV148" s="1440"/>
      <c r="BW148" s="1440"/>
      <c r="BX148" s="1440"/>
      <c r="BY148" s="1440"/>
      <c r="BZ148" s="1440"/>
      <c r="CA148" s="1440"/>
      <c r="CB148" s="1440"/>
      <c r="CC148" s="1440"/>
      <c r="CD148" s="1440"/>
      <c r="CE148" s="1440"/>
      <c r="CF148" s="1440"/>
      <c r="CG148" s="1440"/>
      <c r="CH148" s="1440"/>
      <c r="CI148" s="1441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8" t="s">
        <v>81</v>
      </c>
      <c r="B149" s="1430" t="str">
        <f t="shared" si="280"/>
        <v>P</v>
      </c>
      <c r="C149" s="1526"/>
      <c r="D149" s="1527"/>
      <c r="E149" s="1527"/>
      <c r="F149" s="1527"/>
      <c r="G149" s="1527"/>
      <c r="H149" s="1527"/>
      <c r="I149" s="1527"/>
      <c r="J149" s="1527"/>
      <c r="K149" s="1527"/>
      <c r="L149" s="1738"/>
      <c r="M149" s="1527"/>
      <c r="N149" s="1527"/>
      <c r="O149" s="1527"/>
      <c r="P149" s="1527"/>
      <c r="Q149" s="1527"/>
      <c r="R149" s="1527"/>
      <c r="S149" s="1528"/>
      <c r="T149" s="1450"/>
      <c r="U149" s="1451"/>
      <c r="V149" s="1451"/>
      <c r="W149" s="1451"/>
      <c r="X149" s="1451"/>
      <c r="Y149" s="1451"/>
      <c r="Z149" s="1451"/>
      <c r="AA149" s="1451"/>
      <c r="AB149" s="1451"/>
      <c r="AC149" s="1451"/>
      <c r="AD149" s="1451"/>
      <c r="AE149" s="1451"/>
      <c r="AF149" s="1451"/>
      <c r="AG149" s="1451"/>
      <c r="AH149" s="1452"/>
      <c r="AI149" s="1451"/>
      <c r="AJ149" s="1702"/>
      <c r="AK149" s="1514" t="str">
        <f t="shared" ref="AK149:BA149" si="300">IF(AK142="","",SUM(AK142,AK144,-AK145,-AK146,-AK147,AK148))</f>
        <v/>
      </c>
      <c r="AL149" s="1515" t="str">
        <f t="shared" si="300"/>
        <v/>
      </c>
      <c r="AM149" s="1515" t="str">
        <f t="shared" si="300"/>
        <v/>
      </c>
      <c r="AN149" s="1515" t="str">
        <f t="shared" si="300"/>
        <v/>
      </c>
      <c r="AO149" s="1515" t="str">
        <f t="shared" si="300"/>
        <v/>
      </c>
      <c r="AP149" s="1515" t="str">
        <f t="shared" si="300"/>
        <v/>
      </c>
      <c r="AQ149" s="1515" t="str">
        <f t="shared" si="300"/>
        <v/>
      </c>
      <c r="AR149" s="1515" t="str">
        <f t="shared" si="300"/>
        <v/>
      </c>
      <c r="AS149" s="1515" t="str">
        <f t="shared" si="300"/>
        <v/>
      </c>
      <c r="AT149" s="1515" t="str">
        <f t="shared" si="300"/>
        <v/>
      </c>
      <c r="AU149" s="1515" t="str">
        <f t="shared" si="300"/>
        <v/>
      </c>
      <c r="AV149" s="1515" t="str">
        <f t="shared" si="300"/>
        <v/>
      </c>
      <c r="AW149" s="1515" t="str">
        <f t="shared" si="300"/>
        <v/>
      </c>
      <c r="AX149" s="1515" t="str">
        <f t="shared" si="300"/>
        <v/>
      </c>
      <c r="AY149" s="1515" t="str">
        <f t="shared" si="300"/>
        <v/>
      </c>
      <c r="AZ149" s="1515" t="str">
        <f t="shared" si="300"/>
        <v/>
      </c>
      <c r="BA149" s="1687" t="str">
        <f t="shared" si="300"/>
        <v/>
      </c>
      <c r="BB149" s="1450"/>
      <c r="BC149" s="1451"/>
      <c r="BD149" s="1451"/>
      <c r="BE149" s="1451"/>
      <c r="BF149" s="1451"/>
      <c r="BG149" s="1451"/>
      <c r="BH149" s="1451"/>
      <c r="BI149" s="1451"/>
      <c r="BJ149" s="1451"/>
      <c r="BK149" s="1690"/>
      <c r="BL149" s="1451"/>
      <c r="BM149" s="1451"/>
      <c r="BN149" s="1451"/>
      <c r="BO149" s="1451"/>
      <c r="BP149" s="1451"/>
      <c r="BQ149" s="1451"/>
      <c r="BR149" s="1453"/>
      <c r="BS149" s="1450"/>
      <c r="BT149" s="1451"/>
      <c r="BU149" s="1451"/>
      <c r="BV149" s="1451"/>
      <c r="BW149" s="1451"/>
      <c r="BX149" s="1451"/>
      <c r="BY149" s="1451"/>
      <c r="BZ149" s="1451"/>
      <c r="CA149" s="1451"/>
      <c r="CB149" s="1451"/>
      <c r="CC149" s="1451"/>
      <c r="CD149" s="1451"/>
      <c r="CE149" s="1451"/>
      <c r="CF149" s="1451"/>
      <c r="CG149" s="1451"/>
      <c r="CH149" s="1451"/>
      <c r="CI149" s="1453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4" t="s">
        <v>837</v>
      </c>
      <c r="B150" s="1421" t="str">
        <f t="shared" ref="B150:B157" si="301">$B$11</f>
        <v>M</v>
      </c>
      <c r="C150" s="1501"/>
      <c r="D150" s="1533"/>
      <c r="E150" s="1533"/>
      <c r="F150" s="1533"/>
      <c r="G150" s="1533"/>
      <c r="H150" s="1533"/>
      <c r="I150" s="1533"/>
      <c r="J150" s="1533"/>
      <c r="K150" s="1533"/>
      <c r="L150" s="1739"/>
      <c r="M150" s="1533"/>
      <c r="N150" s="1533"/>
      <c r="O150" s="1533"/>
      <c r="P150" s="1533"/>
      <c r="Q150" s="1533"/>
      <c r="R150" s="1533"/>
      <c r="S150" s="1534"/>
      <c r="T150" s="1529"/>
      <c r="U150" s="1530"/>
      <c r="V150" s="1530"/>
      <c r="W150" s="1530"/>
      <c r="X150" s="1530"/>
      <c r="Y150" s="1530"/>
      <c r="Z150" s="1530"/>
      <c r="AA150" s="1530"/>
      <c r="AB150" s="1530"/>
      <c r="AC150" s="1530"/>
      <c r="AD150" s="1530"/>
      <c r="AE150" s="1530"/>
      <c r="AF150" s="1530"/>
      <c r="AG150" s="1530"/>
      <c r="AH150" s="1444"/>
      <c r="AI150" s="1530"/>
      <c r="AJ150" s="1714"/>
      <c r="AK150" s="1529"/>
      <c r="AL150" s="1530"/>
      <c r="AM150" s="1530"/>
      <c r="AN150" s="1530"/>
      <c r="AO150" s="1530"/>
      <c r="AP150" s="1530"/>
      <c r="AQ150" s="1530"/>
      <c r="AR150" s="1530"/>
      <c r="AS150" s="1530"/>
      <c r="AT150" s="1530"/>
      <c r="AU150" s="1530"/>
      <c r="AV150" s="1530"/>
      <c r="AW150" s="1530"/>
      <c r="AX150" s="1530"/>
      <c r="AY150" s="1530"/>
      <c r="AZ150" s="1530"/>
      <c r="BA150" s="1714"/>
      <c r="BB150" s="1446"/>
      <c r="BC150" s="1461"/>
      <c r="BD150" s="1461"/>
      <c r="BE150" s="1461"/>
      <c r="BF150" s="1461"/>
      <c r="BG150" s="1461"/>
      <c r="BH150" s="1461"/>
      <c r="BI150" s="1461"/>
      <c r="BJ150" s="1461"/>
      <c r="BK150" s="1685"/>
      <c r="BL150" s="1461"/>
      <c r="BM150" s="1461"/>
      <c r="BN150" s="1461"/>
      <c r="BO150" s="1461"/>
      <c r="BP150" s="1461"/>
      <c r="BQ150" s="1461"/>
      <c r="BR150" s="1462"/>
      <c r="BS150" s="1427"/>
      <c r="BT150" s="1428"/>
      <c r="BU150" s="1428"/>
      <c r="BV150" s="1428"/>
      <c r="BW150" s="1428"/>
      <c r="BX150" s="1428"/>
      <c r="BY150" s="1428"/>
      <c r="BZ150" s="1428"/>
      <c r="CA150" s="1428"/>
      <c r="CB150" s="1428"/>
      <c r="CC150" s="1428"/>
      <c r="CD150" s="1428"/>
      <c r="CE150" s="1428"/>
      <c r="CF150" s="1428"/>
      <c r="CG150" s="1428"/>
      <c r="CH150" s="1428"/>
      <c r="CI150" s="1429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5" t="s">
        <v>75</v>
      </c>
      <c r="B151" s="1430" t="str">
        <f t="shared" si="301"/>
        <v>M</v>
      </c>
      <c r="C151" s="1511"/>
      <c r="D151" s="1368"/>
      <c r="E151" s="1368"/>
      <c r="F151" s="1368"/>
      <c r="G151" s="1368"/>
      <c r="H151" s="1368"/>
      <c r="I151" s="1368"/>
      <c r="J151" s="1368"/>
      <c r="K151" s="1368"/>
      <c r="L151" s="1740"/>
      <c r="M151" s="1368"/>
      <c r="N151" s="1368"/>
      <c r="O151" s="1368"/>
      <c r="P151" s="1368"/>
      <c r="Q151" s="1368"/>
      <c r="R151" s="1368"/>
      <c r="S151" s="1535"/>
      <c r="T151" s="1442"/>
      <c r="U151" s="1443"/>
      <c r="V151" s="1443"/>
      <c r="W151" s="1443"/>
      <c r="X151" s="1443"/>
      <c r="Y151" s="1443"/>
      <c r="Z151" s="1443"/>
      <c r="AA151" s="1443"/>
      <c r="AB151" s="1443"/>
      <c r="AC151" s="1443"/>
      <c r="AD151" s="1443"/>
      <c r="AE151" s="1443"/>
      <c r="AF151" s="1443"/>
      <c r="AG151" s="1443"/>
      <c r="AH151" s="1444"/>
      <c r="AI151" s="1443"/>
      <c r="AJ151" s="1713"/>
      <c r="AK151" s="1442"/>
      <c r="AL151" s="1443"/>
      <c r="AM151" s="1443"/>
      <c r="AN151" s="1443"/>
      <c r="AO151" s="1443"/>
      <c r="AP151" s="1443"/>
      <c r="AQ151" s="1443"/>
      <c r="AR151" s="1443"/>
      <c r="AS151" s="1443"/>
      <c r="AT151" s="1443"/>
      <c r="AU151" s="1443"/>
      <c r="AV151" s="1443"/>
      <c r="AW151" s="1443"/>
      <c r="AX151" s="1443"/>
      <c r="AY151" s="1443"/>
      <c r="AZ151" s="1443"/>
      <c r="BA151" s="1713"/>
      <c r="BB151" s="1446"/>
      <c r="BC151" s="1447"/>
      <c r="BD151" s="1447"/>
      <c r="BE151" s="1447"/>
      <c r="BF151" s="1447"/>
      <c r="BG151" s="1447"/>
      <c r="BH151" s="1447"/>
      <c r="BI151" s="1447"/>
      <c r="BJ151" s="1447"/>
      <c r="BK151" s="1680"/>
      <c r="BL151" s="1447"/>
      <c r="BM151" s="1447"/>
      <c r="BN151" s="1447"/>
      <c r="BO151" s="1447"/>
      <c r="BP151" s="1447"/>
      <c r="BQ151" s="1447"/>
      <c r="BR151" s="1448"/>
      <c r="BS151" s="1439"/>
      <c r="BT151" s="1440"/>
      <c r="BU151" s="1440"/>
      <c r="BV151" s="1440"/>
      <c r="BW151" s="1440"/>
      <c r="BX151" s="1440"/>
      <c r="BY151" s="1440"/>
      <c r="BZ151" s="1440"/>
      <c r="CA151" s="1440"/>
      <c r="CB151" s="1440"/>
      <c r="CC151" s="1440"/>
      <c r="CD151" s="1440"/>
      <c r="CE151" s="1440"/>
      <c r="CF151" s="1440"/>
      <c r="CG151" s="1440"/>
      <c r="CH151" s="1440"/>
      <c r="CI151" s="1441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5" t="s">
        <v>76</v>
      </c>
      <c r="B152" s="1430" t="str">
        <f t="shared" si="301"/>
        <v>M</v>
      </c>
      <c r="C152" s="1520"/>
      <c r="D152" s="1521"/>
      <c r="E152" s="1521"/>
      <c r="F152" s="1521"/>
      <c r="G152" s="1521"/>
      <c r="H152" s="1521"/>
      <c r="I152" s="1521"/>
      <c r="J152" s="1521"/>
      <c r="K152" s="1521"/>
      <c r="L152" s="1736"/>
      <c r="M152" s="1521"/>
      <c r="N152" s="1521"/>
      <c r="O152" s="1521"/>
      <c r="P152" s="1521"/>
      <c r="Q152" s="1521"/>
      <c r="R152" s="1521"/>
      <c r="S152" s="1522"/>
      <c r="T152" s="1439"/>
      <c r="U152" s="1440"/>
      <c r="V152" s="1440"/>
      <c r="W152" s="1440"/>
      <c r="X152" s="1440"/>
      <c r="Y152" s="1440"/>
      <c r="Z152" s="1440"/>
      <c r="AA152" s="1440"/>
      <c r="AB152" s="1440"/>
      <c r="AC152" s="1440"/>
      <c r="AD152" s="1440"/>
      <c r="AE152" s="1440"/>
      <c r="AF152" s="1440"/>
      <c r="AG152" s="1440"/>
      <c r="AH152" s="1532"/>
      <c r="AI152" s="1440"/>
      <c r="AJ152" s="1712"/>
      <c r="AK152" s="1439"/>
      <c r="AL152" s="1440"/>
      <c r="AM152" s="1440"/>
      <c r="AN152" s="1440"/>
      <c r="AO152" s="1440"/>
      <c r="AP152" s="1440"/>
      <c r="AQ152" s="1440"/>
      <c r="AR152" s="1440"/>
      <c r="AS152" s="1440"/>
      <c r="AT152" s="1440"/>
      <c r="AU152" s="1440"/>
      <c r="AV152" s="1440"/>
      <c r="AW152" s="1440"/>
      <c r="AX152" s="1440"/>
      <c r="AY152" s="1440"/>
      <c r="AZ152" s="1440"/>
      <c r="BA152" s="1712"/>
      <c r="BB152" s="1446"/>
      <c r="BC152" s="1447"/>
      <c r="BD152" s="1447"/>
      <c r="BE152" s="1447"/>
      <c r="BF152" s="1447"/>
      <c r="BG152" s="1447"/>
      <c r="BH152" s="1447"/>
      <c r="BI152" s="1447"/>
      <c r="BJ152" s="1447"/>
      <c r="BK152" s="1680"/>
      <c r="BL152" s="1447"/>
      <c r="BM152" s="1447"/>
      <c r="BN152" s="1447"/>
      <c r="BO152" s="1447"/>
      <c r="BP152" s="1447"/>
      <c r="BQ152" s="1447"/>
      <c r="BR152" s="1448"/>
      <c r="BS152" s="1439"/>
      <c r="BT152" s="1440"/>
      <c r="BU152" s="1440"/>
      <c r="BV152" s="1440"/>
      <c r="BW152" s="1440"/>
      <c r="BX152" s="1440"/>
      <c r="BY152" s="1440"/>
      <c r="BZ152" s="1440"/>
      <c r="CA152" s="1440"/>
      <c r="CB152" s="1440"/>
      <c r="CC152" s="1440"/>
      <c r="CD152" s="1440"/>
      <c r="CE152" s="1440"/>
      <c r="CF152" s="1440"/>
      <c r="CG152" s="1440"/>
      <c r="CH152" s="1440"/>
      <c r="CI152" s="1441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5" t="s">
        <v>77</v>
      </c>
      <c r="B153" s="1430" t="str">
        <f t="shared" si="301"/>
        <v>M</v>
      </c>
      <c r="C153" s="1523"/>
      <c r="D153" s="1524"/>
      <c r="E153" s="1524"/>
      <c r="F153" s="1524"/>
      <c r="G153" s="1524"/>
      <c r="H153" s="1524"/>
      <c r="I153" s="1524"/>
      <c r="J153" s="1524"/>
      <c r="K153" s="1524"/>
      <c r="L153" s="1737"/>
      <c r="M153" s="1524"/>
      <c r="N153" s="1524"/>
      <c r="O153" s="1524"/>
      <c r="P153" s="1524"/>
      <c r="Q153" s="1524"/>
      <c r="R153" s="1524"/>
      <c r="S153" s="1525"/>
      <c r="T153" s="1439"/>
      <c r="U153" s="1440"/>
      <c r="V153" s="1440"/>
      <c r="W153" s="1440"/>
      <c r="X153" s="1440"/>
      <c r="Y153" s="1440"/>
      <c r="Z153" s="1440"/>
      <c r="AA153" s="1440"/>
      <c r="AB153" s="1440"/>
      <c r="AC153" s="1440"/>
      <c r="AD153" s="1440"/>
      <c r="AE153" s="1440"/>
      <c r="AF153" s="1440"/>
      <c r="AG153" s="1440"/>
      <c r="AH153" s="1532"/>
      <c r="AI153" s="1440"/>
      <c r="AJ153" s="1712"/>
      <c r="AK153" s="1442"/>
      <c r="AL153" s="1443"/>
      <c r="AM153" s="1443"/>
      <c r="AN153" s="1443"/>
      <c r="AO153" s="1443"/>
      <c r="AP153" s="1443"/>
      <c r="AQ153" s="1443"/>
      <c r="AR153" s="1443"/>
      <c r="AS153" s="1443"/>
      <c r="AT153" s="1443"/>
      <c r="AU153" s="1443"/>
      <c r="AV153" s="1443"/>
      <c r="AW153" s="1443"/>
      <c r="AX153" s="1443"/>
      <c r="AY153" s="1443"/>
      <c r="AZ153" s="1443"/>
      <c r="BA153" s="1713"/>
      <c r="BB153" s="1446"/>
      <c r="BC153" s="1447"/>
      <c r="BD153" s="1447"/>
      <c r="BE153" s="1447"/>
      <c r="BF153" s="1447"/>
      <c r="BG153" s="1447"/>
      <c r="BH153" s="1447"/>
      <c r="BI153" s="1447"/>
      <c r="BJ153" s="1447"/>
      <c r="BK153" s="1680"/>
      <c r="BL153" s="1447"/>
      <c r="BM153" s="1447"/>
      <c r="BN153" s="1447"/>
      <c r="BO153" s="1447"/>
      <c r="BP153" s="1447"/>
      <c r="BQ153" s="1447"/>
      <c r="BR153" s="1448"/>
      <c r="BS153" s="1439"/>
      <c r="BT153" s="1440"/>
      <c r="BU153" s="1440"/>
      <c r="BV153" s="1440"/>
      <c r="BW153" s="1440"/>
      <c r="BX153" s="1440"/>
      <c r="BY153" s="1440"/>
      <c r="BZ153" s="1440"/>
      <c r="CA153" s="1440"/>
      <c r="CB153" s="1440"/>
      <c r="CC153" s="1440"/>
      <c r="CD153" s="1440"/>
      <c r="CE153" s="1440"/>
      <c r="CF153" s="1440"/>
      <c r="CG153" s="1440"/>
      <c r="CH153" s="1440"/>
      <c r="CI153" s="1441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5" t="s">
        <v>78</v>
      </c>
      <c r="B154" s="1430" t="str">
        <f t="shared" si="301"/>
        <v>M</v>
      </c>
      <c r="C154" s="1523"/>
      <c r="D154" s="1524"/>
      <c r="E154" s="1524"/>
      <c r="F154" s="1524"/>
      <c r="G154" s="1524"/>
      <c r="H154" s="1524"/>
      <c r="I154" s="1524"/>
      <c r="J154" s="1524"/>
      <c r="K154" s="1524"/>
      <c r="L154" s="1737"/>
      <c r="M154" s="1524"/>
      <c r="N154" s="1524"/>
      <c r="O154" s="1524"/>
      <c r="P154" s="1524"/>
      <c r="Q154" s="1524"/>
      <c r="R154" s="1524"/>
      <c r="S154" s="1525"/>
      <c r="T154" s="1439"/>
      <c r="U154" s="1440"/>
      <c r="V154" s="1440"/>
      <c r="W154" s="1440"/>
      <c r="X154" s="1440"/>
      <c r="Y154" s="1440"/>
      <c r="Z154" s="1440"/>
      <c r="AA154" s="1440"/>
      <c r="AB154" s="1440"/>
      <c r="AC154" s="1440"/>
      <c r="AD154" s="1440"/>
      <c r="AE154" s="1440"/>
      <c r="AF154" s="1440"/>
      <c r="AG154" s="1440"/>
      <c r="AH154" s="1532"/>
      <c r="AI154" s="1440"/>
      <c r="AJ154" s="1712"/>
      <c r="AK154" s="1442"/>
      <c r="AL154" s="1443"/>
      <c r="AM154" s="1443"/>
      <c r="AN154" s="1443"/>
      <c r="AO154" s="1443"/>
      <c r="AP154" s="1443"/>
      <c r="AQ154" s="1443"/>
      <c r="AR154" s="1443"/>
      <c r="AS154" s="1443"/>
      <c r="AT154" s="1443"/>
      <c r="AU154" s="1443"/>
      <c r="AV154" s="1443"/>
      <c r="AW154" s="1443"/>
      <c r="AX154" s="1443"/>
      <c r="AY154" s="1443"/>
      <c r="AZ154" s="1443"/>
      <c r="BA154" s="1713"/>
      <c r="BB154" s="1446"/>
      <c r="BC154" s="1447"/>
      <c r="BD154" s="1447"/>
      <c r="BE154" s="1447"/>
      <c r="BF154" s="1447"/>
      <c r="BG154" s="1447"/>
      <c r="BH154" s="1447"/>
      <c r="BI154" s="1447"/>
      <c r="BJ154" s="1447"/>
      <c r="BK154" s="1680"/>
      <c r="BL154" s="1447"/>
      <c r="BM154" s="1447"/>
      <c r="BN154" s="1447"/>
      <c r="BO154" s="1447"/>
      <c r="BP154" s="1447"/>
      <c r="BQ154" s="1447"/>
      <c r="BR154" s="1448"/>
      <c r="BS154" s="1439"/>
      <c r="BT154" s="1440"/>
      <c r="BU154" s="1440"/>
      <c r="BV154" s="1440"/>
      <c r="BW154" s="1440"/>
      <c r="BX154" s="1440"/>
      <c r="BY154" s="1440"/>
      <c r="BZ154" s="1440"/>
      <c r="CA154" s="1440"/>
      <c r="CB154" s="1440"/>
      <c r="CC154" s="1440"/>
      <c r="CD154" s="1440"/>
      <c r="CE154" s="1440"/>
      <c r="CF154" s="1440"/>
      <c r="CG154" s="1440"/>
      <c r="CH154" s="1440"/>
      <c r="CI154" s="1441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5" t="s">
        <v>79</v>
      </c>
      <c r="B155" s="1430" t="str">
        <f t="shared" si="301"/>
        <v>M</v>
      </c>
      <c r="C155" s="1523"/>
      <c r="D155" s="1524"/>
      <c r="E155" s="1524"/>
      <c r="F155" s="1524"/>
      <c r="G155" s="1524"/>
      <c r="H155" s="1524"/>
      <c r="I155" s="1524"/>
      <c r="J155" s="1524"/>
      <c r="K155" s="1524"/>
      <c r="L155" s="1737"/>
      <c r="M155" s="1524"/>
      <c r="N155" s="1524"/>
      <c r="O155" s="1524"/>
      <c r="P155" s="1524"/>
      <c r="Q155" s="1524"/>
      <c r="R155" s="1524"/>
      <c r="S155" s="1525"/>
      <c r="T155" s="1439"/>
      <c r="U155" s="1440"/>
      <c r="V155" s="1440"/>
      <c r="W155" s="1440"/>
      <c r="X155" s="1440"/>
      <c r="Y155" s="1440"/>
      <c r="Z155" s="1440"/>
      <c r="AA155" s="1440"/>
      <c r="AB155" s="1440"/>
      <c r="AC155" s="1440"/>
      <c r="AD155" s="1440"/>
      <c r="AE155" s="1440"/>
      <c r="AF155" s="1440"/>
      <c r="AG155" s="1440"/>
      <c r="AH155" s="1532"/>
      <c r="AI155" s="1440"/>
      <c r="AJ155" s="1712"/>
      <c r="AK155" s="1442"/>
      <c r="AL155" s="1443"/>
      <c r="AM155" s="1443"/>
      <c r="AN155" s="1443"/>
      <c r="AO155" s="1443"/>
      <c r="AP155" s="1443"/>
      <c r="AQ155" s="1443"/>
      <c r="AR155" s="1443"/>
      <c r="AS155" s="1443"/>
      <c r="AT155" s="1443"/>
      <c r="AU155" s="1443"/>
      <c r="AV155" s="1443"/>
      <c r="AW155" s="1443"/>
      <c r="AX155" s="1443"/>
      <c r="AY155" s="1443"/>
      <c r="AZ155" s="1443"/>
      <c r="BA155" s="1713"/>
      <c r="BB155" s="1446"/>
      <c r="BC155" s="1447"/>
      <c r="BD155" s="1447"/>
      <c r="BE155" s="1447"/>
      <c r="BF155" s="1447"/>
      <c r="BG155" s="1447"/>
      <c r="BH155" s="1447"/>
      <c r="BI155" s="1447"/>
      <c r="BJ155" s="1447"/>
      <c r="BK155" s="1680"/>
      <c r="BL155" s="1447"/>
      <c r="BM155" s="1447"/>
      <c r="BN155" s="1447"/>
      <c r="BO155" s="1447"/>
      <c r="BP155" s="1447"/>
      <c r="BQ155" s="1447"/>
      <c r="BR155" s="1448"/>
      <c r="BS155" s="1439"/>
      <c r="BT155" s="1440"/>
      <c r="BU155" s="1440"/>
      <c r="BV155" s="1440"/>
      <c r="BW155" s="1440"/>
      <c r="BX155" s="1440"/>
      <c r="BY155" s="1440"/>
      <c r="BZ155" s="1440"/>
      <c r="CA155" s="1440"/>
      <c r="CB155" s="1440"/>
      <c r="CC155" s="1440"/>
      <c r="CD155" s="1440"/>
      <c r="CE155" s="1440"/>
      <c r="CF155" s="1440"/>
      <c r="CG155" s="1440"/>
      <c r="CH155" s="1440"/>
      <c r="CI155" s="1441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5" t="s">
        <v>80</v>
      </c>
      <c r="B156" s="1430" t="str">
        <f t="shared" si="301"/>
        <v>M</v>
      </c>
      <c r="C156" s="1523"/>
      <c r="D156" s="1524"/>
      <c r="E156" s="1524"/>
      <c r="F156" s="1524"/>
      <c r="G156" s="1524"/>
      <c r="H156" s="1524"/>
      <c r="I156" s="1524"/>
      <c r="J156" s="1524"/>
      <c r="K156" s="1524"/>
      <c r="L156" s="1737"/>
      <c r="M156" s="1524"/>
      <c r="N156" s="1524"/>
      <c r="O156" s="1524"/>
      <c r="P156" s="1524"/>
      <c r="Q156" s="1524"/>
      <c r="R156" s="1524"/>
      <c r="S156" s="1525"/>
      <c r="T156" s="1439"/>
      <c r="U156" s="1440"/>
      <c r="V156" s="1440"/>
      <c r="W156" s="1440"/>
      <c r="X156" s="1440"/>
      <c r="Y156" s="1440"/>
      <c r="Z156" s="1440"/>
      <c r="AA156" s="1440"/>
      <c r="AB156" s="1440"/>
      <c r="AC156" s="1440"/>
      <c r="AD156" s="1440"/>
      <c r="AE156" s="1440"/>
      <c r="AF156" s="1440"/>
      <c r="AG156" s="1440"/>
      <c r="AH156" s="1532"/>
      <c r="AI156" s="1440"/>
      <c r="AJ156" s="1712"/>
      <c r="AK156" s="1442"/>
      <c r="AL156" s="1443"/>
      <c r="AM156" s="1443"/>
      <c r="AN156" s="1443"/>
      <c r="AO156" s="1443"/>
      <c r="AP156" s="1443"/>
      <c r="AQ156" s="1443"/>
      <c r="AR156" s="1443"/>
      <c r="AS156" s="1443"/>
      <c r="AT156" s="1443"/>
      <c r="AU156" s="1443"/>
      <c r="AV156" s="1443"/>
      <c r="AW156" s="1443"/>
      <c r="AX156" s="1443"/>
      <c r="AY156" s="1443"/>
      <c r="AZ156" s="1443"/>
      <c r="BA156" s="1713"/>
      <c r="BB156" s="1446"/>
      <c r="BC156" s="1447"/>
      <c r="BD156" s="1447"/>
      <c r="BE156" s="1447"/>
      <c r="BF156" s="1447"/>
      <c r="BG156" s="1447"/>
      <c r="BH156" s="1447"/>
      <c r="BI156" s="1447"/>
      <c r="BJ156" s="1447"/>
      <c r="BK156" s="1680"/>
      <c r="BL156" s="1447"/>
      <c r="BM156" s="1447"/>
      <c r="BN156" s="1447"/>
      <c r="BO156" s="1447"/>
      <c r="BP156" s="1447"/>
      <c r="BQ156" s="1447"/>
      <c r="BR156" s="1448"/>
      <c r="BS156" s="1439"/>
      <c r="BT156" s="1440"/>
      <c r="BU156" s="1440"/>
      <c r="BV156" s="1440"/>
      <c r="BW156" s="1440"/>
      <c r="BX156" s="1440"/>
      <c r="BY156" s="1440"/>
      <c r="BZ156" s="1440"/>
      <c r="CA156" s="1440"/>
      <c r="CB156" s="1440"/>
      <c r="CC156" s="1440"/>
      <c r="CD156" s="1440"/>
      <c r="CE156" s="1440"/>
      <c r="CF156" s="1440"/>
      <c r="CG156" s="1440"/>
      <c r="CH156" s="1440"/>
      <c r="CI156" s="1441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8" t="s">
        <v>81</v>
      </c>
      <c r="B157" s="1430" t="str">
        <f t="shared" si="301"/>
        <v>M</v>
      </c>
      <c r="C157" s="1526"/>
      <c r="D157" s="1527"/>
      <c r="E157" s="1527"/>
      <c r="F157" s="1527"/>
      <c r="G157" s="1527"/>
      <c r="H157" s="1527"/>
      <c r="I157" s="1527"/>
      <c r="J157" s="1527"/>
      <c r="K157" s="1527"/>
      <c r="L157" s="1738"/>
      <c r="M157" s="1527"/>
      <c r="N157" s="1527"/>
      <c r="O157" s="1527"/>
      <c r="P157" s="1527"/>
      <c r="Q157" s="1527"/>
      <c r="R157" s="1527"/>
      <c r="S157" s="1528"/>
      <c r="T157" s="1450"/>
      <c r="U157" s="1451"/>
      <c r="V157" s="1451"/>
      <c r="W157" s="1451"/>
      <c r="X157" s="1451"/>
      <c r="Y157" s="1451"/>
      <c r="Z157" s="1451"/>
      <c r="AA157" s="1451"/>
      <c r="AB157" s="1451"/>
      <c r="AC157" s="1451"/>
      <c r="AD157" s="1451"/>
      <c r="AE157" s="1451"/>
      <c r="AF157" s="1451"/>
      <c r="AG157" s="1451"/>
      <c r="AH157" s="1452"/>
      <c r="AI157" s="1451"/>
      <c r="AJ157" s="1702"/>
      <c r="AK157" s="1450"/>
      <c r="AL157" s="1451"/>
      <c r="AM157" s="1451"/>
      <c r="AN157" s="1451"/>
      <c r="AO157" s="1451"/>
      <c r="AP157" s="1451"/>
      <c r="AQ157" s="1451"/>
      <c r="AR157" s="1451"/>
      <c r="AS157" s="1451"/>
      <c r="AT157" s="1451"/>
      <c r="AU157" s="1451"/>
      <c r="AV157" s="1451"/>
      <c r="AW157" s="1451"/>
      <c r="AX157" s="1451"/>
      <c r="AY157" s="1451"/>
      <c r="AZ157" s="1451"/>
      <c r="BA157" s="1702"/>
      <c r="BB157" s="1514" t="str">
        <f t="shared" ref="BB157:BJ157" si="321">IF(BB150="","",SUM(BB150,BB152,-BB153,-BB154,-BB155,BB156))</f>
        <v/>
      </c>
      <c r="BC157" s="1515" t="str">
        <f t="shared" si="321"/>
        <v/>
      </c>
      <c r="BD157" s="1515" t="str">
        <f t="shared" si="321"/>
        <v/>
      </c>
      <c r="BE157" s="1515" t="str">
        <f t="shared" si="321"/>
        <v/>
      </c>
      <c r="BF157" s="1515" t="str">
        <f t="shared" si="321"/>
        <v/>
      </c>
      <c r="BG157" s="1515" t="str">
        <f t="shared" si="321"/>
        <v/>
      </c>
      <c r="BH157" s="1515" t="str">
        <f t="shared" si="321"/>
        <v/>
      </c>
      <c r="BI157" s="1515" t="str">
        <f t="shared" si="321"/>
        <v/>
      </c>
      <c r="BJ157" s="1515" t="str">
        <f t="shared" si="321"/>
        <v/>
      </c>
      <c r="BK157" s="1687"/>
      <c r="BL157" s="1515"/>
      <c r="BM157" s="1515" t="str">
        <f t="shared" ref="BM157:BR157" si="322">IF(BM150="","",SUM(BM150,BM152,-BM153,-BM154,-BM155,BM156))</f>
        <v/>
      </c>
      <c r="BN157" s="1515" t="str">
        <f t="shared" si="322"/>
        <v/>
      </c>
      <c r="BO157" s="1515" t="str">
        <f t="shared" si="322"/>
        <v/>
      </c>
      <c r="BP157" s="1515" t="str">
        <f t="shared" si="322"/>
        <v/>
      </c>
      <c r="BQ157" s="1515" t="str">
        <f t="shared" si="322"/>
        <v/>
      </c>
      <c r="BR157" s="1515" t="str">
        <f t="shared" si="322"/>
        <v/>
      </c>
      <c r="BS157" s="1450"/>
      <c r="BT157" s="1451"/>
      <c r="BU157" s="1451"/>
      <c r="BV157" s="1451"/>
      <c r="BW157" s="1451"/>
      <c r="BX157" s="1451"/>
      <c r="BY157" s="1451"/>
      <c r="BZ157" s="1451"/>
      <c r="CA157" s="1451"/>
      <c r="CB157" s="1451"/>
      <c r="CC157" s="1451"/>
      <c r="CD157" s="1451"/>
      <c r="CE157" s="1451"/>
      <c r="CF157" s="1451"/>
      <c r="CG157" s="1451"/>
      <c r="CH157" s="1451"/>
      <c r="CI157" s="1453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4" t="s">
        <v>837</v>
      </c>
      <c r="B158" s="1421" t="str">
        <f t="shared" ref="B158:B165" si="323">$B$12</f>
        <v>BO</v>
      </c>
      <c r="C158" s="1501"/>
      <c r="D158" s="1533"/>
      <c r="E158" s="1533"/>
      <c r="F158" s="1533"/>
      <c r="G158" s="1533"/>
      <c r="H158" s="1533"/>
      <c r="I158" s="1533"/>
      <c r="J158" s="1533"/>
      <c r="K158" s="1533"/>
      <c r="L158" s="1739"/>
      <c r="M158" s="1533"/>
      <c r="N158" s="1533"/>
      <c r="O158" s="1533"/>
      <c r="P158" s="1533"/>
      <c r="Q158" s="1533"/>
      <c r="R158" s="1533"/>
      <c r="S158" s="1534"/>
      <c r="T158" s="1529"/>
      <c r="U158" s="1530"/>
      <c r="V158" s="1530"/>
      <c r="W158" s="1530"/>
      <c r="X158" s="1530"/>
      <c r="Y158" s="1530"/>
      <c r="Z158" s="1530"/>
      <c r="AA158" s="1530"/>
      <c r="AB158" s="1530"/>
      <c r="AC158" s="1530"/>
      <c r="AD158" s="1530"/>
      <c r="AE158" s="1530"/>
      <c r="AF158" s="1530"/>
      <c r="AG158" s="1530"/>
      <c r="AH158" s="1444"/>
      <c r="AI158" s="1530"/>
      <c r="AJ158" s="1714"/>
      <c r="AK158" s="1529"/>
      <c r="AL158" s="1530"/>
      <c r="AM158" s="1530"/>
      <c r="AN158" s="1530"/>
      <c r="AO158" s="1530"/>
      <c r="AP158" s="1530"/>
      <c r="AQ158" s="1530"/>
      <c r="AR158" s="1530"/>
      <c r="AS158" s="1530"/>
      <c r="AT158" s="1530"/>
      <c r="AU158" s="1530"/>
      <c r="AV158" s="1530"/>
      <c r="AW158" s="1530"/>
      <c r="AX158" s="1530"/>
      <c r="AY158" s="1530"/>
      <c r="AZ158" s="1530"/>
      <c r="BA158" s="1714"/>
      <c r="BB158" s="1529"/>
      <c r="BC158" s="1530"/>
      <c r="BD158" s="1530"/>
      <c r="BE158" s="1530"/>
      <c r="BF158" s="1530"/>
      <c r="BG158" s="1530"/>
      <c r="BH158" s="1530"/>
      <c r="BI158" s="1530"/>
      <c r="BJ158" s="1530"/>
      <c r="BK158" s="1691"/>
      <c r="BL158" s="1530"/>
      <c r="BM158" s="1530"/>
      <c r="BN158" s="1530"/>
      <c r="BO158" s="1530"/>
      <c r="BP158" s="1530"/>
      <c r="BQ158" s="1530"/>
      <c r="BR158" s="1531"/>
      <c r="BS158" s="1446"/>
      <c r="BT158" s="1461"/>
      <c r="BU158" s="1461"/>
      <c r="BV158" s="1461"/>
      <c r="BW158" s="1461"/>
      <c r="BX158" s="1461"/>
      <c r="BY158" s="1461"/>
      <c r="BZ158" s="1461"/>
      <c r="CA158" s="1461"/>
      <c r="CB158" s="1461"/>
      <c r="CC158" s="1461"/>
      <c r="CD158" s="1461"/>
      <c r="CE158" s="1461"/>
      <c r="CF158" s="1461"/>
      <c r="CG158" s="1461"/>
      <c r="CH158" s="1461"/>
      <c r="CI158" s="1462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5" t="s">
        <v>75</v>
      </c>
      <c r="B159" s="1430" t="str">
        <f t="shared" si="323"/>
        <v>BO</v>
      </c>
      <c r="C159" s="1511"/>
      <c r="D159" s="1368"/>
      <c r="E159" s="1368"/>
      <c r="F159" s="1368"/>
      <c r="G159" s="1368"/>
      <c r="H159" s="1368"/>
      <c r="I159" s="1368"/>
      <c r="J159" s="1368"/>
      <c r="K159" s="1368"/>
      <c r="L159" s="1740"/>
      <c r="M159" s="1368"/>
      <c r="N159" s="1368"/>
      <c r="O159" s="1368"/>
      <c r="P159" s="1368"/>
      <c r="Q159" s="1368"/>
      <c r="R159" s="1368"/>
      <c r="S159" s="1535"/>
      <c r="T159" s="1442"/>
      <c r="U159" s="1443"/>
      <c r="V159" s="1443"/>
      <c r="W159" s="1443"/>
      <c r="X159" s="1443"/>
      <c r="Y159" s="1443"/>
      <c r="Z159" s="1443"/>
      <c r="AA159" s="1443"/>
      <c r="AB159" s="1443"/>
      <c r="AC159" s="1443"/>
      <c r="AD159" s="1443"/>
      <c r="AE159" s="1443"/>
      <c r="AF159" s="1443"/>
      <c r="AG159" s="1443"/>
      <c r="AH159" s="1444"/>
      <c r="AI159" s="1443"/>
      <c r="AJ159" s="1713"/>
      <c r="AK159" s="1442"/>
      <c r="AL159" s="1443"/>
      <c r="AM159" s="1443"/>
      <c r="AN159" s="1443"/>
      <c r="AO159" s="1443"/>
      <c r="AP159" s="1443"/>
      <c r="AQ159" s="1443"/>
      <c r="AR159" s="1443"/>
      <c r="AS159" s="1443"/>
      <c r="AT159" s="1443"/>
      <c r="AU159" s="1443"/>
      <c r="AV159" s="1443"/>
      <c r="AW159" s="1443"/>
      <c r="AX159" s="1443"/>
      <c r="AY159" s="1443"/>
      <c r="AZ159" s="1443"/>
      <c r="BA159" s="1713"/>
      <c r="BB159" s="1442"/>
      <c r="BC159" s="1443"/>
      <c r="BD159" s="1443"/>
      <c r="BE159" s="1443"/>
      <c r="BF159" s="1443"/>
      <c r="BG159" s="1443"/>
      <c r="BH159" s="1443"/>
      <c r="BI159" s="1443"/>
      <c r="BJ159" s="1443"/>
      <c r="BK159" s="1689"/>
      <c r="BL159" s="1443"/>
      <c r="BM159" s="1443"/>
      <c r="BN159" s="1443"/>
      <c r="BO159" s="1443"/>
      <c r="BP159" s="1443"/>
      <c r="BQ159" s="1443"/>
      <c r="BR159" s="1445"/>
      <c r="BS159" s="1446"/>
      <c r="BT159" s="1447"/>
      <c r="BU159" s="1447"/>
      <c r="BV159" s="1447"/>
      <c r="BW159" s="1447"/>
      <c r="BX159" s="1447"/>
      <c r="BY159" s="1447"/>
      <c r="BZ159" s="1447"/>
      <c r="CA159" s="1447"/>
      <c r="CB159" s="1447"/>
      <c r="CC159" s="1447"/>
      <c r="CD159" s="1447"/>
      <c r="CE159" s="1447"/>
      <c r="CF159" s="1447"/>
      <c r="CG159" s="1447"/>
      <c r="CH159" s="1447"/>
      <c r="CI159" s="1448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5" t="s">
        <v>76</v>
      </c>
      <c r="B160" s="1430" t="str">
        <f t="shared" si="323"/>
        <v>BO</v>
      </c>
      <c r="C160" s="1520"/>
      <c r="D160" s="1521"/>
      <c r="E160" s="1521"/>
      <c r="F160" s="1521"/>
      <c r="G160" s="1521"/>
      <c r="H160" s="1521"/>
      <c r="I160" s="1521"/>
      <c r="J160" s="1521"/>
      <c r="K160" s="1521"/>
      <c r="L160" s="1736"/>
      <c r="M160" s="1521"/>
      <c r="N160" s="1521"/>
      <c r="O160" s="1521"/>
      <c r="P160" s="1521"/>
      <c r="Q160" s="1521"/>
      <c r="R160" s="1521"/>
      <c r="S160" s="1522"/>
      <c r="T160" s="1439"/>
      <c r="U160" s="1440"/>
      <c r="V160" s="1440"/>
      <c r="W160" s="1440"/>
      <c r="X160" s="1440"/>
      <c r="Y160" s="1440"/>
      <c r="Z160" s="1440"/>
      <c r="AA160" s="1440"/>
      <c r="AB160" s="1440"/>
      <c r="AC160" s="1440"/>
      <c r="AD160" s="1440"/>
      <c r="AE160" s="1440"/>
      <c r="AF160" s="1440"/>
      <c r="AG160" s="1440"/>
      <c r="AH160" s="1532"/>
      <c r="AI160" s="1440"/>
      <c r="AJ160" s="1712"/>
      <c r="AK160" s="1439"/>
      <c r="AL160" s="1440"/>
      <c r="AM160" s="1440"/>
      <c r="AN160" s="1440"/>
      <c r="AO160" s="1440"/>
      <c r="AP160" s="1440"/>
      <c r="AQ160" s="1440"/>
      <c r="AR160" s="1440"/>
      <c r="AS160" s="1440"/>
      <c r="AT160" s="1440"/>
      <c r="AU160" s="1440"/>
      <c r="AV160" s="1440"/>
      <c r="AW160" s="1440"/>
      <c r="AX160" s="1440"/>
      <c r="AY160" s="1440"/>
      <c r="AZ160" s="1440"/>
      <c r="BA160" s="1712"/>
      <c r="BB160" s="1439"/>
      <c r="BC160" s="1440"/>
      <c r="BD160" s="1440"/>
      <c r="BE160" s="1440"/>
      <c r="BF160" s="1440"/>
      <c r="BG160" s="1440"/>
      <c r="BH160" s="1440"/>
      <c r="BI160" s="1440"/>
      <c r="BJ160" s="1440"/>
      <c r="BK160" s="1688"/>
      <c r="BL160" s="1440"/>
      <c r="BM160" s="1440"/>
      <c r="BN160" s="1440"/>
      <c r="BO160" s="1440"/>
      <c r="BP160" s="1440"/>
      <c r="BQ160" s="1440"/>
      <c r="BR160" s="1441"/>
      <c r="BS160" s="1446"/>
      <c r="BT160" s="1447"/>
      <c r="BU160" s="1447"/>
      <c r="BV160" s="1447"/>
      <c r="BW160" s="1447"/>
      <c r="BX160" s="1447"/>
      <c r="BY160" s="1447"/>
      <c r="BZ160" s="1447"/>
      <c r="CA160" s="1447"/>
      <c r="CB160" s="1447"/>
      <c r="CC160" s="1447"/>
      <c r="CD160" s="1447"/>
      <c r="CE160" s="1447"/>
      <c r="CF160" s="1447"/>
      <c r="CG160" s="1447"/>
      <c r="CH160" s="1447"/>
      <c r="CI160" s="1448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5" t="s">
        <v>77</v>
      </c>
      <c r="B161" s="1430" t="str">
        <f t="shared" si="323"/>
        <v>BO</v>
      </c>
      <c r="C161" s="1523"/>
      <c r="D161" s="1524"/>
      <c r="E161" s="1524"/>
      <c r="F161" s="1524"/>
      <c r="G161" s="1524"/>
      <c r="H161" s="1524"/>
      <c r="I161" s="1524"/>
      <c r="J161" s="1524"/>
      <c r="K161" s="1524"/>
      <c r="L161" s="1737"/>
      <c r="M161" s="1524"/>
      <c r="N161" s="1524"/>
      <c r="O161" s="1524"/>
      <c r="P161" s="1524"/>
      <c r="Q161" s="1524"/>
      <c r="R161" s="1524"/>
      <c r="S161" s="1525"/>
      <c r="T161" s="1439"/>
      <c r="U161" s="1440"/>
      <c r="V161" s="1440"/>
      <c r="W161" s="1440"/>
      <c r="X161" s="1440"/>
      <c r="Y161" s="1440"/>
      <c r="Z161" s="1440"/>
      <c r="AA161" s="1440"/>
      <c r="AB161" s="1440"/>
      <c r="AC161" s="1440"/>
      <c r="AD161" s="1440"/>
      <c r="AE161" s="1440"/>
      <c r="AF161" s="1440"/>
      <c r="AG161" s="1440"/>
      <c r="AH161" s="1532"/>
      <c r="AI161" s="1440"/>
      <c r="AJ161" s="1712"/>
      <c r="AK161" s="1439"/>
      <c r="AL161" s="1440"/>
      <c r="AM161" s="1440"/>
      <c r="AN161" s="1440"/>
      <c r="AO161" s="1440"/>
      <c r="AP161" s="1440"/>
      <c r="AQ161" s="1440"/>
      <c r="AR161" s="1440"/>
      <c r="AS161" s="1440"/>
      <c r="AT161" s="1440"/>
      <c r="AU161" s="1440"/>
      <c r="AV161" s="1440"/>
      <c r="AW161" s="1440"/>
      <c r="AX161" s="1440"/>
      <c r="AY161" s="1440"/>
      <c r="AZ161" s="1440"/>
      <c r="BA161" s="1712"/>
      <c r="BB161" s="1439"/>
      <c r="BC161" s="1440"/>
      <c r="BD161" s="1440"/>
      <c r="BE161" s="1440"/>
      <c r="BF161" s="1440"/>
      <c r="BG161" s="1440"/>
      <c r="BH161" s="1440"/>
      <c r="BI161" s="1440"/>
      <c r="BJ161" s="1440"/>
      <c r="BK161" s="1688"/>
      <c r="BL161" s="1440"/>
      <c r="BM161" s="1440"/>
      <c r="BN161" s="1440"/>
      <c r="BO161" s="1440"/>
      <c r="BP161" s="1440"/>
      <c r="BQ161" s="1440"/>
      <c r="BR161" s="1441"/>
      <c r="BS161" s="1446"/>
      <c r="BT161" s="1447"/>
      <c r="BU161" s="1447"/>
      <c r="BV161" s="1447"/>
      <c r="BW161" s="1447"/>
      <c r="BX161" s="1447"/>
      <c r="BY161" s="1447"/>
      <c r="BZ161" s="1447"/>
      <c r="CA161" s="1447"/>
      <c r="CB161" s="1447"/>
      <c r="CC161" s="1447"/>
      <c r="CD161" s="1447"/>
      <c r="CE161" s="1447"/>
      <c r="CF161" s="1447"/>
      <c r="CG161" s="1447"/>
      <c r="CH161" s="1447"/>
      <c r="CI161" s="1448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5" t="s">
        <v>78</v>
      </c>
      <c r="B162" s="1430" t="str">
        <f t="shared" si="323"/>
        <v>BO</v>
      </c>
      <c r="C162" s="1523"/>
      <c r="D162" s="1524"/>
      <c r="E162" s="1524"/>
      <c r="F162" s="1524"/>
      <c r="G162" s="1524"/>
      <c r="H162" s="1524"/>
      <c r="I162" s="1524"/>
      <c r="J162" s="1524"/>
      <c r="K162" s="1524"/>
      <c r="L162" s="1737"/>
      <c r="M162" s="1524"/>
      <c r="N162" s="1524"/>
      <c r="O162" s="1524"/>
      <c r="P162" s="1524"/>
      <c r="Q162" s="1524"/>
      <c r="R162" s="1524"/>
      <c r="S162" s="1525"/>
      <c r="T162" s="1439"/>
      <c r="U162" s="1440"/>
      <c r="V162" s="1440"/>
      <c r="W162" s="1440"/>
      <c r="X162" s="1440"/>
      <c r="Y162" s="1440"/>
      <c r="Z162" s="1440"/>
      <c r="AA162" s="1440"/>
      <c r="AB162" s="1440"/>
      <c r="AC162" s="1440"/>
      <c r="AD162" s="1440"/>
      <c r="AE162" s="1440"/>
      <c r="AF162" s="1440"/>
      <c r="AG162" s="1440"/>
      <c r="AH162" s="1532"/>
      <c r="AI162" s="1440"/>
      <c r="AJ162" s="1712"/>
      <c r="AK162" s="1439"/>
      <c r="AL162" s="1440"/>
      <c r="AM162" s="1440"/>
      <c r="AN162" s="1440"/>
      <c r="AO162" s="1440"/>
      <c r="AP162" s="1440"/>
      <c r="AQ162" s="1440"/>
      <c r="AR162" s="1440"/>
      <c r="AS162" s="1440"/>
      <c r="AT162" s="1440"/>
      <c r="AU162" s="1440"/>
      <c r="AV162" s="1440"/>
      <c r="AW162" s="1440"/>
      <c r="AX162" s="1440"/>
      <c r="AY162" s="1440"/>
      <c r="AZ162" s="1440"/>
      <c r="BA162" s="1712"/>
      <c r="BB162" s="1439"/>
      <c r="BC162" s="1440"/>
      <c r="BD162" s="1440"/>
      <c r="BE162" s="1440"/>
      <c r="BF162" s="1440"/>
      <c r="BG162" s="1440"/>
      <c r="BH162" s="1440"/>
      <c r="BI162" s="1440"/>
      <c r="BJ162" s="1440"/>
      <c r="BK162" s="1688"/>
      <c r="BL162" s="1440"/>
      <c r="BM162" s="1440"/>
      <c r="BN162" s="1440"/>
      <c r="BO162" s="1440"/>
      <c r="BP162" s="1440"/>
      <c r="BQ162" s="1440"/>
      <c r="BR162" s="1441"/>
      <c r="BS162" s="1446"/>
      <c r="BT162" s="1447"/>
      <c r="BU162" s="1447"/>
      <c r="BV162" s="1447"/>
      <c r="BW162" s="1447"/>
      <c r="BX162" s="1447"/>
      <c r="BY162" s="1447"/>
      <c r="BZ162" s="1447"/>
      <c r="CA162" s="1447"/>
      <c r="CB162" s="1447"/>
      <c r="CC162" s="1447"/>
      <c r="CD162" s="1447"/>
      <c r="CE162" s="1447"/>
      <c r="CF162" s="1447"/>
      <c r="CG162" s="1447"/>
      <c r="CH162" s="1447"/>
      <c r="CI162" s="1448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5" t="s">
        <v>79</v>
      </c>
      <c r="B163" s="1430" t="str">
        <f t="shared" si="323"/>
        <v>BO</v>
      </c>
      <c r="C163" s="1523"/>
      <c r="D163" s="1524"/>
      <c r="E163" s="1524"/>
      <c r="F163" s="1524"/>
      <c r="G163" s="1524"/>
      <c r="H163" s="1524"/>
      <c r="I163" s="1524"/>
      <c r="J163" s="1524"/>
      <c r="K163" s="1524"/>
      <c r="L163" s="1737"/>
      <c r="M163" s="1524"/>
      <c r="N163" s="1524"/>
      <c r="O163" s="1524"/>
      <c r="P163" s="1524"/>
      <c r="Q163" s="1524"/>
      <c r="R163" s="1524"/>
      <c r="S163" s="1525"/>
      <c r="T163" s="1439"/>
      <c r="U163" s="1440"/>
      <c r="V163" s="1440"/>
      <c r="W163" s="1440"/>
      <c r="X163" s="1440"/>
      <c r="Y163" s="1440"/>
      <c r="Z163" s="1440"/>
      <c r="AA163" s="1440"/>
      <c r="AB163" s="1440"/>
      <c r="AC163" s="1440"/>
      <c r="AD163" s="1440"/>
      <c r="AE163" s="1440"/>
      <c r="AF163" s="1440"/>
      <c r="AG163" s="1440"/>
      <c r="AH163" s="1532"/>
      <c r="AI163" s="1440"/>
      <c r="AJ163" s="1712"/>
      <c r="AK163" s="1439"/>
      <c r="AL163" s="1440"/>
      <c r="AM163" s="1440"/>
      <c r="AN163" s="1440"/>
      <c r="AO163" s="1440"/>
      <c r="AP163" s="1440"/>
      <c r="AQ163" s="1440"/>
      <c r="AR163" s="1440"/>
      <c r="AS163" s="1440"/>
      <c r="AT163" s="1440"/>
      <c r="AU163" s="1440"/>
      <c r="AV163" s="1440"/>
      <c r="AW163" s="1440"/>
      <c r="AX163" s="1440"/>
      <c r="AY163" s="1440"/>
      <c r="AZ163" s="1440"/>
      <c r="BA163" s="1712"/>
      <c r="BB163" s="1439"/>
      <c r="BC163" s="1440"/>
      <c r="BD163" s="1440"/>
      <c r="BE163" s="1440"/>
      <c r="BF163" s="1440"/>
      <c r="BG163" s="1440"/>
      <c r="BH163" s="1440"/>
      <c r="BI163" s="1440"/>
      <c r="BJ163" s="1440"/>
      <c r="BK163" s="1688"/>
      <c r="BL163" s="1440"/>
      <c r="BM163" s="1440"/>
      <c r="BN163" s="1440"/>
      <c r="BO163" s="1440"/>
      <c r="BP163" s="1440"/>
      <c r="BQ163" s="1440"/>
      <c r="BR163" s="1441"/>
      <c r="BS163" s="1446"/>
      <c r="BT163" s="1447"/>
      <c r="BU163" s="1447"/>
      <c r="BV163" s="1447"/>
      <c r="BW163" s="1447"/>
      <c r="BX163" s="1447"/>
      <c r="BY163" s="1447"/>
      <c r="BZ163" s="1447"/>
      <c r="CA163" s="1447"/>
      <c r="CB163" s="1447"/>
      <c r="CC163" s="1447"/>
      <c r="CD163" s="1447"/>
      <c r="CE163" s="1447"/>
      <c r="CF163" s="1447"/>
      <c r="CG163" s="1447"/>
      <c r="CH163" s="1447"/>
      <c r="CI163" s="1448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5" t="s">
        <v>80</v>
      </c>
      <c r="B164" s="1430" t="str">
        <f t="shared" si="323"/>
        <v>BO</v>
      </c>
      <c r="C164" s="1523"/>
      <c r="D164" s="1524"/>
      <c r="E164" s="1524"/>
      <c r="F164" s="1524"/>
      <c r="G164" s="1524"/>
      <c r="H164" s="1524"/>
      <c r="I164" s="1524"/>
      <c r="J164" s="1524"/>
      <c r="K164" s="1524"/>
      <c r="L164" s="1737"/>
      <c r="M164" s="1524"/>
      <c r="N164" s="1524"/>
      <c r="O164" s="1524"/>
      <c r="P164" s="1524"/>
      <c r="Q164" s="1524"/>
      <c r="R164" s="1524"/>
      <c r="S164" s="1525"/>
      <c r="T164" s="1439"/>
      <c r="U164" s="1440"/>
      <c r="V164" s="1440"/>
      <c r="W164" s="1440"/>
      <c r="X164" s="1440"/>
      <c r="Y164" s="1440"/>
      <c r="Z164" s="1440"/>
      <c r="AA164" s="1440"/>
      <c r="AB164" s="1440"/>
      <c r="AC164" s="1440"/>
      <c r="AD164" s="1440"/>
      <c r="AE164" s="1440"/>
      <c r="AF164" s="1440"/>
      <c r="AG164" s="1440"/>
      <c r="AH164" s="1532"/>
      <c r="AI164" s="1440"/>
      <c r="AJ164" s="1712"/>
      <c r="AK164" s="1439"/>
      <c r="AL164" s="1440"/>
      <c r="AM164" s="1440"/>
      <c r="AN164" s="1440"/>
      <c r="AO164" s="1440"/>
      <c r="AP164" s="1440"/>
      <c r="AQ164" s="1440"/>
      <c r="AR164" s="1440"/>
      <c r="AS164" s="1440"/>
      <c r="AT164" s="1440"/>
      <c r="AU164" s="1440"/>
      <c r="AV164" s="1440"/>
      <c r="AW164" s="1440"/>
      <c r="AX164" s="1440"/>
      <c r="AY164" s="1440"/>
      <c r="AZ164" s="1440"/>
      <c r="BA164" s="1712"/>
      <c r="BB164" s="1439"/>
      <c r="BC164" s="1440"/>
      <c r="BD164" s="1440"/>
      <c r="BE164" s="1440"/>
      <c r="BF164" s="1440"/>
      <c r="BG164" s="1440"/>
      <c r="BH164" s="1440"/>
      <c r="BI164" s="1440"/>
      <c r="BJ164" s="1440"/>
      <c r="BK164" s="1688"/>
      <c r="BL164" s="1440"/>
      <c r="BM164" s="1440"/>
      <c r="BN164" s="1440"/>
      <c r="BO164" s="1440"/>
      <c r="BP164" s="1440"/>
      <c r="BQ164" s="1440"/>
      <c r="BR164" s="1441"/>
      <c r="BS164" s="1446"/>
      <c r="BT164" s="1447"/>
      <c r="BU164" s="1447"/>
      <c r="BV164" s="1447"/>
      <c r="BW164" s="1447"/>
      <c r="BX164" s="1447"/>
      <c r="BY164" s="1447"/>
      <c r="BZ164" s="1447"/>
      <c r="CA164" s="1447"/>
      <c r="CB164" s="1447"/>
      <c r="CC164" s="1447"/>
      <c r="CD164" s="1447"/>
      <c r="CE164" s="1447"/>
      <c r="CF164" s="1447"/>
      <c r="CG164" s="1447"/>
      <c r="CH164" s="1447"/>
      <c r="CI164" s="1448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8" t="s">
        <v>81</v>
      </c>
      <c r="B165" s="1430" t="str">
        <f t="shared" si="323"/>
        <v>BO</v>
      </c>
      <c r="C165" s="1526"/>
      <c r="D165" s="1527"/>
      <c r="E165" s="1527"/>
      <c r="F165" s="1527"/>
      <c r="G165" s="1527"/>
      <c r="H165" s="1527"/>
      <c r="I165" s="1527"/>
      <c r="J165" s="1527"/>
      <c r="K165" s="1527"/>
      <c r="L165" s="1738"/>
      <c r="M165" s="1527"/>
      <c r="N165" s="1527"/>
      <c r="O165" s="1527"/>
      <c r="P165" s="1527"/>
      <c r="Q165" s="1527"/>
      <c r="R165" s="1527"/>
      <c r="S165" s="1528"/>
      <c r="T165" s="1450"/>
      <c r="U165" s="1451"/>
      <c r="V165" s="1451"/>
      <c r="W165" s="1451"/>
      <c r="X165" s="1451"/>
      <c r="Y165" s="1451"/>
      <c r="Z165" s="1451"/>
      <c r="AA165" s="1451"/>
      <c r="AB165" s="1451"/>
      <c r="AC165" s="1451"/>
      <c r="AD165" s="1451"/>
      <c r="AE165" s="1451"/>
      <c r="AF165" s="1451"/>
      <c r="AG165" s="1451"/>
      <c r="AH165" s="1452"/>
      <c r="AI165" s="1451"/>
      <c r="AJ165" s="1702"/>
      <c r="AK165" s="1450"/>
      <c r="AL165" s="1451"/>
      <c r="AM165" s="1451"/>
      <c r="AN165" s="1451"/>
      <c r="AO165" s="1451"/>
      <c r="AP165" s="1451"/>
      <c r="AQ165" s="1451"/>
      <c r="AR165" s="1451"/>
      <c r="AS165" s="1451"/>
      <c r="AT165" s="1451"/>
      <c r="AU165" s="1451"/>
      <c r="AV165" s="1451"/>
      <c r="AW165" s="1451"/>
      <c r="AX165" s="1451"/>
      <c r="AY165" s="1451"/>
      <c r="AZ165" s="1451"/>
      <c r="BA165" s="1702"/>
      <c r="BB165" s="1450"/>
      <c r="BC165" s="1451"/>
      <c r="BD165" s="1451"/>
      <c r="BE165" s="1451"/>
      <c r="BF165" s="1451"/>
      <c r="BG165" s="1451"/>
      <c r="BH165" s="1451"/>
      <c r="BI165" s="1451"/>
      <c r="BJ165" s="1451"/>
      <c r="BK165" s="1690"/>
      <c r="BL165" s="1451"/>
      <c r="BM165" s="1451"/>
      <c r="BN165" s="1451"/>
      <c r="BO165" s="1451"/>
      <c r="BP165" s="1451"/>
      <c r="BQ165" s="1451"/>
      <c r="BR165" s="1453"/>
      <c r="BS165" s="1514" t="str">
        <f>IF(BS158="","",SUM(BS158,BS160,-BS161,-BS162,-BS163,BS164))</f>
        <v/>
      </c>
      <c r="BT165" s="1515" t="str">
        <f>IF(BT158="","",SUM(BT158,BT160,-BT161,-BT162,-BT163,BT164))</f>
        <v/>
      </c>
      <c r="BU165" s="1515" t="str">
        <f>IF(BU158="","",SUM(BU158,BU160,-BU161,-BU162,-BU163,BU164))</f>
        <v/>
      </c>
      <c r="BV165" s="1515" t="str">
        <f>IF(BV158="","",SUM(BV158,BV160,-BV161,-BV162,-BV163,BV164))</f>
        <v/>
      </c>
      <c r="BW165" s="1515"/>
      <c r="BX165" s="1515"/>
      <c r="BY165" s="1515" t="str">
        <f t="shared" ref="BY165:CI165" si="343">IF(BY158="","",SUM(BY158,BY160,-BY161,-BY162,-BY163,BY164))</f>
        <v/>
      </c>
      <c r="BZ165" s="1515" t="str">
        <f t="shared" si="343"/>
        <v/>
      </c>
      <c r="CA165" s="1515" t="str">
        <f t="shared" si="343"/>
        <v/>
      </c>
      <c r="CB165" s="1515" t="str">
        <f t="shared" si="343"/>
        <v/>
      </c>
      <c r="CC165" s="1515" t="str">
        <f t="shared" si="343"/>
        <v/>
      </c>
      <c r="CD165" s="1515" t="str">
        <f t="shared" si="343"/>
        <v/>
      </c>
      <c r="CE165" s="1515" t="str">
        <f t="shared" si="343"/>
        <v/>
      </c>
      <c r="CF165" s="1515" t="str">
        <f t="shared" si="343"/>
        <v/>
      </c>
      <c r="CG165" s="1515" t="str">
        <f t="shared" si="343"/>
        <v/>
      </c>
      <c r="CH165" s="1515" t="str">
        <f t="shared" si="343"/>
        <v/>
      </c>
      <c r="CI165" s="1515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4" t="s">
        <v>838</v>
      </c>
      <c r="B166" s="1421" t="str">
        <f>$B$9</f>
        <v>VP</v>
      </c>
      <c r="C166" s="1465">
        <v>0</v>
      </c>
      <c r="D166" s="1536">
        <v>0</v>
      </c>
      <c r="E166" s="1536">
        <v>0</v>
      </c>
      <c r="F166" s="1536">
        <v>0</v>
      </c>
      <c r="G166" s="1536">
        <v>0</v>
      </c>
      <c r="H166" s="1536">
        <v>0</v>
      </c>
      <c r="I166" s="1536"/>
      <c r="J166" s="1536"/>
      <c r="K166" s="1536">
        <v>0</v>
      </c>
      <c r="L166" s="1741"/>
      <c r="M166" s="1536"/>
      <c r="N166" s="1536"/>
      <c r="O166" s="1536"/>
      <c r="P166" s="1536"/>
      <c r="Q166" s="1536"/>
      <c r="R166" s="1536"/>
      <c r="S166" s="1537"/>
      <c r="T166" s="1422"/>
      <c r="U166" s="1423"/>
      <c r="V166" s="1423"/>
      <c r="W166" s="1423"/>
      <c r="X166" s="1423"/>
      <c r="Y166" s="1423"/>
      <c r="Z166" s="1423"/>
      <c r="AA166" s="1423"/>
      <c r="AB166" s="1423"/>
      <c r="AC166" s="1423"/>
      <c r="AD166" s="1423"/>
      <c r="AE166" s="1423"/>
      <c r="AF166" s="1423"/>
      <c r="AG166" s="1423"/>
      <c r="AH166" s="1424"/>
      <c r="AI166" s="1423"/>
      <c r="AJ166" s="1720"/>
      <c r="AK166" s="1427"/>
      <c r="AL166" s="1428"/>
      <c r="AM166" s="1428"/>
      <c r="AN166" s="1428"/>
      <c r="AO166" s="1428"/>
      <c r="AP166" s="1428"/>
      <c r="AQ166" s="1428"/>
      <c r="AR166" s="1428"/>
      <c r="AS166" s="1428"/>
      <c r="AT166" s="1428"/>
      <c r="AU166" s="1428"/>
      <c r="AV166" s="1428"/>
      <c r="AW166" s="1428"/>
      <c r="AX166" s="1428"/>
      <c r="AY166" s="1428"/>
      <c r="AZ166" s="1428"/>
      <c r="BA166" s="1711"/>
      <c r="BB166" s="1427"/>
      <c r="BC166" s="1428"/>
      <c r="BD166" s="1428"/>
      <c r="BE166" s="1428"/>
      <c r="BF166" s="1428"/>
      <c r="BG166" s="1428"/>
      <c r="BH166" s="1428"/>
      <c r="BI166" s="1428"/>
      <c r="BJ166" s="1428"/>
      <c r="BK166" s="1678"/>
      <c r="BL166" s="1428"/>
      <c r="BM166" s="1428"/>
      <c r="BN166" s="1428"/>
      <c r="BO166" s="1428"/>
      <c r="BP166" s="1428"/>
      <c r="BQ166" s="1428"/>
      <c r="BR166" s="1429"/>
      <c r="BS166" s="1427"/>
      <c r="BT166" s="1428"/>
      <c r="BU166" s="1428"/>
      <c r="BV166" s="1428"/>
      <c r="BW166" s="1428"/>
      <c r="BX166" s="1428"/>
      <c r="BY166" s="1428"/>
      <c r="BZ166" s="1428"/>
      <c r="CA166" s="1428"/>
      <c r="CB166" s="1428"/>
      <c r="CC166" s="1428"/>
      <c r="CD166" s="1428"/>
      <c r="CE166" s="1428"/>
      <c r="CF166" s="1428"/>
      <c r="CG166" s="1428"/>
      <c r="CH166" s="1428"/>
      <c r="CI166" s="1429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0"/>
      <c r="B167" s="1430" t="str">
        <f>$B$10</f>
        <v>P</v>
      </c>
      <c r="C167" s="1484">
        <v>0</v>
      </c>
      <c r="D167" s="1538">
        <v>0</v>
      </c>
      <c r="E167" s="1538">
        <v>0</v>
      </c>
      <c r="F167" s="1538">
        <v>0</v>
      </c>
      <c r="G167" s="1538">
        <v>0</v>
      </c>
      <c r="H167" s="1538">
        <v>0</v>
      </c>
      <c r="I167" s="1538"/>
      <c r="J167" s="1538"/>
      <c r="K167" s="1538">
        <v>0</v>
      </c>
      <c r="L167" s="1742"/>
      <c r="M167" s="1538"/>
      <c r="N167" s="1538"/>
      <c r="O167" s="1538"/>
      <c r="P167" s="1538"/>
      <c r="Q167" s="1538"/>
      <c r="R167" s="1538"/>
      <c r="S167" s="1539"/>
      <c r="T167" s="1431"/>
      <c r="U167" s="1432"/>
      <c r="V167" s="1432"/>
      <c r="W167" s="1432"/>
      <c r="X167" s="1432"/>
      <c r="Y167" s="1432"/>
      <c r="Z167" s="1432"/>
      <c r="AA167" s="1432"/>
      <c r="AB167" s="1432"/>
      <c r="AC167" s="1432"/>
      <c r="AD167" s="1432"/>
      <c r="AE167" s="1432"/>
      <c r="AF167" s="1432"/>
      <c r="AG167" s="1432"/>
      <c r="AH167" s="1433"/>
      <c r="AI167" s="1432"/>
      <c r="AJ167" s="1701"/>
      <c r="AK167" s="1446"/>
      <c r="AL167" s="1447"/>
      <c r="AM167" s="1447"/>
      <c r="AN167" s="1447"/>
      <c r="AO167" s="1447"/>
      <c r="AP167" s="1447"/>
      <c r="AQ167" s="1447"/>
      <c r="AR167" s="1447"/>
      <c r="AS167" s="1447"/>
      <c r="AT167" s="1447"/>
      <c r="AU167" s="1447"/>
      <c r="AV167" s="1447"/>
      <c r="AW167" s="1447"/>
      <c r="AX167" s="1447"/>
      <c r="AY167" s="1447"/>
      <c r="AZ167" s="1447"/>
      <c r="BA167" s="1708"/>
      <c r="BB167" s="1439"/>
      <c r="BC167" s="1440"/>
      <c r="BD167" s="1440"/>
      <c r="BE167" s="1440"/>
      <c r="BF167" s="1440"/>
      <c r="BG167" s="1440"/>
      <c r="BH167" s="1440"/>
      <c r="BI167" s="1440"/>
      <c r="BJ167" s="1440"/>
      <c r="BK167" s="1688"/>
      <c r="BL167" s="1440"/>
      <c r="BM167" s="1440"/>
      <c r="BN167" s="1440"/>
      <c r="BO167" s="1440"/>
      <c r="BP167" s="1440"/>
      <c r="BQ167" s="1440"/>
      <c r="BR167" s="1441"/>
      <c r="BS167" s="1439"/>
      <c r="BT167" s="1440"/>
      <c r="BU167" s="1440"/>
      <c r="BV167" s="1440"/>
      <c r="BW167" s="1440"/>
      <c r="BX167" s="1440"/>
      <c r="BY167" s="1440"/>
      <c r="BZ167" s="1440"/>
      <c r="CA167" s="1440"/>
      <c r="CB167" s="1440"/>
      <c r="CC167" s="1440"/>
      <c r="CD167" s="1440"/>
      <c r="CE167" s="1440"/>
      <c r="CF167" s="1440"/>
      <c r="CG167" s="1440"/>
      <c r="CH167" s="1440"/>
      <c r="CI167" s="1441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0"/>
      <c r="B168" s="1430" t="str">
        <f>$B$11</f>
        <v>M</v>
      </c>
      <c r="C168" s="1484">
        <v>5</v>
      </c>
      <c r="D168" s="1538">
        <v>2</v>
      </c>
      <c r="E168" s="1538">
        <v>4</v>
      </c>
      <c r="F168" s="1538">
        <v>1</v>
      </c>
      <c r="G168" s="1538">
        <v>0</v>
      </c>
      <c r="H168" s="1538">
        <v>4</v>
      </c>
      <c r="I168" s="1538"/>
      <c r="J168" s="1538">
        <v>2</v>
      </c>
      <c r="K168" s="1538">
        <v>0</v>
      </c>
      <c r="L168" s="1742"/>
      <c r="M168" s="1538"/>
      <c r="N168" s="1538"/>
      <c r="O168" s="1538"/>
      <c r="P168" s="1538"/>
      <c r="Q168" s="1538"/>
      <c r="R168" s="1538"/>
      <c r="S168" s="1539"/>
      <c r="T168" s="1442"/>
      <c r="U168" s="1443"/>
      <c r="V168" s="1443"/>
      <c r="W168" s="1443"/>
      <c r="X168" s="1443"/>
      <c r="Y168" s="1443"/>
      <c r="Z168" s="1443"/>
      <c r="AA168" s="1443"/>
      <c r="AB168" s="1443"/>
      <c r="AC168" s="1443"/>
      <c r="AD168" s="1443"/>
      <c r="AE168" s="1443"/>
      <c r="AF168" s="1443"/>
      <c r="AG168" s="1443"/>
      <c r="AH168" s="1444"/>
      <c r="AI168" s="1443"/>
      <c r="AJ168" s="1713"/>
      <c r="AK168" s="1431"/>
      <c r="AL168" s="1432"/>
      <c r="AM168" s="1432"/>
      <c r="AN168" s="1432"/>
      <c r="AO168" s="1432"/>
      <c r="AP168" s="1432"/>
      <c r="AQ168" s="1432"/>
      <c r="AR168" s="1432"/>
      <c r="AS168" s="1432"/>
      <c r="AT168" s="1432"/>
      <c r="AU168" s="1432"/>
      <c r="AV168" s="1432"/>
      <c r="AW168" s="1432"/>
      <c r="AX168" s="1432"/>
      <c r="AY168" s="1432"/>
      <c r="AZ168" s="1432"/>
      <c r="BA168" s="1701"/>
      <c r="BB168" s="1446">
        <v>3</v>
      </c>
      <c r="BC168" s="1447">
        <v>2</v>
      </c>
      <c r="BD168" s="1447">
        <v>2</v>
      </c>
      <c r="BE168" s="1447">
        <v>1</v>
      </c>
      <c r="BF168" s="1447">
        <v>12</v>
      </c>
      <c r="BG168" s="1447"/>
      <c r="BH168" s="1447"/>
      <c r="BI168" s="1447">
        <v>2</v>
      </c>
      <c r="BJ168" s="1447">
        <v>2</v>
      </c>
      <c r="BK168" s="1680"/>
      <c r="BL168" s="1447"/>
      <c r="BM168" s="1447"/>
      <c r="BN168" s="1447"/>
      <c r="BO168" s="1447"/>
      <c r="BP168" s="1447"/>
      <c r="BQ168" s="1447"/>
      <c r="BR168" s="1448"/>
      <c r="BS168" s="1439"/>
      <c r="BT168" s="1440"/>
      <c r="BU168" s="1440"/>
      <c r="BV168" s="1440"/>
      <c r="BW168" s="1440"/>
      <c r="BX168" s="1440"/>
      <c r="BY168" s="1440"/>
      <c r="BZ168" s="1440"/>
      <c r="CA168" s="1440"/>
      <c r="CB168" s="1440"/>
      <c r="CC168" s="1440"/>
      <c r="CD168" s="1440"/>
      <c r="CE168" s="1440"/>
      <c r="CF168" s="1440"/>
      <c r="CG168" s="1440"/>
      <c r="CH168" s="1440"/>
      <c r="CI168" s="1441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8"/>
      <c r="B169" s="1449" t="str">
        <f>$B$12</f>
        <v>BO</v>
      </c>
      <c r="C169" s="1359">
        <v>6</v>
      </c>
      <c r="D169" s="1540">
        <v>5</v>
      </c>
      <c r="E169" s="1540">
        <v>4</v>
      </c>
      <c r="F169" s="1540">
        <v>3</v>
      </c>
      <c r="G169" s="1540">
        <v>2</v>
      </c>
      <c r="H169" s="1540">
        <v>6</v>
      </c>
      <c r="I169" s="1540"/>
      <c r="J169" s="1540">
        <v>5</v>
      </c>
      <c r="K169" s="1540">
        <v>2</v>
      </c>
      <c r="L169" s="1743"/>
      <c r="M169" s="1540"/>
      <c r="N169" s="1540"/>
      <c r="O169" s="1540"/>
      <c r="P169" s="1540"/>
      <c r="Q169" s="1540"/>
      <c r="R169" s="1540"/>
      <c r="S169" s="1541"/>
      <c r="T169" s="1450"/>
      <c r="U169" s="1451"/>
      <c r="V169" s="1451"/>
      <c r="W169" s="1451"/>
      <c r="X169" s="1451"/>
      <c r="Y169" s="1451"/>
      <c r="Z169" s="1451"/>
      <c r="AA169" s="1451"/>
      <c r="AB169" s="1451"/>
      <c r="AC169" s="1451"/>
      <c r="AD169" s="1451"/>
      <c r="AE169" s="1451"/>
      <c r="AF169" s="1451"/>
      <c r="AG169" s="1451"/>
      <c r="AH169" s="1452"/>
      <c r="AI169" s="1451"/>
      <c r="AJ169" s="1702"/>
      <c r="AK169" s="1450"/>
      <c r="AL169" s="1451"/>
      <c r="AM169" s="1451"/>
      <c r="AN169" s="1451"/>
      <c r="AO169" s="1451"/>
      <c r="AP169" s="1451"/>
      <c r="AQ169" s="1451"/>
      <c r="AR169" s="1451"/>
      <c r="AS169" s="1451"/>
      <c r="AT169" s="1451"/>
      <c r="AU169" s="1451"/>
      <c r="AV169" s="1451"/>
      <c r="AW169" s="1451"/>
      <c r="AX169" s="1451"/>
      <c r="AY169" s="1451"/>
      <c r="AZ169" s="1451"/>
      <c r="BA169" s="1702"/>
      <c r="BB169" s="1454"/>
      <c r="BC169" s="1455"/>
      <c r="BD169" s="1455"/>
      <c r="BE169" s="1455"/>
      <c r="BF169" s="1455"/>
      <c r="BG169" s="1455"/>
      <c r="BH169" s="1455"/>
      <c r="BI169" s="1455"/>
      <c r="BJ169" s="1455"/>
      <c r="BK169" s="1681"/>
      <c r="BL169" s="1455"/>
      <c r="BM169" s="1455"/>
      <c r="BN169" s="1455"/>
      <c r="BO169" s="1455"/>
      <c r="BP169" s="1455"/>
      <c r="BQ169" s="1455"/>
      <c r="BR169" s="1456"/>
      <c r="BS169" s="1457">
        <v>6</v>
      </c>
      <c r="BT169" s="1458">
        <v>5</v>
      </c>
      <c r="BU169" s="1458">
        <v>10</v>
      </c>
      <c r="BV169" s="1458">
        <v>2</v>
      </c>
      <c r="BW169" s="1458">
        <v>4</v>
      </c>
      <c r="BX169" s="1458">
        <v>3</v>
      </c>
      <c r="BY169" s="1458"/>
      <c r="BZ169" s="1458">
        <v>4</v>
      </c>
      <c r="CA169" s="1458"/>
      <c r="CB169" s="1458"/>
      <c r="CC169" s="1458"/>
      <c r="CD169" s="1458"/>
      <c r="CE169" s="1458"/>
      <c r="CF169" s="1458"/>
      <c r="CG169" s="1458"/>
      <c r="CH169" s="1458"/>
      <c r="CI169" s="1459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4" t="s">
        <v>839</v>
      </c>
      <c r="B170" s="1421" t="str">
        <f>$B$9</f>
        <v>VP</v>
      </c>
      <c r="C170" s="1465">
        <v>3</v>
      </c>
      <c r="D170" s="1536">
        <v>2</v>
      </c>
      <c r="E170" s="1536">
        <v>1</v>
      </c>
      <c r="F170" s="1536">
        <v>2</v>
      </c>
      <c r="G170" s="1536">
        <v>4</v>
      </c>
      <c r="H170" s="1536">
        <v>2</v>
      </c>
      <c r="I170" s="1536">
        <v>4</v>
      </c>
      <c r="J170" s="1536">
        <v>2</v>
      </c>
      <c r="K170" s="1536">
        <v>0</v>
      </c>
      <c r="L170" s="1741"/>
      <c r="M170" s="1536"/>
      <c r="N170" s="1536"/>
      <c r="O170" s="1536"/>
      <c r="P170" s="1536"/>
      <c r="Q170" s="1536"/>
      <c r="R170" s="1536"/>
      <c r="S170" s="1537"/>
      <c r="T170" s="1422">
        <v>7</v>
      </c>
      <c r="U170" s="1423">
        <v>8</v>
      </c>
      <c r="V170" s="1423">
        <v>5</v>
      </c>
      <c r="W170" s="1423">
        <v>6</v>
      </c>
      <c r="X170" s="1423">
        <v>5</v>
      </c>
      <c r="Y170" s="1423">
        <v>3</v>
      </c>
      <c r="Z170" s="1423"/>
      <c r="AA170" s="1423">
        <v>2</v>
      </c>
      <c r="AB170" s="1423">
        <v>5</v>
      </c>
      <c r="AC170" s="1423"/>
      <c r="AD170" s="1423"/>
      <c r="AE170" s="1423"/>
      <c r="AF170" s="1423"/>
      <c r="AG170" s="1423"/>
      <c r="AH170" s="1424"/>
      <c r="AI170" s="1423"/>
      <c r="AJ170" s="1720"/>
      <c r="AK170" s="1427"/>
      <c r="AL170" s="1428"/>
      <c r="AM170" s="1428"/>
      <c r="AN170" s="1428"/>
      <c r="AO170" s="1428"/>
      <c r="AP170" s="1428"/>
      <c r="AQ170" s="1428"/>
      <c r="AR170" s="1428"/>
      <c r="AS170" s="1428"/>
      <c r="AT170" s="1428"/>
      <c r="AU170" s="1428"/>
      <c r="AV170" s="1428"/>
      <c r="AW170" s="1428"/>
      <c r="AX170" s="1428"/>
      <c r="AY170" s="1428"/>
      <c r="AZ170" s="1428"/>
      <c r="BA170" s="1711"/>
      <c r="BB170" s="1427"/>
      <c r="BC170" s="1428"/>
      <c r="BD170" s="1428"/>
      <c r="BE170" s="1428"/>
      <c r="BF170" s="1428"/>
      <c r="BG170" s="1428"/>
      <c r="BH170" s="1428"/>
      <c r="BI170" s="1428"/>
      <c r="BJ170" s="1428"/>
      <c r="BK170" s="1678"/>
      <c r="BL170" s="1428"/>
      <c r="BM170" s="1428"/>
      <c r="BN170" s="1428"/>
      <c r="BO170" s="1428"/>
      <c r="BP170" s="1428"/>
      <c r="BQ170" s="1428"/>
      <c r="BR170" s="1429"/>
      <c r="BS170" s="1427"/>
      <c r="BT170" s="1428"/>
      <c r="BU170" s="1428"/>
      <c r="BV170" s="1428"/>
      <c r="BW170" s="1428"/>
      <c r="BX170" s="1428"/>
      <c r="BY170" s="1428"/>
      <c r="BZ170" s="1428"/>
      <c r="CA170" s="1428"/>
      <c r="CB170" s="1428"/>
      <c r="CC170" s="1428"/>
      <c r="CD170" s="1428"/>
      <c r="CE170" s="1428"/>
      <c r="CF170" s="1428"/>
      <c r="CG170" s="1428"/>
      <c r="CH170" s="1428"/>
      <c r="CI170" s="1429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0"/>
      <c r="B171" s="1430" t="str">
        <f>$B$10</f>
        <v>P</v>
      </c>
      <c r="C171" s="1484">
        <v>7</v>
      </c>
      <c r="D171" s="1538">
        <v>5</v>
      </c>
      <c r="E171" s="1538">
        <v>2</v>
      </c>
      <c r="F171" s="1538">
        <v>3</v>
      </c>
      <c r="G171" s="1538">
        <v>8</v>
      </c>
      <c r="H171" s="1538">
        <v>10</v>
      </c>
      <c r="I171" s="1538">
        <v>10</v>
      </c>
      <c r="J171" s="1538">
        <v>5</v>
      </c>
      <c r="K171" s="1538">
        <v>3</v>
      </c>
      <c r="L171" s="1742"/>
      <c r="M171" s="1538"/>
      <c r="N171" s="1538"/>
      <c r="O171" s="1538"/>
      <c r="P171" s="1538"/>
      <c r="Q171" s="1538"/>
      <c r="R171" s="1538"/>
      <c r="S171" s="1539"/>
      <c r="T171" s="1431"/>
      <c r="U171" s="1432"/>
      <c r="V171" s="1432"/>
      <c r="W171" s="1432"/>
      <c r="X171" s="1432"/>
      <c r="Y171" s="1432"/>
      <c r="Z171" s="1432"/>
      <c r="AA171" s="1432"/>
      <c r="AB171" s="1432"/>
      <c r="AC171" s="1432"/>
      <c r="AD171" s="1432"/>
      <c r="AE171" s="1432"/>
      <c r="AF171" s="1432"/>
      <c r="AG171" s="1432"/>
      <c r="AH171" s="1433"/>
      <c r="AI171" s="1432"/>
      <c r="AJ171" s="1701"/>
      <c r="AK171" s="1446">
        <v>10</v>
      </c>
      <c r="AL171" s="1447">
        <v>8</v>
      </c>
      <c r="AM171" s="1447">
        <v>10</v>
      </c>
      <c r="AN171" s="1447">
        <v>20</v>
      </c>
      <c r="AO171" s="1447">
        <v>21</v>
      </c>
      <c r="AP171" s="1447">
        <v>13</v>
      </c>
      <c r="AQ171" s="1447">
        <v>10</v>
      </c>
      <c r="AR171" s="1447">
        <v>20</v>
      </c>
      <c r="AS171" s="1447">
        <v>10</v>
      </c>
      <c r="AT171" s="1447"/>
      <c r="AU171" s="1447"/>
      <c r="AV171" s="1447"/>
      <c r="AW171" s="1447"/>
      <c r="AX171" s="1447"/>
      <c r="AY171" s="1447"/>
      <c r="AZ171" s="1447"/>
      <c r="BA171" s="1708"/>
      <c r="BB171" s="1439"/>
      <c r="BC171" s="1440"/>
      <c r="BD171" s="1440"/>
      <c r="BE171" s="1440"/>
      <c r="BF171" s="1440"/>
      <c r="BG171" s="1440"/>
      <c r="BH171" s="1440"/>
      <c r="BI171" s="1440"/>
      <c r="BJ171" s="1440"/>
      <c r="BK171" s="1688"/>
      <c r="BL171" s="1440"/>
      <c r="BM171" s="1440"/>
      <c r="BN171" s="1440"/>
      <c r="BO171" s="1440"/>
      <c r="BP171" s="1440"/>
      <c r="BQ171" s="1440"/>
      <c r="BR171" s="1441"/>
      <c r="BS171" s="1439"/>
      <c r="BT171" s="1440"/>
      <c r="BU171" s="1440"/>
      <c r="BV171" s="1440"/>
      <c r="BW171" s="1440"/>
      <c r="BX171" s="1440"/>
      <c r="BY171" s="1440"/>
      <c r="BZ171" s="1440"/>
      <c r="CA171" s="1440"/>
      <c r="CB171" s="1440"/>
      <c r="CC171" s="1440"/>
      <c r="CD171" s="1440"/>
      <c r="CE171" s="1440"/>
      <c r="CF171" s="1440"/>
      <c r="CG171" s="1440"/>
      <c r="CH171" s="1440"/>
      <c r="CI171" s="1441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0"/>
      <c r="B172" s="1430" t="str">
        <f>$B$11</f>
        <v>M</v>
      </c>
      <c r="C172" s="1484">
        <v>20</v>
      </c>
      <c r="D172" s="1538">
        <v>18</v>
      </c>
      <c r="E172" s="1538">
        <v>15</v>
      </c>
      <c r="F172" s="1538">
        <v>10</v>
      </c>
      <c r="G172" s="1538">
        <v>15</v>
      </c>
      <c r="H172" s="1538">
        <v>15</v>
      </c>
      <c r="I172" s="1538">
        <v>20</v>
      </c>
      <c r="J172" s="1538">
        <v>18</v>
      </c>
      <c r="K172" s="1538">
        <v>6</v>
      </c>
      <c r="L172" s="1742"/>
      <c r="M172" s="1538"/>
      <c r="N172" s="1538"/>
      <c r="O172" s="1538"/>
      <c r="P172" s="1538"/>
      <c r="Q172" s="1538"/>
      <c r="R172" s="1538"/>
      <c r="S172" s="1539"/>
      <c r="T172" s="1442"/>
      <c r="U172" s="1443"/>
      <c r="V172" s="1443"/>
      <c r="W172" s="1443"/>
      <c r="X172" s="1443"/>
      <c r="Y172" s="1443"/>
      <c r="Z172" s="1443"/>
      <c r="AA172" s="1443"/>
      <c r="AB172" s="1443"/>
      <c r="AC172" s="1443"/>
      <c r="AD172" s="1443"/>
      <c r="AE172" s="1443"/>
      <c r="AF172" s="1443"/>
      <c r="AG172" s="1443"/>
      <c r="AH172" s="1444"/>
      <c r="AI172" s="1443"/>
      <c r="AJ172" s="1713"/>
      <c r="AK172" s="1431"/>
      <c r="AL172" s="1432"/>
      <c r="AM172" s="1432"/>
      <c r="AN172" s="1432"/>
      <c r="AO172" s="1432"/>
      <c r="AP172" s="1432"/>
      <c r="AQ172" s="1432"/>
      <c r="AR172" s="1432"/>
      <c r="AS172" s="1432"/>
      <c r="AT172" s="1432"/>
      <c r="AU172" s="1432"/>
      <c r="AV172" s="1432"/>
      <c r="AW172" s="1432"/>
      <c r="AX172" s="1432"/>
      <c r="AY172" s="1432"/>
      <c r="AZ172" s="1432"/>
      <c r="BA172" s="1701"/>
      <c r="BB172" s="1446">
        <v>20</v>
      </c>
      <c r="BC172" s="1447">
        <v>15</v>
      </c>
      <c r="BD172" s="1542">
        <v>20</v>
      </c>
      <c r="BE172" s="1447">
        <v>20</v>
      </c>
      <c r="BF172" s="1447">
        <v>15</v>
      </c>
      <c r="BG172" s="1447">
        <v>10</v>
      </c>
      <c r="BH172" s="1447">
        <v>25</v>
      </c>
      <c r="BI172" s="1447">
        <v>15</v>
      </c>
      <c r="BJ172" s="1447">
        <v>50</v>
      </c>
      <c r="BK172" s="1680"/>
      <c r="BL172" s="1447"/>
      <c r="BM172" s="1447"/>
      <c r="BN172" s="1447"/>
      <c r="BO172" s="1447"/>
      <c r="BP172" s="1447"/>
      <c r="BQ172" s="1447"/>
      <c r="BR172" s="1448"/>
      <c r="BS172" s="1439"/>
      <c r="BT172" s="1440"/>
      <c r="BU172" s="1440"/>
      <c r="BV172" s="1440"/>
      <c r="BW172" s="1440"/>
      <c r="BX172" s="1440"/>
      <c r="BY172" s="1440"/>
      <c r="BZ172" s="1440"/>
      <c r="CA172" s="1440"/>
      <c r="CB172" s="1440"/>
      <c r="CC172" s="1440"/>
      <c r="CD172" s="1440"/>
      <c r="CE172" s="1440"/>
      <c r="CF172" s="1440"/>
      <c r="CG172" s="1440"/>
      <c r="CH172" s="1440"/>
      <c r="CI172" s="1441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8"/>
      <c r="B173" s="1449" t="str">
        <f>$B$12</f>
        <v>BO</v>
      </c>
      <c r="C173" s="1359">
        <v>25</v>
      </c>
      <c r="D173" s="1540">
        <v>26</v>
      </c>
      <c r="E173" s="1540">
        <v>30</v>
      </c>
      <c r="F173" s="1540">
        <v>20</v>
      </c>
      <c r="G173" s="1540">
        <v>25</v>
      </c>
      <c r="H173" s="1540">
        <v>20</v>
      </c>
      <c r="I173" s="1540">
        <v>35</v>
      </c>
      <c r="J173" s="1540">
        <v>35</v>
      </c>
      <c r="K173" s="1540">
        <v>20</v>
      </c>
      <c r="L173" s="1743"/>
      <c r="M173" s="1540"/>
      <c r="N173" s="1540"/>
      <c r="O173" s="1540"/>
      <c r="P173" s="1540"/>
      <c r="Q173" s="1540"/>
      <c r="R173" s="1540"/>
      <c r="S173" s="1541"/>
      <c r="T173" s="1450"/>
      <c r="U173" s="1451"/>
      <c r="V173" s="1451"/>
      <c r="W173" s="1451"/>
      <c r="X173" s="1451"/>
      <c r="Y173" s="1451"/>
      <c r="Z173" s="1451"/>
      <c r="AA173" s="1451"/>
      <c r="AB173" s="1451"/>
      <c r="AC173" s="1451"/>
      <c r="AD173" s="1451"/>
      <c r="AE173" s="1451"/>
      <c r="AF173" s="1451"/>
      <c r="AG173" s="1451"/>
      <c r="AH173" s="1452"/>
      <c r="AI173" s="1451"/>
      <c r="AJ173" s="1702"/>
      <c r="AK173" s="1450"/>
      <c r="AL173" s="1451"/>
      <c r="AM173" s="1451"/>
      <c r="AN173" s="1451"/>
      <c r="AO173" s="1451"/>
      <c r="AP173" s="1451"/>
      <c r="AQ173" s="1451"/>
      <c r="AR173" s="1451"/>
      <c r="AS173" s="1451"/>
      <c r="AT173" s="1451"/>
      <c r="AU173" s="1451"/>
      <c r="AV173" s="1451"/>
      <c r="AW173" s="1451"/>
      <c r="AX173" s="1451"/>
      <c r="AY173" s="1451"/>
      <c r="AZ173" s="1451"/>
      <c r="BA173" s="1702"/>
      <c r="BB173" s="1454"/>
      <c r="BC173" s="1455"/>
      <c r="BD173" s="1455"/>
      <c r="BE173" s="1455"/>
      <c r="BF173" s="1455"/>
      <c r="BG173" s="1455"/>
      <c r="BH173" s="1455"/>
      <c r="BI173" s="1455"/>
      <c r="BJ173" s="1455"/>
      <c r="BK173" s="1681"/>
      <c r="BL173" s="1455"/>
      <c r="BM173" s="1455"/>
      <c r="BN173" s="1455"/>
      <c r="BO173" s="1455"/>
      <c r="BP173" s="1455"/>
      <c r="BQ173" s="1455"/>
      <c r="BR173" s="1456"/>
      <c r="BS173" s="1457">
        <v>20</v>
      </c>
      <c r="BT173" s="1458">
        <v>15</v>
      </c>
      <c r="BU173" s="1458">
        <v>20</v>
      </c>
      <c r="BV173" s="1458">
        <v>20</v>
      </c>
      <c r="BW173" s="1458">
        <v>18</v>
      </c>
      <c r="BX173" s="1458">
        <v>12</v>
      </c>
      <c r="BY173" s="1458">
        <v>20</v>
      </c>
      <c r="BZ173" s="1458">
        <v>18</v>
      </c>
      <c r="CA173" s="1458">
        <v>30</v>
      </c>
      <c r="CB173" s="1458"/>
      <c r="CC173" s="1458"/>
      <c r="CD173" s="1458"/>
      <c r="CE173" s="1458"/>
      <c r="CF173" s="1458"/>
      <c r="CG173" s="1458"/>
      <c r="CH173" s="1458"/>
      <c r="CI173" s="1459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5" t="s">
        <v>893</v>
      </c>
      <c r="B174" s="1421" t="str">
        <f>$B$9</f>
        <v>VP</v>
      </c>
      <c r="C174" s="1465"/>
      <c r="D174" s="1536"/>
      <c r="E174" s="1536"/>
      <c r="F174" s="1536"/>
      <c r="G174" s="1536"/>
      <c r="H174" s="1536"/>
      <c r="I174" s="1536"/>
      <c r="J174" s="1536"/>
      <c r="K174" s="1536"/>
      <c r="L174" s="1741"/>
      <c r="M174" s="1536"/>
      <c r="N174" s="1536"/>
      <c r="O174" s="1536"/>
      <c r="P174" s="1536"/>
      <c r="Q174" s="1536"/>
      <c r="R174" s="1536"/>
      <c r="S174" s="1537"/>
      <c r="T174" s="1422"/>
      <c r="U174" s="1423"/>
      <c r="V174" s="1423"/>
      <c r="W174" s="1423"/>
      <c r="X174" s="1423"/>
      <c r="Y174" s="1423"/>
      <c r="Z174" s="1423">
        <v>2</v>
      </c>
      <c r="AA174" s="1423"/>
      <c r="AB174" s="1423"/>
      <c r="AC174" s="1423"/>
      <c r="AD174" s="1423"/>
      <c r="AE174" s="1423"/>
      <c r="AF174" s="1423"/>
      <c r="AG174" s="1423"/>
      <c r="AH174" s="1424"/>
      <c r="AI174" s="1423"/>
      <c r="AJ174" s="1720"/>
      <c r="AK174" s="1427"/>
      <c r="AL174" s="1428"/>
      <c r="AM174" s="1428"/>
      <c r="AN174" s="1428"/>
      <c r="AO174" s="1428"/>
      <c r="AP174" s="1428"/>
      <c r="AQ174" s="1428"/>
      <c r="AR174" s="1428"/>
      <c r="AS174" s="1428"/>
      <c r="AT174" s="1428"/>
      <c r="AU174" s="1428"/>
      <c r="AV174" s="1428"/>
      <c r="AW174" s="1428"/>
      <c r="AX174" s="1428"/>
      <c r="AY174" s="1428"/>
      <c r="AZ174" s="1428"/>
      <c r="BA174" s="1711"/>
      <c r="BB174" s="1427"/>
      <c r="BC174" s="1428"/>
      <c r="BD174" s="1428"/>
      <c r="BE174" s="1428"/>
      <c r="BF174" s="1428"/>
      <c r="BG174" s="1428"/>
      <c r="BH174" s="1428"/>
      <c r="BI174" s="1428"/>
      <c r="BJ174" s="1428"/>
      <c r="BK174" s="1678"/>
      <c r="BL174" s="1428"/>
      <c r="BM174" s="1428"/>
      <c r="BN174" s="1428"/>
      <c r="BO174" s="1428"/>
      <c r="BP174" s="1428"/>
      <c r="BQ174" s="1428"/>
      <c r="BR174" s="1429"/>
      <c r="BS174" s="1427"/>
      <c r="BT174" s="1428"/>
      <c r="BU174" s="1428"/>
      <c r="BV174" s="1428"/>
      <c r="BW174" s="1428"/>
      <c r="BX174" s="1428"/>
      <c r="BY174" s="1428"/>
      <c r="BZ174" s="1428"/>
      <c r="CA174" s="1428"/>
      <c r="CB174" s="1428"/>
      <c r="CC174" s="1428"/>
      <c r="CD174" s="1428"/>
      <c r="CE174" s="1428"/>
      <c r="CF174" s="1428"/>
      <c r="CG174" s="1428"/>
      <c r="CH174" s="1428"/>
      <c r="CI174" s="1429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7"/>
      <c r="B175" s="1430" t="str">
        <f>$B$10</f>
        <v>P</v>
      </c>
      <c r="C175" s="1484"/>
      <c r="D175" s="1538"/>
      <c r="E175" s="1538"/>
      <c r="F175" s="1538"/>
      <c r="G175" s="1538"/>
      <c r="H175" s="1538"/>
      <c r="I175" s="1538"/>
      <c r="J175" s="1538"/>
      <c r="K175" s="1538"/>
      <c r="L175" s="1742"/>
      <c r="M175" s="1538"/>
      <c r="N175" s="1538"/>
      <c r="O175" s="1538"/>
      <c r="P175" s="1538"/>
      <c r="Q175" s="1538"/>
      <c r="R175" s="1538"/>
      <c r="S175" s="1539"/>
      <c r="T175" s="1431"/>
      <c r="U175" s="1432"/>
      <c r="V175" s="1432"/>
      <c r="W175" s="1432"/>
      <c r="X175" s="1432"/>
      <c r="Y175" s="1432"/>
      <c r="Z175" s="1432"/>
      <c r="AA175" s="1432"/>
      <c r="AB175" s="1432"/>
      <c r="AC175" s="1432"/>
      <c r="AD175" s="1432"/>
      <c r="AE175" s="1432"/>
      <c r="AF175" s="1432"/>
      <c r="AG175" s="1432"/>
      <c r="AH175" s="1433"/>
      <c r="AI175" s="1432"/>
      <c r="AJ175" s="1701"/>
      <c r="AK175" s="1446"/>
      <c r="AL175" s="1447"/>
      <c r="AM175" s="1447"/>
      <c r="AN175" s="1447"/>
      <c r="AO175" s="1447"/>
      <c r="AP175" s="1447"/>
      <c r="AQ175" s="1447"/>
      <c r="AR175" s="1447"/>
      <c r="AS175" s="1447"/>
      <c r="AT175" s="1447"/>
      <c r="AU175" s="1447"/>
      <c r="AV175" s="1447"/>
      <c r="AW175" s="1447"/>
      <c r="AX175" s="1447"/>
      <c r="AY175" s="1447"/>
      <c r="AZ175" s="1447"/>
      <c r="BA175" s="1708"/>
      <c r="BB175" s="1439"/>
      <c r="BC175" s="1440"/>
      <c r="BD175" s="1440"/>
      <c r="BE175" s="1440"/>
      <c r="BF175" s="1440"/>
      <c r="BG175" s="1440"/>
      <c r="BH175" s="1440"/>
      <c r="BI175" s="1440"/>
      <c r="BJ175" s="1440"/>
      <c r="BK175" s="1688"/>
      <c r="BL175" s="1440"/>
      <c r="BM175" s="1440"/>
      <c r="BN175" s="1440"/>
      <c r="BO175" s="1440"/>
      <c r="BP175" s="1440"/>
      <c r="BQ175" s="1440"/>
      <c r="BR175" s="1441"/>
      <c r="BS175" s="1439"/>
      <c r="BT175" s="1440"/>
      <c r="BU175" s="1440"/>
      <c r="BV175" s="1440"/>
      <c r="BW175" s="1440"/>
      <c r="BX175" s="1440"/>
      <c r="BY175" s="1440"/>
      <c r="BZ175" s="1440"/>
      <c r="CA175" s="1440"/>
      <c r="CB175" s="1440"/>
      <c r="CC175" s="1440"/>
      <c r="CD175" s="1440"/>
      <c r="CE175" s="1440"/>
      <c r="CF175" s="1440"/>
      <c r="CG175" s="1440"/>
      <c r="CH175" s="1440"/>
      <c r="CI175" s="1441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7"/>
      <c r="B176" s="1430" t="str">
        <f>$B$11</f>
        <v>M</v>
      </c>
      <c r="C176" s="1484"/>
      <c r="D176" s="1538"/>
      <c r="E176" s="1538"/>
      <c r="F176" s="1538"/>
      <c r="G176" s="1538"/>
      <c r="H176" s="1538"/>
      <c r="I176" s="1538"/>
      <c r="J176" s="1538"/>
      <c r="K176" s="1538"/>
      <c r="L176" s="1742"/>
      <c r="M176" s="1538"/>
      <c r="N176" s="1538"/>
      <c r="O176" s="1538"/>
      <c r="P176" s="1538"/>
      <c r="Q176" s="1538"/>
      <c r="R176" s="1538"/>
      <c r="S176" s="1539"/>
      <c r="T176" s="1442"/>
      <c r="U176" s="1443"/>
      <c r="V176" s="1443"/>
      <c r="W176" s="1443"/>
      <c r="X176" s="1443"/>
      <c r="Y176" s="1443"/>
      <c r="Z176" s="1443"/>
      <c r="AA176" s="1443"/>
      <c r="AB176" s="1443"/>
      <c r="AC176" s="1443"/>
      <c r="AD176" s="1443"/>
      <c r="AE176" s="1443"/>
      <c r="AF176" s="1443"/>
      <c r="AG176" s="1443"/>
      <c r="AH176" s="1444"/>
      <c r="AI176" s="1443"/>
      <c r="AJ176" s="1713"/>
      <c r="AK176" s="1431"/>
      <c r="AL176" s="1432"/>
      <c r="AM176" s="1432"/>
      <c r="AN176" s="1432"/>
      <c r="AO176" s="1432"/>
      <c r="AP176" s="1432"/>
      <c r="AQ176" s="1432"/>
      <c r="AR176" s="1432"/>
      <c r="AS176" s="1432"/>
      <c r="AT176" s="1432"/>
      <c r="AU176" s="1432"/>
      <c r="AV176" s="1432"/>
      <c r="AW176" s="1432"/>
      <c r="AX176" s="1432"/>
      <c r="AY176" s="1432"/>
      <c r="AZ176" s="1432"/>
      <c r="BA176" s="1701"/>
      <c r="BB176" s="1446"/>
      <c r="BC176" s="1447"/>
      <c r="BD176" s="1447"/>
      <c r="BE176" s="1447"/>
      <c r="BF176" s="1447"/>
      <c r="BG176" s="1447"/>
      <c r="BH176" s="1447"/>
      <c r="BI176" s="1447"/>
      <c r="BJ176" s="1447"/>
      <c r="BK176" s="1680"/>
      <c r="BL176" s="1447"/>
      <c r="BM176" s="1447"/>
      <c r="BN176" s="1447"/>
      <c r="BO176" s="1447"/>
      <c r="BP176" s="1447"/>
      <c r="BQ176" s="1447"/>
      <c r="BR176" s="1448"/>
      <c r="BS176" s="1439"/>
      <c r="BT176" s="1440"/>
      <c r="BU176" s="1440"/>
      <c r="BV176" s="1440"/>
      <c r="BW176" s="1440"/>
      <c r="BX176" s="1440"/>
      <c r="BY176" s="1440"/>
      <c r="BZ176" s="1440"/>
      <c r="CA176" s="1440"/>
      <c r="CB176" s="1440"/>
      <c r="CC176" s="1440"/>
      <c r="CD176" s="1440"/>
      <c r="CE176" s="1440"/>
      <c r="CF176" s="1440"/>
      <c r="CG176" s="1440"/>
      <c r="CH176" s="1440"/>
      <c r="CI176" s="1441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7"/>
      <c r="B177" s="1449" t="str">
        <f>$B$12</f>
        <v>BO</v>
      </c>
      <c r="C177" s="1359"/>
      <c r="D177" s="1540"/>
      <c r="E177" s="1540"/>
      <c r="F177" s="1540"/>
      <c r="G177" s="1540"/>
      <c r="H177" s="1540"/>
      <c r="I177" s="1540"/>
      <c r="J177" s="1540"/>
      <c r="K177" s="1540"/>
      <c r="L177" s="1743"/>
      <c r="M177" s="1540"/>
      <c r="N177" s="1540"/>
      <c r="O177" s="1540"/>
      <c r="P177" s="1540"/>
      <c r="Q177" s="1540"/>
      <c r="R177" s="1540"/>
      <c r="S177" s="1541"/>
      <c r="T177" s="1450"/>
      <c r="U177" s="1451"/>
      <c r="V177" s="1451"/>
      <c r="W177" s="1451"/>
      <c r="X177" s="1451"/>
      <c r="Y177" s="1451"/>
      <c r="Z177" s="1451"/>
      <c r="AA177" s="1451"/>
      <c r="AB177" s="1451"/>
      <c r="AC177" s="1451"/>
      <c r="AD177" s="1451"/>
      <c r="AE177" s="1451"/>
      <c r="AF177" s="1451"/>
      <c r="AG177" s="1451"/>
      <c r="AH177" s="1452"/>
      <c r="AI177" s="1451"/>
      <c r="AJ177" s="1702"/>
      <c r="AK177" s="1450"/>
      <c r="AL177" s="1451"/>
      <c r="AM177" s="1451"/>
      <c r="AN177" s="1451"/>
      <c r="AO177" s="1451"/>
      <c r="AP177" s="1451"/>
      <c r="AQ177" s="1451"/>
      <c r="AR177" s="1451"/>
      <c r="AS177" s="1451"/>
      <c r="AT177" s="1451"/>
      <c r="AU177" s="1451"/>
      <c r="AV177" s="1451"/>
      <c r="AW177" s="1451"/>
      <c r="AX177" s="1451"/>
      <c r="AY177" s="1451"/>
      <c r="AZ177" s="1451"/>
      <c r="BA177" s="1702"/>
      <c r="BB177" s="1454"/>
      <c r="BC177" s="1455"/>
      <c r="BD177" s="1455"/>
      <c r="BE177" s="1455"/>
      <c r="BF177" s="1455"/>
      <c r="BG177" s="1455"/>
      <c r="BH177" s="1455"/>
      <c r="BI177" s="1455"/>
      <c r="BJ177" s="1455"/>
      <c r="BK177" s="1681"/>
      <c r="BL177" s="1455"/>
      <c r="BM177" s="1455"/>
      <c r="BN177" s="1455"/>
      <c r="BO177" s="1455"/>
      <c r="BP177" s="1455"/>
      <c r="BQ177" s="1455"/>
      <c r="BR177" s="1456"/>
      <c r="BS177" s="1457"/>
      <c r="BT177" s="1458"/>
      <c r="BU177" s="1458"/>
      <c r="BV177" s="1458"/>
      <c r="BW177" s="1458"/>
      <c r="BX177" s="1458"/>
      <c r="BY177" s="1458"/>
      <c r="BZ177" s="1458"/>
      <c r="CA177" s="1458"/>
      <c r="CB177" s="1458"/>
      <c r="CC177" s="1458"/>
      <c r="CD177" s="1458"/>
      <c r="CE177" s="1458"/>
      <c r="CF177" s="1458"/>
      <c r="CG177" s="1458"/>
      <c r="CH177" s="1458"/>
      <c r="CI177" s="1459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5" t="s">
        <v>894</v>
      </c>
      <c r="B178" s="1421" t="str">
        <f>$B$9</f>
        <v>VP</v>
      </c>
      <c r="C178" s="1465"/>
      <c r="D178" s="1389"/>
      <c r="E178" s="1389"/>
      <c r="F178" s="1389"/>
      <c r="G178" s="1389"/>
      <c r="H178" s="1389"/>
      <c r="I178" s="1389"/>
      <c r="J178" s="1389"/>
      <c r="K178" s="1389"/>
      <c r="L178" s="1728"/>
      <c r="M178" s="1389"/>
      <c r="N178" s="1389"/>
      <c r="O178" s="1389"/>
      <c r="P178" s="1389"/>
      <c r="Q178" s="1389"/>
      <c r="R178" s="1389"/>
      <c r="S178" s="1390"/>
      <c r="T178" s="1422"/>
      <c r="U178" s="1423"/>
      <c r="V178" s="1423"/>
      <c r="W178" s="1423"/>
      <c r="X178" s="1423"/>
      <c r="Y178" s="1423"/>
      <c r="Z178" s="1423"/>
      <c r="AA178" s="1423"/>
      <c r="AB178" s="1423"/>
      <c r="AC178" s="1543"/>
      <c r="AD178" s="1543"/>
      <c r="AE178" s="1543"/>
      <c r="AF178" s="1543"/>
      <c r="AG178" s="1423"/>
      <c r="AH178" s="1424"/>
      <c r="AI178" s="1423"/>
      <c r="AJ178" s="1720"/>
      <c r="AK178" s="1427"/>
      <c r="AL178" s="1428"/>
      <c r="AM178" s="1428"/>
      <c r="AN178" s="1428"/>
      <c r="AO178" s="1428"/>
      <c r="AP178" s="1428"/>
      <c r="AQ178" s="1428"/>
      <c r="AR178" s="1428"/>
      <c r="AS178" s="1428"/>
      <c r="AT178" s="1428"/>
      <c r="AU178" s="1428"/>
      <c r="AV178" s="1428"/>
      <c r="AW178" s="1428"/>
      <c r="AX178" s="1428"/>
      <c r="AY178" s="1428"/>
      <c r="AZ178" s="1428"/>
      <c r="BA178" s="1711"/>
      <c r="BB178" s="1427"/>
      <c r="BC178" s="1428"/>
      <c r="BD178" s="1428"/>
      <c r="BE178" s="1428"/>
      <c r="BF178" s="1428"/>
      <c r="BG178" s="1428"/>
      <c r="BH178" s="1428"/>
      <c r="BI178" s="1428"/>
      <c r="BJ178" s="1428"/>
      <c r="BK178" s="1678"/>
      <c r="BL178" s="1428"/>
      <c r="BM178" s="1428"/>
      <c r="BN178" s="1428"/>
      <c r="BO178" s="1428"/>
      <c r="BP178" s="1428"/>
      <c r="BQ178" s="1428"/>
      <c r="BR178" s="1429"/>
      <c r="BS178" s="1427"/>
      <c r="BT178" s="1428"/>
      <c r="BU178" s="1428"/>
      <c r="BV178" s="1428"/>
      <c r="BW178" s="1428"/>
      <c r="BX178" s="1428"/>
      <c r="BY178" s="1428"/>
      <c r="BZ178" s="1428"/>
      <c r="CA178" s="1428"/>
      <c r="CB178" s="1428"/>
      <c r="CC178" s="1428"/>
      <c r="CD178" s="1428"/>
      <c r="CE178" s="1428"/>
      <c r="CF178" s="1428"/>
      <c r="CG178" s="1428"/>
      <c r="CH178" s="1428"/>
      <c r="CI178" s="1429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7"/>
      <c r="B179" s="1430" t="str">
        <f>$B$10</f>
        <v>P</v>
      </c>
      <c r="C179" s="1466"/>
      <c r="D179" s="1400"/>
      <c r="E179" s="1400"/>
      <c r="F179" s="1400"/>
      <c r="G179" s="1400"/>
      <c r="H179" s="1400"/>
      <c r="I179" s="1400"/>
      <c r="J179" s="1400"/>
      <c r="K179" s="1400"/>
      <c r="L179" s="1729"/>
      <c r="M179" s="1400"/>
      <c r="N179" s="1400"/>
      <c r="O179" s="1400"/>
      <c r="P179" s="1400"/>
      <c r="Q179" s="1400"/>
      <c r="R179" s="1400"/>
      <c r="S179" s="1401"/>
      <c r="T179" s="1431"/>
      <c r="U179" s="1432"/>
      <c r="V179" s="1432"/>
      <c r="W179" s="1432"/>
      <c r="X179" s="1432"/>
      <c r="Y179" s="1432"/>
      <c r="Z179" s="1432"/>
      <c r="AA179" s="1432"/>
      <c r="AB179" s="1432"/>
      <c r="AC179" s="1432"/>
      <c r="AD179" s="1432"/>
      <c r="AE179" s="1432"/>
      <c r="AF179" s="1432"/>
      <c r="AG179" s="1432"/>
      <c r="AH179" s="1433"/>
      <c r="AI179" s="1432"/>
      <c r="AJ179" s="1701"/>
      <c r="AK179" s="1446"/>
      <c r="AL179" s="1447"/>
      <c r="AM179" s="1447"/>
      <c r="AN179" s="1447"/>
      <c r="AO179" s="1447"/>
      <c r="AP179" s="1447"/>
      <c r="AQ179" s="1447"/>
      <c r="AR179" s="1447"/>
      <c r="AS179" s="1447"/>
      <c r="AT179" s="1447"/>
      <c r="AU179" s="1447"/>
      <c r="AV179" s="1506"/>
      <c r="AW179" s="1447"/>
      <c r="AX179" s="1506"/>
      <c r="AY179" s="1447"/>
      <c r="AZ179" s="1447"/>
      <c r="BA179" s="1708"/>
      <c r="BB179" s="1439"/>
      <c r="BC179" s="1440"/>
      <c r="BD179" s="1440"/>
      <c r="BE179" s="1440"/>
      <c r="BF179" s="1440"/>
      <c r="BG179" s="1440"/>
      <c r="BH179" s="1440"/>
      <c r="BI179" s="1440"/>
      <c r="BJ179" s="1440"/>
      <c r="BK179" s="1688"/>
      <c r="BL179" s="1440"/>
      <c r="BM179" s="1440"/>
      <c r="BN179" s="1440"/>
      <c r="BO179" s="1440"/>
      <c r="BP179" s="1440"/>
      <c r="BQ179" s="1440"/>
      <c r="BR179" s="1441"/>
      <c r="BS179" s="1439"/>
      <c r="BT179" s="1440"/>
      <c r="BU179" s="1440"/>
      <c r="BV179" s="1440"/>
      <c r="BW179" s="1440"/>
      <c r="BX179" s="1440"/>
      <c r="BY179" s="1440"/>
      <c r="BZ179" s="1440"/>
      <c r="CA179" s="1440"/>
      <c r="CB179" s="1440"/>
      <c r="CC179" s="1440"/>
      <c r="CD179" s="1440"/>
      <c r="CE179" s="1440"/>
      <c r="CF179" s="1440"/>
      <c r="CG179" s="1440"/>
      <c r="CH179" s="1440"/>
      <c r="CI179" s="1441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7"/>
      <c r="B180" s="1430" t="str">
        <f>$B$11</f>
        <v>M</v>
      </c>
      <c r="C180" s="1466"/>
      <c r="D180" s="1400"/>
      <c r="E180" s="1400"/>
      <c r="F180" s="1400"/>
      <c r="G180" s="1400"/>
      <c r="H180" s="1400"/>
      <c r="I180" s="1400"/>
      <c r="J180" s="1400"/>
      <c r="K180" s="1400"/>
      <c r="L180" s="1729"/>
      <c r="M180" s="1400"/>
      <c r="N180" s="1400"/>
      <c r="O180" s="1400"/>
      <c r="P180" s="1400"/>
      <c r="Q180" s="1400"/>
      <c r="R180" s="1400"/>
      <c r="S180" s="1401"/>
      <c r="T180" s="1442"/>
      <c r="U180" s="1443"/>
      <c r="V180" s="1443"/>
      <c r="W180" s="1443"/>
      <c r="X180" s="1443"/>
      <c r="Y180" s="1443"/>
      <c r="Z180" s="1443"/>
      <c r="AA180" s="1443"/>
      <c r="AB180" s="1443"/>
      <c r="AC180" s="1443"/>
      <c r="AD180" s="1443"/>
      <c r="AE180" s="1443"/>
      <c r="AF180" s="1443"/>
      <c r="AG180" s="1443"/>
      <c r="AH180" s="1444"/>
      <c r="AI180" s="1443"/>
      <c r="AJ180" s="1713"/>
      <c r="AK180" s="1431"/>
      <c r="AL180" s="1432"/>
      <c r="AM180" s="1432"/>
      <c r="AN180" s="1432"/>
      <c r="AO180" s="1432"/>
      <c r="AP180" s="1432"/>
      <c r="AQ180" s="1432"/>
      <c r="AR180" s="1432"/>
      <c r="AS180" s="1432"/>
      <c r="AT180" s="1432"/>
      <c r="AU180" s="1432"/>
      <c r="AV180" s="1432"/>
      <c r="AW180" s="1432"/>
      <c r="AX180" s="1432"/>
      <c r="AY180" s="1432"/>
      <c r="AZ180" s="1432"/>
      <c r="BA180" s="1701"/>
      <c r="BB180" s="1446"/>
      <c r="BC180" s="1447"/>
      <c r="BD180" s="1447"/>
      <c r="BE180" s="1447"/>
      <c r="BF180" s="1447"/>
      <c r="BG180" s="1447"/>
      <c r="BH180" s="1447"/>
      <c r="BI180" s="1447"/>
      <c r="BJ180" s="1447"/>
      <c r="BK180" s="1680"/>
      <c r="BL180" s="1447"/>
      <c r="BM180" s="1447"/>
      <c r="BN180" s="1447"/>
      <c r="BO180" s="1447"/>
      <c r="BP180" s="1447"/>
      <c r="BQ180" s="1447"/>
      <c r="BR180" s="1448"/>
      <c r="BS180" s="1439"/>
      <c r="BT180" s="1440"/>
      <c r="BU180" s="1440"/>
      <c r="BV180" s="1440"/>
      <c r="BW180" s="1440"/>
      <c r="BX180" s="1440"/>
      <c r="BY180" s="1440"/>
      <c r="BZ180" s="1440"/>
      <c r="CA180" s="1440"/>
      <c r="CB180" s="1440"/>
      <c r="CC180" s="1440"/>
      <c r="CD180" s="1440"/>
      <c r="CE180" s="1440"/>
      <c r="CF180" s="1440"/>
      <c r="CG180" s="1440"/>
      <c r="CH180" s="1440"/>
      <c r="CI180" s="1441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7"/>
      <c r="B181" s="1449" t="str">
        <f>$B$12</f>
        <v>BO</v>
      </c>
      <c r="C181" s="1359"/>
      <c r="D181" s="1360"/>
      <c r="E181" s="1360"/>
      <c r="F181" s="1360"/>
      <c r="G181" s="1360"/>
      <c r="H181" s="1360"/>
      <c r="I181" s="1360"/>
      <c r="J181" s="1360"/>
      <c r="K181" s="1360"/>
      <c r="L181" s="1726"/>
      <c r="M181" s="1360"/>
      <c r="N181" s="1360"/>
      <c r="O181" s="1360"/>
      <c r="P181" s="1360"/>
      <c r="Q181" s="1360"/>
      <c r="R181" s="1360"/>
      <c r="S181" s="1362"/>
      <c r="T181" s="1450"/>
      <c r="U181" s="1451"/>
      <c r="V181" s="1451"/>
      <c r="W181" s="1451"/>
      <c r="X181" s="1451"/>
      <c r="Y181" s="1451"/>
      <c r="Z181" s="1451"/>
      <c r="AA181" s="1451"/>
      <c r="AB181" s="1451"/>
      <c r="AC181" s="1451"/>
      <c r="AD181" s="1451"/>
      <c r="AE181" s="1451"/>
      <c r="AF181" s="1451"/>
      <c r="AG181" s="1451"/>
      <c r="AH181" s="1452"/>
      <c r="AI181" s="1451"/>
      <c r="AJ181" s="1702"/>
      <c r="AK181" s="1450"/>
      <c r="AL181" s="1451"/>
      <c r="AM181" s="1451"/>
      <c r="AN181" s="1451"/>
      <c r="AO181" s="1451"/>
      <c r="AP181" s="1451"/>
      <c r="AQ181" s="1451"/>
      <c r="AR181" s="1451"/>
      <c r="AS181" s="1451"/>
      <c r="AT181" s="1451"/>
      <c r="AU181" s="1451"/>
      <c r="AV181" s="1451"/>
      <c r="AW181" s="1451"/>
      <c r="AX181" s="1451"/>
      <c r="AY181" s="1451"/>
      <c r="AZ181" s="1451"/>
      <c r="BA181" s="1702"/>
      <c r="BB181" s="1450"/>
      <c r="BC181" s="1451"/>
      <c r="BD181" s="1451"/>
      <c r="BE181" s="1451"/>
      <c r="BF181" s="1451"/>
      <c r="BG181" s="1451"/>
      <c r="BH181" s="1451"/>
      <c r="BI181" s="1451"/>
      <c r="BJ181" s="1451"/>
      <c r="BK181" s="1690"/>
      <c r="BL181" s="1451"/>
      <c r="BM181" s="1451"/>
      <c r="BN181" s="1451"/>
      <c r="BO181" s="1451"/>
      <c r="BP181" s="1451"/>
      <c r="BQ181" s="1451"/>
      <c r="BR181" s="1453"/>
      <c r="BS181" s="1457"/>
      <c r="BT181" s="1458"/>
      <c r="BU181" s="1458"/>
      <c r="BV181" s="1458"/>
      <c r="BW181" s="1458"/>
      <c r="BX181" s="1458">
        <v>1</v>
      </c>
      <c r="BY181" s="1458"/>
      <c r="BZ181" s="1458"/>
      <c r="CA181" s="1458"/>
      <c r="CB181" s="1458"/>
      <c r="CC181" s="1458"/>
      <c r="CD181" s="1458"/>
      <c r="CE181" s="1458"/>
      <c r="CF181" s="1458"/>
      <c r="CG181" s="1458"/>
      <c r="CH181" s="1458"/>
      <c r="CI181" s="1459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4" t="s">
        <v>895</v>
      </c>
      <c r="B182" s="1421" t="str">
        <f>$B$9</f>
        <v>VP</v>
      </c>
      <c r="C182" s="1465">
        <v>3</v>
      </c>
      <c r="D182" s="1389">
        <v>5</v>
      </c>
      <c r="E182" s="1389">
        <v>2</v>
      </c>
      <c r="F182" s="1389">
        <v>4</v>
      </c>
      <c r="G182" s="1389">
        <v>6</v>
      </c>
      <c r="H182" s="1389">
        <v>5</v>
      </c>
      <c r="I182" s="1389">
        <v>2</v>
      </c>
      <c r="J182" s="1389">
        <v>4</v>
      </c>
      <c r="K182" s="1389">
        <v>2</v>
      </c>
      <c r="L182" s="1728"/>
      <c r="M182" s="1389"/>
      <c r="N182" s="1389"/>
      <c r="O182" s="1389"/>
      <c r="P182" s="1389"/>
      <c r="Q182" s="1389"/>
      <c r="R182" s="1389"/>
      <c r="S182" s="1390"/>
      <c r="T182" s="1422">
        <v>12</v>
      </c>
      <c r="U182" s="1423">
        <v>9</v>
      </c>
      <c r="V182" s="1423">
        <v>3</v>
      </c>
      <c r="W182" s="1423">
        <v>6</v>
      </c>
      <c r="X182" s="1423">
        <v>4</v>
      </c>
      <c r="Y182" s="1423">
        <v>4</v>
      </c>
      <c r="Z182" s="1423">
        <v>1</v>
      </c>
      <c r="AA182" s="1423">
        <v>10</v>
      </c>
      <c r="AB182" s="1423">
        <v>5</v>
      </c>
      <c r="AC182" s="1543"/>
      <c r="AD182" s="1543"/>
      <c r="AE182" s="1543"/>
      <c r="AF182" s="1543"/>
      <c r="AG182" s="1423"/>
      <c r="AH182" s="1424"/>
      <c r="AI182" s="1423"/>
      <c r="AJ182" s="1720"/>
      <c r="AK182" s="1427"/>
      <c r="AL182" s="1428"/>
      <c r="AM182" s="1428"/>
      <c r="AN182" s="1428"/>
      <c r="AO182" s="1428"/>
      <c r="AP182" s="1428"/>
      <c r="AQ182" s="1428"/>
      <c r="AR182" s="1428"/>
      <c r="AS182" s="1428"/>
      <c r="AT182" s="1428"/>
      <c r="AU182" s="1428"/>
      <c r="AV182" s="1428"/>
      <c r="AW182" s="1428"/>
      <c r="AX182" s="1428"/>
      <c r="AY182" s="1428"/>
      <c r="AZ182" s="1428"/>
      <c r="BA182" s="1711"/>
      <c r="BB182" s="1427"/>
      <c r="BC182" s="1428"/>
      <c r="BD182" s="1428"/>
      <c r="BE182" s="1428"/>
      <c r="BF182" s="1428"/>
      <c r="BG182" s="1428"/>
      <c r="BH182" s="1428"/>
      <c r="BI182" s="1428"/>
      <c r="BJ182" s="1428"/>
      <c r="BK182" s="1678"/>
      <c r="BL182" s="1428"/>
      <c r="BM182" s="1428"/>
      <c r="BN182" s="1428"/>
      <c r="BO182" s="1428"/>
      <c r="BP182" s="1428"/>
      <c r="BQ182" s="1428"/>
      <c r="BR182" s="1429"/>
      <c r="BS182" s="1427"/>
      <c r="BT182" s="1428"/>
      <c r="BU182" s="1428"/>
      <c r="BV182" s="1428"/>
      <c r="BW182" s="1428"/>
      <c r="BX182" s="1428"/>
      <c r="BY182" s="1428"/>
      <c r="BZ182" s="1428"/>
      <c r="CA182" s="1428"/>
      <c r="CB182" s="1428"/>
      <c r="CC182" s="1428"/>
      <c r="CD182" s="1428"/>
      <c r="CE182" s="1428"/>
      <c r="CF182" s="1428"/>
      <c r="CG182" s="1428"/>
      <c r="CH182" s="1428"/>
      <c r="CI182" s="1429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7"/>
      <c r="B183" s="1430" t="str">
        <f>$B$10</f>
        <v>P</v>
      </c>
      <c r="C183" s="1466">
        <v>5</v>
      </c>
      <c r="D183" s="1400">
        <v>6</v>
      </c>
      <c r="E183" s="1400">
        <v>5</v>
      </c>
      <c r="F183" s="1400">
        <v>7</v>
      </c>
      <c r="G183" s="1400">
        <v>8</v>
      </c>
      <c r="H183" s="1400">
        <v>9</v>
      </c>
      <c r="I183" s="1400">
        <v>4</v>
      </c>
      <c r="J183" s="1400">
        <v>6</v>
      </c>
      <c r="K183" s="1400">
        <v>2</v>
      </c>
      <c r="L183" s="1729"/>
      <c r="M183" s="1400"/>
      <c r="N183" s="1400"/>
      <c r="O183" s="1400"/>
      <c r="P183" s="1400"/>
      <c r="Q183" s="1400"/>
      <c r="R183" s="1400"/>
      <c r="S183" s="1401"/>
      <c r="T183" s="1431"/>
      <c r="U183" s="1432"/>
      <c r="V183" s="1432"/>
      <c r="W183" s="1432"/>
      <c r="X183" s="1432"/>
      <c r="Y183" s="1432"/>
      <c r="Z183" s="1432"/>
      <c r="AA183" s="1432"/>
      <c r="AB183" s="1432"/>
      <c r="AC183" s="1432"/>
      <c r="AD183" s="1432"/>
      <c r="AE183" s="1432"/>
      <c r="AF183" s="1432"/>
      <c r="AG183" s="1432"/>
      <c r="AH183" s="1433"/>
      <c r="AI183" s="1432"/>
      <c r="AJ183" s="1701"/>
      <c r="AK183" s="1446">
        <v>11</v>
      </c>
      <c r="AL183" s="1447">
        <v>3</v>
      </c>
      <c r="AM183" s="1447">
        <v>20</v>
      </c>
      <c r="AN183" s="1447">
        <v>6</v>
      </c>
      <c r="AO183" s="1447">
        <v>5</v>
      </c>
      <c r="AP183" s="1447">
        <v>5</v>
      </c>
      <c r="AQ183" s="1447">
        <v>10</v>
      </c>
      <c r="AR183" s="1447">
        <v>15</v>
      </c>
      <c r="AS183" s="1447">
        <v>6</v>
      </c>
      <c r="AT183" s="1447"/>
      <c r="AU183" s="1447"/>
      <c r="AV183" s="1506"/>
      <c r="AW183" s="1447"/>
      <c r="AX183" s="1506"/>
      <c r="AY183" s="1447"/>
      <c r="AZ183" s="1447"/>
      <c r="BA183" s="1708"/>
      <c r="BB183" s="1439"/>
      <c r="BC183" s="1440"/>
      <c r="BD183" s="1440"/>
      <c r="BE183" s="1440"/>
      <c r="BF183" s="1440"/>
      <c r="BG183" s="1440"/>
      <c r="BH183" s="1440"/>
      <c r="BI183" s="1440"/>
      <c r="BJ183" s="1440"/>
      <c r="BK183" s="1688"/>
      <c r="BL183" s="1440"/>
      <c r="BM183" s="1440"/>
      <c r="BN183" s="1440"/>
      <c r="BO183" s="1440"/>
      <c r="BP183" s="1440"/>
      <c r="BQ183" s="1440"/>
      <c r="BR183" s="1441"/>
      <c r="BS183" s="1439"/>
      <c r="BT183" s="1440"/>
      <c r="BU183" s="1440"/>
      <c r="BV183" s="1440"/>
      <c r="BW183" s="1440"/>
      <c r="BX183" s="1440"/>
      <c r="BY183" s="1440"/>
      <c r="BZ183" s="1440"/>
      <c r="CA183" s="1440"/>
      <c r="CB183" s="1440"/>
      <c r="CC183" s="1440"/>
      <c r="CD183" s="1440"/>
      <c r="CE183" s="1440"/>
      <c r="CF183" s="1440"/>
      <c r="CG183" s="1440"/>
      <c r="CH183" s="1440"/>
      <c r="CI183" s="1441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7"/>
      <c r="B184" s="1430" t="str">
        <f>$B$11</f>
        <v>M</v>
      </c>
      <c r="C184" s="1466">
        <v>8</v>
      </c>
      <c r="D184" s="1400">
        <v>10</v>
      </c>
      <c r="E184" s="1400">
        <v>7</v>
      </c>
      <c r="F184" s="1400">
        <v>9</v>
      </c>
      <c r="G184" s="1400">
        <v>11</v>
      </c>
      <c r="H184" s="1400">
        <v>13</v>
      </c>
      <c r="I184" s="1400">
        <v>10</v>
      </c>
      <c r="J184" s="1400">
        <v>10</v>
      </c>
      <c r="K184" s="1400">
        <v>8</v>
      </c>
      <c r="L184" s="1729"/>
      <c r="M184" s="1400"/>
      <c r="N184" s="1400"/>
      <c r="O184" s="1400"/>
      <c r="P184" s="1400"/>
      <c r="Q184" s="1400"/>
      <c r="R184" s="1400"/>
      <c r="S184" s="1401"/>
      <c r="T184" s="1442"/>
      <c r="U184" s="1443"/>
      <c r="V184" s="1443"/>
      <c r="W184" s="1443"/>
      <c r="X184" s="1443"/>
      <c r="Y184" s="1443"/>
      <c r="Z184" s="1443"/>
      <c r="AA184" s="1443"/>
      <c r="AB184" s="1443"/>
      <c r="AC184" s="1443"/>
      <c r="AD184" s="1443"/>
      <c r="AE184" s="1443"/>
      <c r="AF184" s="1443"/>
      <c r="AG184" s="1443"/>
      <c r="AH184" s="1444"/>
      <c r="AI184" s="1443"/>
      <c r="AJ184" s="1713"/>
      <c r="AK184" s="1431"/>
      <c r="AL184" s="1432"/>
      <c r="AM184" s="1432"/>
      <c r="AN184" s="1432"/>
      <c r="AO184" s="1432"/>
      <c r="AP184" s="1432"/>
      <c r="AQ184" s="1432"/>
      <c r="AR184" s="1432"/>
      <c r="AS184" s="1432"/>
      <c r="AT184" s="1432"/>
      <c r="AU184" s="1432"/>
      <c r="AV184" s="1432"/>
      <c r="AW184" s="1432"/>
      <c r="AX184" s="1432"/>
      <c r="AY184" s="1432"/>
      <c r="AZ184" s="1432"/>
      <c r="BA184" s="1701"/>
      <c r="BB184" s="1446">
        <v>23</v>
      </c>
      <c r="BC184" s="1447">
        <v>16</v>
      </c>
      <c r="BD184" s="1447">
        <v>14</v>
      </c>
      <c r="BE184" s="1447">
        <v>13</v>
      </c>
      <c r="BF184" s="1447">
        <v>13</v>
      </c>
      <c r="BG184" s="1447">
        <v>12</v>
      </c>
      <c r="BH184" s="1447">
        <v>10</v>
      </c>
      <c r="BI184" s="1447">
        <v>17</v>
      </c>
      <c r="BJ184" s="1447">
        <v>19</v>
      </c>
      <c r="BK184" s="1680"/>
      <c r="BL184" s="1447"/>
      <c r="BM184" s="1447"/>
      <c r="BN184" s="1447"/>
      <c r="BO184" s="1447"/>
      <c r="BP184" s="1447"/>
      <c r="BQ184" s="1447"/>
      <c r="BR184" s="1448"/>
      <c r="BS184" s="1439"/>
      <c r="BT184" s="1440"/>
      <c r="BU184" s="1440"/>
      <c r="BV184" s="1440"/>
      <c r="BW184" s="1440"/>
      <c r="BX184" s="1440"/>
      <c r="BY184" s="1440"/>
      <c r="BZ184" s="1440"/>
      <c r="CA184" s="1440"/>
      <c r="CB184" s="1440"/>
      <c r="CC184" s="1440"/>
      <c r="CD184" s="1440"/>
      <c r="CE184" s="1440"/>
      <c r="CF184" s="1440"/>
      <c r="CG184" s="1440"/>
      <c r="CH184" s="1440"/>
      <c r="CI184" s="1441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7"/>
      <c r="B185" s="1449" t="str">
        <f>$B$12</f>
        <v>BO</v>
      </c>
      <c r="C185" s="1359">
        <v>9</v>
      </c>
      <c r="D185" s="1360">
        <v>12</v>
      </c>
      <c r="E185" s="1360">
        <v>9</v>
      </c>
      <c r="F185" s="1360">
        <v>13</v>
      </c>
      <c r="G185" s="1360">
        <v>14</v>
      </c>
      <c r="H185" s="1360">
        <v>17</v>
      </c>
      <c r="I185" s="1360">
        <v>15</v>
      </c>
      <c r="J185" s="1360">
        <v>12</v>
      </c>
      <c r="K185" s="1360">
        <v>21</v>
      </c>
      <c r="L185" s="1726"/>
      <c r="M185" s="1360"/>
      <c r="N185" s="1360"/>
      <c r="O185" s="1360"/>
      <c r="P185" s="1360"/>
      <c r="Q185" s="1360"/>
      <c r="R185" s="1360"/>
      <c r="S185" s="1362"/>
      <c r="T185" s="1450"/>
      <c r="U185" s="1451"/>
      <c r="V185" s="1451"/>
      <c r="W185" s="1451"/>
      <c r="X185" s="1451"/>
      <c r="Y185" s="1451"/>
      <c r="Z185" s="1451"/>
      <c r="AA185" s="1451"/>
      <c r="AB185" s="1451"/>
      <c r="AC185" s="1451"/>
      <c r="AD185" s="1451"/>
      <c r="AE185" s="1451"/>
      <c r="AF185" s="1451"/>
      <c r="AG185" s="1451"/>
      <c r="AH185" s="1452"/>
      <c r="AI185" s="1451"/>
      <c r="AJ185" s="1702"/>
      <c r="AK185" s="1450"/>
      <c r="AL185" s="1451"/>
      <c r="AM185" s="1451"/>
      <c r="AN185" s="1451"/>
      <c r="AO185" s="1451"/>
      <c r="AP185" s="1451"/>
      <c r="AQ185" s="1451"/>
      <c r="AR185" s="1451"/>
      <c r="AS185" s="1451"/>
      <c r="AT185" s="1451"/>
      <c r="AU185" s="1451"/>
      <c r="AV185" s="1451"/>
      <c r="AW185" s="1451"/>
      <c r="AX185" s="1451"/>
      <c r="AY185" s="1451"/>
      <c r="AZ185" s="1451"/>
      <c r="BA185" s="1702"/>
      <c r="BB185" s="1450"/>
      <c r="BC185" s="1451"/>
      <c r="BD185" s="1451"/>
      <c r="BE185" s="1451"/>
      <c r="BF185" s="1451"/>
      <c r="BG185" s="1451"/>
      <c r="BH185" s="1451"/>
      <c r="BI185" s="1451"/>
      <c r="BJ185" s="1451"/>
      <c r="BK185" s="1690"/>
      <c r="BL185" s="1451"/>
      <c r="BM185" s="1451"/>
      <c r="BN185" s="1451"/>
      <c r="BO185" s="1451"/>
      <c r="BP185" s="1451"/>
      <c r="BQ185" s="1451"/>
      <c r="BR185" s="1453"/>
      <c r="BS185" s="1457">
        <v>11</v>
      </c>
      <c r="BT185" s="1458">
        <v>10</v>
      </c>
      <c r="BU185" s="1458">
        <v>16</v>
      </c>
      <c r="BV185" s="1458">
        <v>19</v>
      </c>
      <c r="BW185" s="1458">
        <v>19</v>
      </c>
      <c r="BX185" s="1458">
        <v>15</v>
      </c>
      <c r="BY185" s="1458">
        <v>10</v>
      </c>
      <c r="BZ185" s="1458">
        <v>13</v>
      </c>
      <c r="CA185" s="1458">
        <v>17</v>
      </c>
      <c r="CB185" s="1458"/>
      <c r="CC185" s="1458"/>
      <c r="CD185" s="1458"/>
      <c r="CE185" s="1458"/>
      <c r="CF185" s="1458"/>
      <c r="CG185" s="1458"/>
      <c r="CH185" s="1458"/>
      <c r="CI185" s="1459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5" t="s">
        <v>896</v>
      </c>
      <c r="B186" s="1421" t="str">
        <f>$B$9</f>
        <v>VP</v>
      </c>
      <c r="C186" s="1465"/>
      <c r="D186" s="1389"/>
      <c r="E186" s="1389"/>
      <c r="F186" s="1389"/>
      <c r="G186" s="1389"/>
      <c r="H186" s="1389"/>
      <c r="I186" s="1389"/>
      <c r="J186" s="1389"/>
      <c r="K186" s="1389"/>
      <c r="L186" s="1728"/>
      <c r="M186" s="1389"/>
      <c r="N186" s="1389"/>
      <c r="O186" s="1389"/>
      <c r="P186" s="1389"/>
      <c r="Q186" s="1389"/>
      <c r="R186" s="1389"/>
      <c r="S186" s="1390"/>
      <c r="T186" s="1422"/>
      <c r="U186" s="1423"/>
      <c r="V186" s="1423"/>
      <c r="W186" s="1423"/>
      <c r="X186" s="1423"/>
      <c r="Y186" s="1423"/>
      <c r="Z186" s="1423"/>
      <c r="AA186" s="1423"/>
      <c r="AB186" s="1423"/>
      <c r="AC186" s="1543"/>
      <c r="AD186" s="1543"/>
      <c r="AE186" s="1543"/>
      <c r="AF186" s="1543"/>
      <c r="AG186" s="1423"/>
      <c r="AH186" s="1424"/>
      <c r="AI186" s="1423"/>
      <c r="AJ186" s="1720"/>
      <c r="AK186" s="1427"/>
      <c r="AL186" s="1428"/>
      <c r="AM186" s="1428"/>
      <c r="AN186" s="1428"/>
      <c r="AO186" s="1428"/>
      <c r="AP186" s="1428"/>
      <c r="AQ186" s="1428"/>
      <c r="AR186" s="1428"/>
      <c r="AS186" s="1428"/>
      <c r="AT186" s="1428"/>
      <c r="AU186" s="1428"/>
      <c r="AV186" s="1428"/>
      <c r="AW186" s="1428"/>
      <c r="AX186" s="1428"/>
      <c r="AY186" s="1428"/>
      <c r="AZ186" s="1428"/>
      <c r="BA186" s="1711"/>
      <c r="BB186" s="1427"/>
      <c r="BC186" s="1428"/>
      <c r="BD186" s="1428"/>
      <c r="BE186" s="1428"/>
      <c r="BF186" s="1428"/>
      <c r="BG186" s="1428"/>
      <c r="BH186" s="1428"/>
      <c r="BI186" s="1428"/>
      <c r="BJ186" s="1428"/>
      <c r="BK186" s="1678"/>
      <c r="BL186" s="1428"/>
      <c r="BM186" s="1428"/>
      <c r="BN186" s="1428"/>
      <c r="BO186" s="1428"/>
      <c r="BP186" s="1428"/>
      <c r="BQ186" s="1428"/>
      <c r="BR186" s="1429"/>
      <c r="BS186" s="1427"/>
      <c r="BT186" s="1428"/>
      <c r="BU186" s="1428"/>
      <c r="BV186" s="1428"/>
      <c r="BW186" s="1428"/>
      <c r="BX186" s="1428"/>
      <c r="BY186" s="1428"/>
      <c r="BZ186" s="1428"/>
      <c r="CA186" s="1428"/>
      <c r="CB186" s="1428"/>
      <c r="CC186" s="1428"/>
      <c r="CD186" s="1428"/>
      <c r="CE186" s="1428"/>
      <c r="CF186" s="1428"/>
      <c r="CG186" s="1428"/>
      <c r="CH186" s="1428"/>
      <c r="CI186" s="1429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7"/>
      <c r="B187" s="1430" t="str">
        <f>$B$10</f>
        <v>P</v>
      </c>
      <c r="C187" s="1466"/>
      <c r="D187" s="1400"/>
      <c r="E187" s="1400"/>
      <c r="F187" s="1400"/>
      <c r="G187" s="1400"/>
      <c r="H187" s="1400"/>
      <c r="I187" s="1400"/>
      <c r="J187" s="1400"/>
      <c r="K187" s="1400"/>
      <c r="L187" s="1729"/>
      <c r="M187" s="1400"/>
      <c r="N187" s="1400"/>
      <c r="O187" s="1400"/>
      <c r="P187" s="1400"/>
      <c r="Q187" s="1400"/>
      <c r="R187" s="1400"/>
      <c r="S187" s="1401"/>
      <c r="T187" s="1431"/>
      <c r="U187" s="1432"/>
      <c r="V187" s="1432"/>
      <c r="W187" s="1432"/>
      <c r="X187" s="1432"/>
      <c r="Y187" s="1432"/>
      <c r="Z187" s="1432"/>
      <c r="AA187" s="1432"/>
      <c r="AB187" s="1432"/>
      <c r="AC187" s="1432"/>
      <c r="AD187" s="1432"/>
      <c r="AE187" s="1432"/>
      <c r="AF187" s="1432"/>
      <c r="AG187" s="1432"/>
      <c r="AH187" s="1433"/>
      <c r="AI187" s="1432"/>
      <c r="AJ187" s="1701"/>
      <c r="AK187" s="1446"/>
      <c r="AL187" s="1447"/>
      <c r="AM187" s="1447"/>
      <c r="AN187" s="1447"/>
      <c r="AO187" s="1447"/>
      <c r="AP187" s="1447"/>
      <c r="AQ187" s="1447"/>
      <c r="AR187" s="1447"/>
      <c r="AS187" s="1447"/>
      <c r="AT187" s="1447"/>
      <c r="AU187" s="1447"/>
      <c r="AV187" s="1506"/>
      <c r="AW187" s="1447"/>
      <c r="AX187" s="1506"/>
      <c r="AY187" s="1447"/>
      <c r="AZ187" s="1447"/>
      <c r="BA187" s="1708"/>
      <c r="BB187" s="1439"/>
      <c r="BC187" s="1440"/>
      <c r="BD187" s="1440"/>
      <c r="BE187" s="1440"/>
      <c r="BF187" s="1440"/>
      <c r="BG187" s="1440"/>
      <c r="BH187" s="1440"/>
      <c r="BI187" s="1440"/>
      <c r="BJ187" s="1440"/>
      <c r="BK187" s="1688"/>
      <c r="BL187" s="1440"/>
      <c r="BM187" s="1440"/>
      <c r="BN187" s="1440"/>
      <c r="BO187" s="1440"/>
      <c r="BP187" s="1440"/>
      <c r="BQ187" s="1440"/>
      <c r="BR187" s="1441"/>
      <c r="BS187" s="1439"/>
      <c r="BT187" s="1440"/>
      <c r="BU187" s="1440"/>
      <c r="BV187" s="1440"/>
      <c r="BW187" s="1440"/>
      <c r="BX187" s="1440"/>
      <c r="BY187" s="1440"/>
      <c r="BZ187" s="1440"/>
      <c r="CA187" s="1440"/>
      <c r="CB187" s="1440"/>
      <c r="CC187" s="1440"/>
      <c r="CD187" s="1440"/>
      <c r="CE187" s="1440"/>
      <c r="CF187" s="1440"/>
      <c r="CG187" s="1440"/>
      <c r="CH187" s="1440"/>
      <c r="CI187" s="1441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7"/>
      <c r="B188" s="1430" t="str">
        <f>$B$11</f>
        <v>M</v>
      </c>
      <c r="C188" s="1466"/>
      <c r="D188" s="1400"/>
      <c r="E188" s="1400"/>
      <c r="F188" s="1400"/>
      <c r="G188" s="1400"/>
      <c r="H188" s="1400"/>
      <c r="I188" s="1400"/>
      <c r="J188" s="1400"/>
      <c r="K188" s="1400"/>
      <c r="L188" s="1729"/>
      <c r="M188" s="1400"/>
      <c r="N188" s="1400"/>
      <c r="O188" s="1400"/>
      <c r="P188" s="1400"/>
      <c r="Q188" s="1400"/>
      <c r="R188" s="1400"/>
      <c r="S188" s="1401"/>
      <c r="T188" s="1442"/>
      <c r="U188" s="1443"/>
      <c r="V188" s="1443"/>
      <c r="W188" s="1443"/>
      <c r="X188" s="1443"/>
      <c r="Y188" s="1443"/>
      <c r="Z188" s="1443"/>
      <c r="AA188" s="1443"/>
      <c r="AB188" s="1443"/>
      <c r="AC188" s="1443"/>
      <c r="AD188" s="1443"/>
      <c r="AE188" s="1443"/>
      <c r="AF188" s="1443"/>
      <c r="AG188" s="1443"/>
      <c r="AH188" s="1444"/>
      <c r="AI188" s="1443"/>
      <c r="AJ188" s="1713"/>
      <c r="AK188" s="1431"/>
      <c r="AL188" s="1432"/>
      <c r="AM188" s="1432"/>
      <c r="AN188" s="1432"/>
      <c r="AO188" s="1432"/>
      <c r="AP188" s="1432"/>
      <c r="AQ188" s="1432"/>
      <c r="AR188" s="1432"/>
      <c r="AS188" s="1432"/>
      <c r="AT188" s="1432"/>
      <c r="AU188" s="1432"/>
      <c r="AV188" s="1432"/>
      <c r="AW188" s="1432"/>
      <c r="AX188" s="1432"/>
      <c r="AY188" s="1432"/>
      <c r="AZ188" s="1432"/>
      <c r="BA188" s="1701"/>
      <c r="BB188" s="1446"/>
      <c r="BC188" s="1447"/>
      <c r="BD188" s="1447"/>
      <c r="BE188" s="1447"/>
      <c r="BF188" s="1447"/>
      <c r="BG188" s="1447"/>
      <c r="BH188" s="1447"/>
      <c r="BI188" s="1447"/>
      <c r="BJ188" s="1447"/>
      <c r="BK188" s="1680"/>
      <c r="BL188" s="1447"/>
      <c r="BM188" s="1447"/>
      <c r="BN188" s="1447"/>
      <c r="BO188" s="1447"/>
      <c r="BP188" s="1447"/>
      <c r="BQ188" s="1447"/>
      <c r="BR188" s="1448"/>
      <c r="BS188" s="1439"/>
      <c r="BT188" s="1440"/>
      <c r="BU188" s="1440"/>
      <c r="BV188" s="1440"/>
      <c r="BW188" s="1440"/>
      <c r="BX188" s="1440"/>
      <c r="BY188" s="1440"/>
      <c r="BZ188" s="1440"/>
      <c r="CA188" s="1440"/>
      <c r="CB188" s="1440"/>
      <c r="CC188" s="1440"/>
      <c r="CD188" s="1440"/>
      <c r="CE188" s="1440"/>
      <c r="CF188" s="1440"/>
      <c r="CG188" s="1440"/>
      <c r="CH188" s="1440"/>
      <c r="CI188" s="1441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7"/>
      <c r="B189" s="1449" t="str">
        <f>$B$12</f>
        <v>BO</v>
      </c>
      <c r="C189" s="1359"/>
      <c r="D189" s="1360"/>
      <c r="E189" s="1360"/>
      <c r="F189" s="1360"/>
      <c r="G189" s="1360"/>
      <c r="H189" s="1360"/>
      <c r="I189" s="1360"/>
      <c r="J189" s="1360"/>
      <c r="K189" s="1360"/>
      <c r="L189" s="1726"/>
      <c r="M189" s="1360"/>
      <c r="N189" s="1360"/>
      <c r="O189" s="1360"/>
      <c r="P189" s="1360"/>
      <c r="Q189" s="1360"/>
      <c r="R189" s="1360"/>
      <c r="S189" s="1362"/>
      <c r="T189" s="1450"/>
      <c r="U189" s="1451"/>
      <c r="V189" s="1451"/>
      <c r="W189" s="1451"/>
      <c r="X189" s="1451"/>
      <c r="Y189" s="1451"/>
      <c r="Z189" s="1451"/>
      <c r="AA189" s="1451"/>
      <c r="AB189" s="1451"/>
      <c r="AC189" s="1451"/>
      <c r="AD189" s="1451"/>
      <c r="AE189" s="1451"/>
      <c r="AF189" s="1451"/>
      <c r="AG189" s="1451"/>
      <c r="AH189" s="1452"/>
      <c r="AI189" s="1451"/>
      <c r="AJ189" s="1702"/>
      <c r="AK189" s="1450"/>
      <c r="AL189" s="1451"/>
      <c r="AM189" s="1451"/>
      <c r="AN189" s="1451"/>
      <c r="AO189" s="1451"/>
      <c r="AP189" s="1451"/>
      <c r="AQ189" s="1451"/>
      <c r="AR189" s="1451"/>
      <c r="AS189" s="1451"/>
      <c r="AT189" s="1451"/>
      <c r="AU189" s="1451"/>
      <c r="AV189" s="1451"/>
      <c r="AW189" s="1451"/>
      <c r="AX189" s="1451"/>
      <c r="AY189" s="1451"/>
      <c r="AZ189" s="1451"/>
      <c r="BA189" s="1702"/>
      <c r="BB189" s="1450"/>
      <c r="BC189" s="1451"/>
      <c r="BD189" s="1451"/>
      <c r="BE189" s="1451"/>
      <c r="BF189" s="1451"/>
      <c r="BG189" s="1451"/>
      <c r="BH189" s="1451"/>
      <c r="BI189" s="1451"/>
      <c r="BJ189" s="1451"/>
      <c r="BK189" s="1690"/>
      <c r="BL189" s="1451"/>
      <c r="BM189" s="1451"/>
      <c r="BN189" s="1451"/>
      <c r="BO189" s="1451"/>
      <c r="BP189" s="1451"/>
      <c r="BQ189" s="1451"/>
      <c r="BR189" s="1453"/>
      <c r="BS189" s="1457">
        <v>1</v>
      </c>
      <c r="BT189" s="1458">
        <v>1</v>
      </c>
      <c r="BU189" s="1458">
        <v>1</v>
      </c>
      <c r="BV189" s="1458">
        <v>1</v>
      </c>
      <c r="BW189" s="1458">
        <v>1</v>
      </c>
      <c r="BX189" s="1458"/>
      <c r="BY189" s="1458">
        <v>2</v>
      </c>
      <c r="BZ189" s="1458"/>
      <c r="CA189" s="1458"/>
      <c r="CB189" s="1458"/>
      <c r="CC189" s="1458"/>
      <c r="CD189" s="1458"/>
      <c r="CE189" s="1458"/>
      <c r="CF189" s="1458"/>
      <c r="CG189" s="1458"/>
      <c r="CH189" s="1458"/>
      <c r="CI189" s="1459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5" t="s">
        <v>897</v>
      </c>
      <c r="B190" s="1421" t="str">
        <f>$B$9</f>
        <v>VP</v>
      </c>
      <c r="C190" s="1465">
        <v>1</v>
      </c>
      <c r="D190" s="1389">
        <v>1</v>
      </c>
      <c r="E190" s="1389">
        <v>1</v>
      </c>
      <c r="F190" s="1389">
        <v>1</v>
      </c>
      <c r="G190" s="1389">
        <v>1</v>
      </c>
      <c r="H190" s="1389"/>
      <c r="I190" s="1389"/>
      <c r="J190" s="1389"/>
      <c r="K190" s="1746"/>
      <c r="L190" s="1728"/>
      <c r="M190" s="1389"/>
      <c r="N190" s="1389"/>
      <c r="O190" s="1389"/>
      <c r="P190" s="1389"/>
      <c r="Q190" s="1389"/>
      <c r="R190" s="1389"/>
      <c r="S190" s="1390"/>
      <c r="T190" s="1422"/>
      <c r="U190" s="1423"/>
      <c r="V190" s="1423"/>
      <c r="W190" s="1423"/>
      <c r="X190" s="1423"/>
      <c r="Y190" s="1423"/>
      <c r="Z190" s="1423"/>
      <c r="AA190" s="1423"/>
      <c r="AB190" s="1423"/>
      <c r="AC190" s="1543"/>
      <c r="AD190" s="1543"/>
      <c r="AE190" s="1543"/>
      <c r="AF190" s="1543"/>
      <c r="AG190" s="1423"/>
      <c r="AH190" s="1424"/>
      <c r="AI190" s="1423"/>
      <c r="AJ190" s="1720"/>
      <c r="AK190" s="1427"/>
      <c r="AL190" s="1428"/>
      <c r="AM190" s="1428"/>
      <c r="AN190" s="1428"/>
      <c r="AO190" s="1428"/>
      <c r="AP190" s="1428"/>
      <c r="AQ190" s="1428"/>
      <c r="AR190" s="1428"/>
      <c r="AS190" s="1428"/>
      <c r="AT190" s="1428"/>
      <c r="AU190" s="1428"/>
      <c r="AV190" s="1428"/>
      <c r="AW190" s="1428"/>
      <c r="AX190" s="1428"/>
      <c r="AY190" s="1428"/>
      <c r="AZ190" s="1428"/>
      <c r="BA190" s="1711"/>
      <c r="BB190" s="1427"/>
      <c r="BC190" s="1428"/>
      <c r="BD190" s="1428"/>
      <c r="BE190" s="1428"/>
      <c r="BF190" s="1428"/>
      <c r="BG190" s="1428"/>
      <c r="BH190" s="1428"/>
      <c r="BI190" s="1428"/>
      <c r="BJ190" s="1428"/>
      <c r="BK190" s="1678"/>
      <c r="BL190" s="1428"/>
      <c r="BM190" s="1428"/>
      <c r="BN190" s="1428"/>
      <c r="BO190" s="1428"/>
      <c r="BP190" s="1428"/>
      <c r="BQ190" s="1428"/>
      <c r="BR190" s="1429"/>
      <c r="BS190" s="1427"/>
      <c r="BT190" s="1428"/>
      <c r="BU190" s="1428"/>
      <c r="BV190" s="1428"/>
      <c r="BW190" s="1428"/>
      <c r="BX190" s="1428"/>
      <c r="BY190" s="1428"/>
      <c r="BZ190" s="1428"/>
      <c r="CA190" s="1428"/>
      <c r="CB190" s="1428"/>
      <c r="CC190" s="1428"/>
      <c r="CD190" s="1428"/>
      <c r="CE190" s="1428"/>
      <c r="CF190" s="1428"/>
      <c r="CG190" s="1428"/>
      <c r="CH190" s="1428"/>
      <c r="CI190" s="1429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7"/>
      <c r="B191" s="1430" t="str">
        <f>$B$10</f>
        <v>P</v>
      </c>
      <c r="C191" s="1466">
        <v>1</v>
      </c>
      <c r="D191" s="1400">
        <v>1</v>
      </c>
      <c r="E191" s="1400">
        <v>1</v>
      </c>
      <c r="F191" s="1400">
        <v>1</v>
      </c>
      <c r="G191" s="1400">
        <v>1</v>
      </c>
      <c r="H191" s="1400"/>
      <c r="I191" s="1400"/>
      <c r="J191" s="1400"/>
      <c r="K191" s="1747"/>
      <c r="L191" s="1729"/>
      <c r="M191" s="1400"/>
      <c r="N191" s="1400"/>
      <c r="O191" s="1400"/>
      <c r="P191" s="1400"/>
      <c r="Q191" s="1400"/>
      <c r="R191" s="1400"/>
      <c r="S191" s="1401"/>
      <c r="T191" s="1431"/>
      <c r="U191" s="1432"/>
      <c r="V191" s="1432"/>
      <c r="W191" s="1432"/>
      <c r="X191" s="1432"/>
      <c r="Y191" s="1432"/>
      <c r="Z191" s="1432"/>
      <c r="AA191" s="1432"/>
      <c r="AB191" s="1432"/>
      <c r="AC191" s="1432"/>
      <c r="AD191" s="1432"/>
      <c r="AE191" s="1432"/>
      <c r="AF191" s="1432"/>
      <c r="AG191" s="1432"/>
      <c r="AH191" s="1433"/>
      <c r="AI191" s="1432"/>
      <c r="AJ191" s="1701"/>
      <c r="AK191" s="1446">
        <v>1</v>
      </c>
      <c r="AL191" s="1447">
        <v>1</v>
      </c>
      <c r="AM191" s="1447">
        <v>1</v>
      </c>
      <c r="AN191" s="1447">
        <v>1</v>
      </c>
      <c r="AO191" s="1447"/>
      <c r="AP191" s="1447">
        <v>1</v>
      </c>
      <c r="AQ191" s="1447"/>
      <c r="AR191" s="1447"/>
      <c r="AS191" s="1447"/>
      <c r="AT191" s="1447"/>
      <c r="AU191" s="1447"/>
      <c r="AV191" s="1506"/>
      <c r="AW191" s="1447"/>
      <c r="AX191" s="1506"/>
      <c r="AY191" s="1447"/>
      <c r="AZ191" s="1447"/>
      <c r="BA191" s="1708"/>
      <c r="BB191" s="1439"/>
      <c r="BC191" s="1440"/>
      <c r="BD191" s="1440"/>
      <c r="BE191" s="1440"/>
      <c r="BF191" s="1440"/>
      <c r="BG191" s="1440"/>
      <c r="BH191" s="1440"/>
      <c r="BI191" s="1440"/>
      <c r="BJ191" s="1440"/>
      <c r="BK191" s="1688"/>
      <c r="BL191" s="1440"/>
      <c r="BM191" s="1440"/>
      <c r="BN191" s="1440"/>
      <c r="BO191" s="1440"/>
      <c r="BP191" s="1440"/>
      <c r="BQ191" s="1440"/>
      <c r="BR191" s="1441"/>
      <c r="BS191" s="1439"/>
      <c r="BT191" s="1440"/>
      <c r="BU191" s="1440"/>
      <c r="BV191" s="1440"/>
      <c r="BW191" s="1440"/>
      <c r="BX191" s="1440"/>
      <c r="BY191" s="1440"/>
      <c r="BZ191" s="1440"/>
      <c r="CA191" s="1440"/>
      <c r="CB191" s="1440"/>
      <c r="CC191" s="1440"/>
      <c r="CD191" s="1440"/>
      <c r="CE191" s="1440"/>
      <c r="CF191" s="1440"/>
      <c r="CG191" s="1440"/>
      <c r="CH191" s="1440"/>
      <c r="CI191" s="1441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7"/>
      <c r="B192" s="1430" t="str">
        <f>$B$11</f>
        <v>M</v>
      </c>
      <c r="C192" s="1466">
        <v>6</v>
      </c>
      <c r="D192" s="1400">
        <v>4</v>
      </c>
      <c r="E192" s="1400">
        <v>7</v>
      </c>
      <c r="F192" s="1400">
        <v>2</v>
      </c>
      <c r="G192" s="1400">
        <v>4</v>
      </c>
      <c r="H192" s="1400">
        <v>4</v>
      </c>
      <c r="I192" s="1400">
        <v>2</v>
      </c>
      <c r="J192" s="1400">
        <v>4</v>
      </c>
      <c r="K192" s="1747"/>
      <c r="L192" s="1729"/>
      <c r="M192" s="1400"/>
      <c r="N192" s="1400"/>
      <c r="O192" s="1400"/>
      <c r="P192" s="1400"/>
      <c r="Q192" s="1400"/>
      <c r="R192" s="1400"/>
      <c r="S192" s="1401"/>
      <c r="T192" s="1442"/>
      <c r="U192" s="1443"/>
      <c r="V192" s="1443"/>
      <c r="W192" s="1443"/>
      <c r="X192" s="1443"/>
      <c r="Y192" s="1443"/>
      <c r="Z192" s="1443"/>
      <c r="AA192" s="1443"/>
      <c r="AB192" s="1443"/>
      <c r="AC192" s="1443"/>
      <c r="AD192" s="1443"/>
      <c r="AE192" s="1443"/>
      <c r="AF192" s="1443"/>
      <c r="AG192" s="1443"/>
      <c r="AH192" s="1444"/>
      <c r="AI192" s="1443"/>
      <c r="AJ192" s="1713"/>
      <c r="AK192" s="1431"/>
      <c r="AL192" s="1432"/>
      <c r="AM192" s="1432"/>
      <c r="AN192" s="1432"/>
      <c r="AO192" s="1432"/>
      <c r="AP192" s="1432"/>
      <c r="AQ192" s="1432"/>
      <c r="AR192" s="1432"/>
      <c r="AS192" s="1432"/>
      <c r="AT192" s="1432"/>
      <c r="AU192" s="1432"/>
      <c r="AV192" s="1432"/>
      <c r="AW192" s="1432"/>
      <c r="AX192" s="1432"/>
      <c r="AY192" s="1432"/>
      <c r="AZ192" s="1432"/>
      <c r="BA192" s="1701"/>
      <c r="BB192" s="1446"/>
      <c r="BC192" s="1447">
        <v>2</v>
      </c>
      <c r="BD192" s="1447">
        <v>1</v>
      </c>
      <c r="BE192" s="1447">
        <v>4</v>
      </c>
      <c r="BF192" s="1447">
        <v>6</v>
      </c>
      <c r="BG192" s="1447">
        <v>4</v>
      </c>
      <c r="BH192" s="1447">
        <v>2</v>
      </c>
      <c r="BI192" s="1447">
        <v>2</v>
      </c>
      <c r="BJ192" s="1447"/>
      <c r="BK192" s="1680"/>
      <c r="BL192" s="1447"/>
      <c r="BM192" s="1447"/>
      <c r="BN192" s="1447"/>
      <c r="BO192" s="1447"/>
      <c r="BP192" s="1447"/>
      <c r="BQ192" s="1447"/>
      <c r="BR192" s="1448"/>
      <c r="BS192" s="1439"/>
      <c r="BT192" s="1440"/>
      <c r="BU192" s="1440"/>
      <c r="BV192" s="1440"/>
      <c r="BW192" s="1440"/>
      <c r="BX192" s="1440"/>
      <c r="BY192" s="1440"/>
      <c r="BZ192" s="1440"/>
      <c r="CA192" s="1440"/>
      <c r="CB192" s="1440"/>
      <c r="CC192" s="1440"/>
      <c r="CD192" s="1440"/>
      <c r="CE192" s="1440"/>
      <c r="CF192" s="1440"/>
      <c r="CG192" s="1440"/>
      <c r="CH192" s="1440"/>
      <c r="CI192" s="1441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7"/>
      <c r="B193" s="1449" t="str">
        <f>$B$12</f>
        <v>BO</v>
      </c>
      <c r="C193" s="1359">
        <v>10</v>
      </c>
      <c r="D193" s="1360">
        <v>8</v>
      </c>
      <c r="E193" s="1360">
        <v>12</v>
      </c>
      <c r="F193" s="1360">
        <v>4</v>
      </c>
      <c r="G193" s="1360">
        <v>6</v>
      </c>
      <c r="H193" s="1360">
        <v>6</v>
      </c>
      <c r="I193" s="1360">
        <v>4</v>
      </c>
      <c r="J193" s="1360">
        <v>5</v>
      </c>
      <c r="K193" s="1745"/>
      <c r="L193" s="1726"/>
      <c r="M193" s="1360"/>
      <c r="N193" s="1360"/>
      <c r="O193" s="1360"/>
      <c r="P193" s="1360"/>
      <c r="Q193" s="1360"/>
      <c r="R193" s="1360"/>
      <c r="S193" s="1362"/>
      <c r="T193" s="1450"/>
      <c r="U193" s="1451"/>
      <c r="V193" s="1451"/>
      <c r="W193" s="1451"/>
      <c r="X193" s="1451"/>
      <c r="Y193" s="1451"/>
      <c r="Z193" s="1451"/>
      <c r="AA193" s="1451"/>
      <c r="AB193" s="1451"/>
      <c r="AC193" s="1451"/>
      <c r="AD193" s="1451"/>
      <c r="AE193" s="1451"/>
      <c r="AF193" s="1451"/>
      <c r="AG193" s="1451"/>
      <c r="AH193" s="1452"/>
      <c r="AI193" s="1451"/>
      <c r="AJ193" s="1702"/>
      <c r="AK193" s="1450"/>
      <c r="AL193" s="1451"/>
      <c r="AM193" s="1451"/>
      <c r="AN193" s="1451"/>
      <c r="AO193" s="1451"/>
      <c r="AP193" s="1451"/>
      <c r="AQ193" s="1451"/>
      <c r="AR193" s="1451"/>
      <c r="AS193" s="1451"/>
      <c r="AT193" s="1451"/>
      <c r="AU193" s="1451"/>
      <c r="AV193" s="1451"/>
      <c r="AW193" s="1451"/>
      <c r="AX193" s="1451"/>
      <c r="AY193" s="1451"/>
      <c r="AZ193" s="1451"/>
      <c r="BA193" s="1702"/>
      <c r="BB193" s="1450"/>
      <c r="BC193" s="1451"/>
      <c r="BD193" s="1451"/>
      <c r="BE193" s="1451"/>
      <c r="BF193" s="1451"/>
      <c r="BG193" s="1451"/>
      <c r="BH193" s="1451"/>
      <c r="BI193" s="1451"/>
      <c r="BJ193" s="1451"/>
      <c r="BK193" s="1690"/>
      <c r="BL193" s="1451"/>
      <c r="BM193" s="1451"/>
      <c r="BN193" s="1451"/>
      <c r="BO193" s="1451"/>
      <c r="BP193" s="1451"/>
      <c r="BQ193" s="1451"/>
      <c r="BR193" s="1453"/>
      <c r="BS193" s="1457">
        <v>2</v>
      </c>
      <c r="BT193" s="1458">
        <v>4</v>
      </c>
      <c r="BU193" s="1458">
        <v>2</v>
      </c>
      <c r="BV193" s="1458">
        <v>4</v>
      </c>
      <c r="BW193" s="1458">
        <v>2</v>
      </c>
      <c r="BX193" s="1458">
        <v>4</v>
      </c>
      <c r="BY193" s="1458">
        <v>3</v>
      </c>
      <c r="BZ193" s="1458">
        <v>2</v>
      </c>
      <c r="CA193" s="1458"/>
      <c r="CB193" s="1458"/>
      <c r="CC193" s="1458"/>
      <c r="CD193" s="1458"/>
      <c r="CE193" s="1458"/>
      <c r="CF193" s="1458"/>
      <c r="CG193" s="1458"/>
      <c r="CH193" s="1458"/>
      <c r="CI193" s="1459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5" t="s">
        <v>898</v>
      </c>
      <c r="B194" s="1421" t="str">
        <f>$B$9</f>
        <v>VP</v>
      </c>
      <c r="C194" s="1465"/>
      <c r="D194" s="1389"/>
      <c r="E194" s="1389"/>
      <c r="F194" s="1389"/>
      <c r="G194" s="1389"/>
      <c r="H194" s="1389"/>
      <c r="I194" s="1389"/>
      <c r="J194" s="1389"/>
      <c r="K194" s="1389"/>
      <c r="L194" s="1728"/>
      <c r="M194" s="1389"/>
      <c r="N194" s="1389"/>
      <c r="O194" s="1389"/>
      <c r="P194" s="1389"/>
      <c r="Q194" s="1389"/>
      <c r="R194" s="1389"/>
      <c r="S194" s="1390"/>
      <c r="T194" s="1422"/>
      <c r="U194" s="1423"/>
      <c r="V194" s="1423"/>
      <c r="W194" s="1423"/>
      <c r="X194" s="1423"/>
      <c r="Y194" s="1423"/>
      <c r="Z194" s="1423"/>
      <c r="AA194" s="1423"/>
      <c r="AB194" s="1423"/>
      <c r="AC194" s="1543"/>
      <c r="AD194" s="1543"/>
      <c r="AE194" s="1543"/>
      <c r="AF194" s="1543"/>
      <c r="AG194" s="1423"/>
      <c r="AH194" s="1424"/>
      <c r="AI194" s="1423"/>
      <c r="AJ194" s="1720"/>
      <c r="AK194" s="1427"/>
      <c r="AL194" s="1428"/>
      <c r="AM194" s="1428"/>
      <c r="AN194" s="1428"/>
      <c r="AO194" s="1428"/>
      <c r="AP194" s="1428"/>
      <c r="AQ194" s="1428"/>
      <c r="AR194" s="1428"/>
      <c r="AS194" s="1428"/>
      <c r="AT194" s="1428"/>
      <c r="AU194" s="1428"/>
      <c r="AV194" s="1428"/>
      <c r="AW194" s="1428"/>
      <c r="AX194" s="1428"/>
      <c r="AY194" s="1428"/>
      <c r="AZ194" s="1428"/>
      <c r="BA194" s="1711"/>
      <c r="BB194" s="1427"/>
      <c r="BC194" s="1428"/>
      <c r="BD194" s="1428"/>
      <c r="BE194" s="1428"/>
      <c r="BF194" s="1428"/>
      <c r="BG194" s="1428"/>
      <c r="BH194" s="1428"/>
      <c r="BI194" s="1428"/>
      <c r="BJ194" s="1428"/>
      <c r="BK194" s="1678"/>
      <c r="BL194" s="1428"/>
      <c r="BM194" s="1428"/>
      <c r="BN194" s="1428"/>
      <c r="BO194" s="1428"/>
      <c r="BP194" s="1428"/>
      <c r="BQ194" s="1428"/>
      <c r="BR194" s="1429"/>
      <c r="BS194" s="1427"/>
      <c r="BT194" s="1428"/>
      <c r="BU194" s="1428"/>
      <c r="BV194" s="1428"/>
      <c r="BW194" s="1428"/>
      <c r="BX194" s="1428"/>
      <c r="BY194" s="1428"/>
      <c r="BZ194" s="1428"/>
      <c r="CA194" s="1428"/>
      <c r="CB194" s="1428"/>
      <c r="CC194" s="1428"/>
      <c r="CD194" s="1428"/>
      <c r="CE194" s="1428"/>
      <c r="CF194" s="1428"/>
      <c r="CG194" s="1428"/>
      <c r="CH194" s="1428"/>
      <c r="CI194" s="1429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7"/>
      <c r="B195" s="1430" t="str">
        <f>$B$10</f>
        <v>P</v>
      </c>
      <c r="C195" s="1466"/>
      <c r="D195" s="1400"/>
      <c r="E195" s="1400"/>
      <c r="F195" s="1400"/>
      <c r="G195" s="1400"/>
      <c r="H195" s="1400"/>
      <c r="I195" s="1400"/>
      <c r="J195" s="1400"/>
      <c r="K195" s="1400"/>
      <c r="L195" s="1729"/>
      <c r="M195" s="1400"/>
      <c r="N195" s="1400"/>
      <c r="O195" s="1400"/>
      <c r="P195" s="1400"/>
      <c r="Q195" s="1400"/>
      <c r="R195" s="1400"/>
      <c r="S195" s="1401"/>
      <c r="T195" s="1431"/>
      <c r="U195" s="1432"/>
      <c r="V195" s="1432"/>
      <c r="W195" s="1432"/>
      <c r="X195" s="1432"/>
      <c r="Y195" s="1432"/>
      <c r="Z195" s="1432"/>
      <c r="AA195" s="1432"/>
      <c r="AB195" s="1432"/>
      <c r="AC195" s="1432"/>
      <c r="AD195" s="1432"/>
      <c r="AE195" s="1432"/>
      <c r="AF195" s="1432"/>
      <c r="AG195" s="1432"/>
      <c r="AH195" s="1433"/>
      <c r="AI195" s="1432"/>
      <c r="AJ195" s="1701"/>
      <c r="AK195" s="1446"/>
      <c r="AL195" s="1447"/>
      <c r="AM195" s="1447"/>
      <c r="AN195" s="1447"/>
      <c r="AO195" s="1447"/>
      <c r="AP195" s="1447"/>
      <c r="AQ195" s="1447"/>
      <c r="AR195" s="1447"/>
      <c r="AS195" s="1447"/>
      <c r="AT195" s="1447"/>
      <c r="AU195" s="1447"/>
      <c r="AV195" s="1506"/>
      <c r="AW195" s="1447"/>
      <c r="AX195" s="1506"/>
      <c r="AY195" s="1447"/>
      <c r="AZ195" s="1447"/>
      <c r="BA195" s="1708"/>
      <c r="BB195" s="1439"/>
      <c r="BC195" s="1440"/>
      <c r="BD195" s="1440"/>
      <c r="BE195" s="1440"/>
      <c r="BF195" s="1440"/>
      <c r="BG195" s="1440"/>
      <c r="BH195" s="1440"/>
      <c r="BI195" s="1440"/>
      <c r="BJ195" s="1440"/>
      <c r="BK195" s="1688"/>
      <c r="BL195" s="1440"/>
      <c r="BM195" s="1440"/>
      <c r="BN195" s="1440"/>
      <c r="BO195" s="1440"/>
      <c r="BP195" s="1440"/>
      <c r="BQ195" s="1440"/>
      <c r="BR195" s="1441"/>
      <c r="BS195" s="1439"/>
      <c r="BT195" s="1440"/>
      <c r="BU195" s="1440"/>
      <c r="BV195" s="1440"/>
      <c r="BW195" s="1440"/>
      <c r="BX195" s="1440"/>
      <c r="BY195" s="1440"/>
      <c r="BZ195" s="1440"/>
      <c r="CA195" s="1440"/>
      <c r="CB195" s="1440"/>
      <c r="CC195" s="1440"/>
      <c r="CD195" s="1440"/>
      <c r="CE195" s="1440"/>
      <c r="CF195" s="1440"/>
      <c r="CG195" s="1440"/>
      <c r="CH195" s="1440"/>
      <c r="CI195" s="1441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7"/>
      <c r="B196" s="1430" t="str">
        <f>$B$11</f>
        <v>M</v>
      </c>
      <c r="C196" s="1466"/>
      <c r="D196" s="1400"/>
      <c r="E196" s="1400"/>
      <c r="F196" s="1400"/>
      <c r="G196" s="1400"/>
      <c r="H196" s="1400"/>
      <c r="I196" s="1400"/>
      <c r="J196" s="1400"/>
      <c r="K196" s="1400"/>
      <c r="L196" s="1729"/>
      <c r="M196" s="1400"/>
      <c r="N196" s="1400"/>
      <c r="O196" s="1400"/>
      <c r="P196" s="1400"/>
      <c r="Q196" s="1400"/>
      <c r="R196" s="1400"/>
      <c r="S196" s="1401"/>
      <c r="T196" s="1442"/>
      <c r="U196" s="1443"/>
      <c r="V196" s="1443"/>
      <c r="W196" s="1443"/>
      <c r="X196" s="1443"/>
      <c r="Y196" s="1443"/>
      <c r="Z196" s="1443"/>
      <c r="AA196" s="1443"/>
      <c r="AB196" s="1443"/>
      <c r="AC196" s="1443"/>
      <c r="AD196" s="1443"/>
      <c r="AE196" s="1443"/>
      <c r="AF196" s="1443"/>
      <c r="AG196" s="1443"/>
      <c r="AH196" s="1444"/>
      <c r="AI196" s="1443"/>
      <c r="AJ196" s="1713"/>
      <c r="AK196" s="1431"/>
      <c r="AL196" s="1432"/>
      <c r="AM196" s="1432"/>
      <c r="AN196" s="1432"/>
      <c r="AO196" s="1432"/>
      <c r="AP196" s="1432"/>
      <c r="AQ196" s="1432"/>
      <c r="AR196" s="1432"/>
      <c r="AS196" s="1432"/>
      <c r="AT196" s="1432"/>
      <c r="AU196" s="1432"/>
      <c r="AV196" s="1432"/>
      <c r="AW196" s="1432"/>
      <c r="AX196" s="1432"/>
      <c r="AY196" s="1432"/>
      <c r="AZ196" s="1432"/>
      <c r="BA196" s="1701"/>
      <c r="BB196" s="1446"/>
      <c r="BC196" s="1447"/>
      <c r="BD196" s="1447"/>
      <c r="BE196" s="1447"/>
      <c r="BF196" s="1447"/>
      <c r="BG196" s="1447"/>
      <c r="BH196" s="1447"/>
      <c r="BI196" s="1447">
        <v>1</v>
      </c>
      <c r="BJ196" s="1447">
        <v>1</v>
      </c>
      <c r="BK196" s="1680"/>
      <c r="BL196" s="1447"/>
      <c r="BM196" s="1447"/>
      <c r="BN196" s="1447"/>
      <c r="BO196" s="1447"/>
      <c r="BP196" s="1447"/>
      <c r="BQ196" s="1447"/>
      <c r="BR196" s="1448"/>
      <c r="BS196" s="1439"/>
      <c r="BT196" s="1440"/>
      <c r="BU196" s="1440"/>
      <c r="BV196" s="1440"/>
      <c r="BW196" s="1440"/>
      <c r="BX196" s="1440"/>
      <c r="BY196" s="1440"/>
      <c r="BZ196" s="1440"/>
      <c r="CA196" s="1440"/>
      <c r="CB196" s="1440"/>
      <c r="CC196" s="1440"/>
      <c r="CD196" s="1440"/>
      <c r="CE196" s="1440"/>
      <c r="CF196" s="1440"/>
      <c r="CG196" s="1440"/>
      <c r="CH196" s="1440"/>
      <c r="CI196" s="1441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7"/>
      <c r="B197" s="1449" t="str">
        <f>$B$12</f>
        <v>BO</v>
      </c>
      <c r="C197" s="1359">
        <v>1</v>
      </c>
      <c r="D197" s="1360">
        <v>1</v>
      </c>
      <c r="E197" s="1360">
        <v>1</v>
      </c>
      <c r="F197" s="1360">
        <v>1</v>
      </c>
      <c r="G197" s="1360">
        <v>1</v>
      </c>
      <c r="H197" s="1360">
        <v>1</v>
      </c>
      <c r="I197" s="1360">
        <v>1</v>
      </c>
      <c r="J197" s="1360">
        <v>1</v>
      </c>
      <c r="K197" s="1360">
        <v>1</v>
      </c>
      <c r="L197" s="1726"/>
      <c r="M197" s="1360"/>
      <c r="N197" s="1360"/>
      <c r="O197" s="1360"/>
      <c r="P197" s="1360"/>
      <c r="Q197" s="1360"/>
      <c r="R197" s="1360"/>
      <c r="S197" s="1362"/>
      <c r="T197" s="1450"/>
      <c r="U197" s="1451"/>
      <c r="V197" s="1451"/>
      <c r="W197" s="1451"/>
      <c r="X197" s="1451"/>
      <c r="Y197" s="1451"/>
      <c r="Z197" s="1451"/>
      <c r="AA197" s="1451"/>
      <c r="AB197" s="1451"/>
      <c r="AC197" s="1451"/>
      <c r="AD197" s="1451"/>
      <c r="AE197" s="1451"/>
      <c r="AF197" s="1451"/>
      <c r="AG197" s="1451"/>
      <c r="AH197" s="1452"/>
      <c r="AI197" s="1451"/>
      <c r="AJ197" s="1702"/>
      <c r="AK197" s="1450"/>
      <c r="AL197" s="1451"/>
      <c r="AM197" s="1451"/>
      <c r="AN197" s="1451"/>
      <c r="AO197" s="1451"/>
      <c r="AP197" s="1451"/>
      <c r="AQ197" s="1451"/>
      <c r="AR197" s="1451"/>
      <c r="AS197" s="1451"/>
      <c r="AT197" s="1451"/>
      <c r="AU197" s="1451"/>
      <c r="AV197" s="1451"/>
      <c r="AW197" s="1451"/>
      <c r="AX197" s="1451"/>
      <c r="AY197" s="1451"/>
      <c r="AZ197" s="1451"/>
      <c r="BA197" s="1702"/>
      <c r="BB197" s="1450"/>
      <c r="BC197" s="1451"/>
      <c r="BD197" s="1451"/>
      <c r="BE197" s="1451"/>
      <c r="BF197" s="1451"/>
      <c r="BG197" s="1451"/>
      <c r="BH197" s="1451"/>
      <c r="BI197" s="1451"/>
      <c r="BJ197" s="1451"/>
      <c r="BK197" s="1690"/>
      <c r="BL197" s="1451"/>
      <c r="BM197" s="1451"/>
      <c r="BN197" s="1451"/>
      <c r="BO197" s="1451"/>
      <c r="BP197" s="1451"/>
      <c r="BQ197" s="1451"/>
      <c r="BR197" s="1453"/>
      <c r="BS197" s="1457">
        <v>1</v>
      </c>
      <c r="BT197" s="1458">
        <v>1</v>
      </c>
      <c r="BU197" s="1458">
        <v>1</v>
      </c>
      <c r="BV197" s="1458">
        <v>1</v>
      </c>
      <c r="BW197" s="1458">
        <v>1</v>
      </c>
      <c r="BX197" s="1458">
        <v>1</v>
      </c>
      <c r="BY197" s="1458">
        <v>1</v>
      </c>
      <c r="BZ197" s="1458"/>
      <c r="CA197" s="1458">
        <v>1</v>
      </c>
      <c r="CB197" s="1458"/>
      <c r="CC197" s="1458"/>
      <c r="CD197" s="1458"/>
      <c r="CE197" s="1458"/>
      <c r="CF197" s="1458"/>
      <c r="CG197" s="1458"/>
      <c r="CH197" s="1458"/>
      <c r="CI197" s="1459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6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6"/>
      <c r="AL200" s="173"/>
      <c r="AM200" s="173"/>
      <c r="AN200" s="1264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6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6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7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7"/>
      <c r="AL201" s="183"/>
      <c r="AM201" s="183"/>
      <c r="AN201" s="1265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7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7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7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7"/>
      <c r="AL202" s="183"/>
      <c r="AM202" s="183"/>
      <c r="AN202" s="1265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7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7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6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8"/>
      <c r="U205" s="1258"/>
      <c r="V205" s="199"/>
      <c r="W205" s="1258"/>
      <c r="X205" s="1258"/>
      <c r="Y205" s="1258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6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6"/>
      <c r="AL207" s="173"/>
      <c r="AM207" s="173"/>
      <c r="AN207" s="1264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6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6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7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7"/>
      <c r="AL208" s="183"/>
      <c r="AM208" s="183"/>
      <c r="AN208" s="1265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7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7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7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7"/>
      <c r="AL209" s="183"/>
      <c r="AM209" s="183"/>
      <c r="AN209" s="1265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7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7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6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8"/>
      <c r="U212" s="1258"/>
      <c r="V212" s="199"/>
      <c r="W212" s="1258"/>
      <c r="X212" s="1258"/>
      <c r="Y212" s="1258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6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6"/>
      <c r="AL214" s="173"/>
      <c r="AM214" s="173"/>
      <c r="AN214" s="1264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6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6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7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7"/>
      <c r="AL215" s="183"/>
      <c r="AM215" s="183"/>
      <c r="AN215" s="1265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7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7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7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7"/>
      <c r="AL216" s="183"/>
      <c r="AM216" s="183"/>
      <c r="AN216" s="1265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7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7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6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8"/>
      <c r="U219" s="1258"/>
      <c r="V219" s="199"/>
      <c r="W219" s="1258"/>
      <c r="X219" s="1258"/>
      <c r="Y219" s="1258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6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6"/>
      <c r="AL221" s="173"/>
      <c r="AM221" s="173"/>
      <c r="AN221" s="1264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6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6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7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7"/>
      <c r="AL222" s="183"/>
      <c r="AM222" s="183"/>
      <c r="AN222" s="1265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7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7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7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7"/>
      <c r="AL223" s="183"/>
      <c r="AM223" s="183"/>
      <c r="AN223" s="1265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7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7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6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8"/>
      <c r="U226" s="1258"/>
      <c r="V226" s="199"/>
      <c r="W226" s="1258"/>
      <c r="X226" s="1258"/>
      <c r="Y226" s="1258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9"/>
      <c r="U229" s="1259"/>
      <c r="V229" s="1259"/>
      <c r="W229" s="1259"/>
      <c r="X229" s="1259"/>
      <c r="Y229" s="1259"/>
      <c r="Z229" s="1259"/>
      <c r="AK229" s="1259"/>
      <c r="AL229" s="1259"/>
      <c r="AM229" s="1259"/>
      <c r="AN229" s="1259"/>
      <c r="AO229" s="1259"/>
      <c r="BB229" s="1259"/>
      <c r="BC229" s="1259"/>
      <c r="BD229" s="1259"/>
      <c r="BE229" s="1259"/>
      <c r="BS229" s="1259"/>
      <c r="BT229" s="1259"/>
      <c r="BU229" s="1259"/>
      <c r="BV229" s="1259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0" t="s">
        <v>556</v>
      </c>
      <c r="D232" s="1091" t="s">
        <v>557</v>
      </c>
      <c r="E232" s="1091" t="s">
        <v>558</v>
      </c>
      <c r="F232" s="1091" t="s">
        <v>559</v>
      </c>
      <c r="G232" s="1091" t="s">
        <v>560</v>
      </c>
      <c r="H232" s="1091" t="s">
        <v>561</v>
      </c>
      <c r="I232" s="1091" t="s">
        <v>562</v>
      </c>
      <c r="J232" s="1091" t="s">
        <v>563</v>
      </c>
      <c r="K232" s="1091" t="s">
        <v>564</v>
      </c>
      <c r="L232" s="1091" t="s">
        <v>565</v>
      </c>
      <c r="M232" s="1091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0" t="s">
        <v>572</v>
      </c>
      <c r="U232" s="1260" t="s">
        <v>573</v>
      </c>
      <c r="V232" s="1260" t="s">
        <v>574</v>
      </c>
      <c r="W232" s="1260" t="s">
        <v>575</v>
      </c>
      <c r="X232" s="1260" t="s">
        <v>576</v>
      </c>
      <c r="Y232" s="1260" t="s">
        <v>577</v>
      </c>
      <c r="Z232" s="1260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0" t="s">
        <v>589</v>
      </c>
      <c r="AL232" s="1260" t="s">
        <v>590</v>
      </c>
      <c r="AM232" s="1260" t="s">
        <v>591</v>
      </c>
      <c r="AN232" s="1260" t="s">
        <v>592</v>
      </c>
      <c r="AO232" s="1260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2">
        <v>59301</v>
      </c>
      <c r="D233" s="1093">
        <v>15.65</v>
      </c>
      <c r="E233" s="1093">
        <v>14.19</v>
      </c>
      <c r="F233" s="1093">
        <v>17.45</v>
      </c>
      <c r="G233" s="1093">
        <v>18.07</v>
      </c>
      <c r="H233" s="1093">
        <v>14.21</v>
      </c>
      <c r="I233" s="1093">
        <v>9.01</v>
      </c>
      <c r="J233" s="1093">
        <v>5.09</v>
      </c>
      <c r="K233" s="1093">
        <v>2.91</v>
      </c>
      <c r="L233" s="1093">
        <v>1.56</v>
      </c>
      <c r="M233" s="109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0">
        <v>3.33</v>
      </c>
      <c r="U233" s="1260">
        <v>2.34</v>
      </c>
      <c r="V233" s="1260">
        <v>2.02</v>
      </c>
      <c r="W233" s="1260">
        <v>1.71</v>
      </c>
      <c r="X233" s="1260">
        <v>1.6</v>
      </c>
      <c r="Y233" s="1260">
        <v>1.22</v>
      </c>
      <c r="Z233" s="126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0">
        <v>4.97</v>
      </c>
      <c r="AL233" s="1260">
        <v>4.07</v>
      </c>
      <c r="AM233" s="1260">
        <v>3.53</v>
      </c>
      <c r="AN233" s="1260">
        <v>3.23</v>
      </c>
      <c r="AO233" s="126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0"/>
      <c r="U235" s="1260"/>
      <c r="V235" s="1260"/>
      <c r="W235" s="1260"/>
      <c r="X235" s="1260"/>
      <c r="Y235" s="1260"/>
      <c r="Z235" s="1260"/>
      <c r="AA235"/>
      <c r="AB235"/>
      <c r="AC235"/>
      <c r="AD235"/>
      <c r="AE235"/>
      <c r="AF235"/>
      <c r="AG235"/>
      <c r="AH235"/>
      <c r="AI235"/>
      <c r="AJ235"/>
      <c r="AK235" s="1260"/>
      <c r="AL235" s="1260"/>
      <c r="AM235" s="1260"/>
      <c r="AN235" s="1260"/>
      <c r="AO235" s="126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2"/>
      <c r="D236" s="1093"/>
      <c r="E236" s="1093"/>
      <c r="F236" s="1093"/>
      <c r="G236" s="1093"/>
      <c r="H236" s="1093"/>
      <c r="I236" s="1093"/>
      <c r="J236" s="1093"/>
      <c r="K236" s="1093"/>
      <c r="L236" s="1093"/>
      <c r="M236" s="1093"/>
      <c r="N236"/>
      <c r="O236"/>
      <c r="P236"/>
      <c r="Q236"/>
      <c r="R236"/>
      <c r="S236"/>
      <c r="T236" s="1260"/>
      <c r="U236" s="1260"/>
      <c r="V236" s="1260"/>
      <c r="W236" s="1260"/>
      <c r="X236" s="1260"/>
      <c r="Y236" s="1260"/>
      <c r="Z236" s="1260"/>
      <c r="AA236"/>
      <c r="AB236"/>
      <c r="AC236"/>
      <c r="AD236"/>
      <c r="AE236"/>
      <c r="AF236"/>
      <c r="AG236"/>
      <c r="AH236"/>
      <c r="AI236"/>
      <c r="AJ236"/>
      <c r="AK236" s="1260"/>
      <c r="AL236" s="1260"/>
      <c r="AM236" s="1260"/>
      <c r="AN236" s="1260"/>
      <c r="AO236" s="126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0" t="s">
        <v>608</v>
      </c>
      <c r="U237" s="1260" t="s">
        <v>609</v>
      </c>
      <c r="V237" s="1260" t="s">
        <v>610</v>
      </c>
      <c r="W237" s="1260" t="s">
        <v>611</v>
      </c>
      <c r="X237" s="1260" t="s">
        <v>612</v>
      </c>
      <c r="Y237" s="1260" t="s">
        <v>613</v>
      </c>
      <c r="Z237" s="1260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0"/>
      <c r="AL237" s="1260"/>
      <c r="AM237" s="1260"/>
      <c r="AN237" s="1260"/>
      <c r="AO237" s="126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0">
        <v>-3.33</v>
      </c>
      <c r="U238" s="1260">
        <v>-2.34</v>
      </c>
      <c r="V238" s="1260">
        <v>-2.02</v>
      </c>
      <c r="W238" s="1260">
        <v>-1.71</v>
      </c>
      <c r="X238" s="1260">
        <v>-1.6</v>
      </c>
      <c r="Y238" s="1260">
        <v>-1.22</v>
      </c>
      <c r="Z238" s="126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0"/>
      <c r="AL238" s="1260"/>
      <c r="AM238" s="1260"/>
      <c r="AN238" s="1260"/>
      <c r="AO238" s="126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0">
        <v>4.07</v>
      </c>
      <c r="U239" s="1260">
        <v>3.53</v>
      </c>
      <c r="V239" s="1260">
        <v>3.23</v>
      </c>
      <c r="W239" s="1260">
        <v>2.77</v>
      </c>
      <c r="X239" s="1260">
        <v>2.63</v>
      </c>
      <c r="Y239" s="1260">
        <v>2.23</v>
      </c>
      <c r="Z239" s="126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0"/>
      <c r="AL239" s="1260"/>
      <c r="AM239" s="1260"/>
      <c r="AN239" s="1260"/>
      <c r="AO239" s="126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0"/>
      <c r="AL240" s="1260"/>
      <c r="AM240" s="1260"/>
      <c r="AN240" s="1260"/>
      <c r="AO240" s="126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0"/>
      <c r="AL241" s="1260"/>
      <c r="AM241" s="1260"/>
      <c r="AN241" s="1260"/>
      <c r="AO241" s="126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0"/>
      <c r="U242" s="1260"/>
      <c r="V242" s="1260"/>
      <c r="W242" s="1260"/>
      <c r="X242" s="1260"/>
      <c r="Y242" s="1260"/>
      <c r="Z242" s="1260"/>
      <c r="AA242"/>
      <c r="AB242"/>
      <c r="AC242"/>
      <c r="AD242"/>
      <c r="AE242"/>
      <c r="AF242"/>
      <c r="AG242"/>
      <c r="AH242"/>
      <c r="AI242"/>
      <c r="AJ242"/>
      <c r="AK242" s="1260"/>
      <c r="AL242" s="1260"/>
      <c r="AM242" s="1260"/>
      <c r="AN242" s="1260"/>
      <c r="AO242" s="126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0"/>
      <c r="U243" s="1260"/>
      <c r="V243" s="1260"/>
      <c r="W243" s="1260"/>
      <c r="X243" s="1260"/>
      <c r="Y243" s="1260"/>
      <c r="Z243" s="1260"/>
      <c r="AA243"/>
      <c r="AB243"/>
      <c r="AC243"/>
      <c r="AD243"/>
      <c r="AE243"/>
      <c r="AF243"/>
      <c r="AG243"/>
      <c r="AH243"/>
      <c r="AI243"/>
      <c r="AJ243"/>
      <c r="AK243" s="1260"/>
      <c r="AL243" s="1260"/>
      <c r="AM243" s="1260"/>
      <c r="AN243" s="1260"/>
      <c r="AO243" s="126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0"/>
      <c r="U244" s="1260"/>
      <c r="V244" s="1260"/>
      <c r="W244" s="1260"/>
      <c r="X244" s="1260"/>
      <c r="Y244" s="1260"/>
      <c r="Z244" s="1260"/>
      <c r="AA244"/>
      <c r="AB244"/>
      <c r="AC244"/>
      <c r="AD244"/>
      <c r="AE244"/>
      <c r="AF244"/>
      <c r="AG244"/>
      <c r="AH244"/>
      <c r="AI244"/>
      <c r="AJ244"/>
      <c r="AK244" s="1260"/>
      <c r="AL244" s="1260"/>
      <c r="AM244" s="1260"/>
      <c r="AN244" s="1260"/>
      <c r="AO244" s="126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0"/>
      <c r="U245" s="1260"/>
      <c r="V245" s="1260"/>
      <c r="W245" s="1260"/>
      <c r="X245" s="1260"/>
      <c r="Y245" s="1260"/>
      <c r="Z245" s="1260"/>
      <c r="AA245"/>
      <c r="AB245"/>
      <c r="AC245"/>
      <c r="AD245"/>
      <c r="AE245"/>
      <c r="AF245"/>
      <c r="AG245"/>
      <c r="AH245"/>
      <c r="AI245"/>
      <c r="AJ245"/>
      <c r="AK245" s="1260"/>
      <c r="AL245" s="1260"/>
      <c r="AM245" s="1260"/>
      <c r="AN245" s="1260"/>
      <c r="AO245" s="126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0"/>
      <c r="U246" s="1260"/>
      <c r="V246" s="1260"/>
      <c r="W246" s="1260"/>
      <c r="X246" s="1260"/>
      <c r="Y246" s="1260"/>
      <c r="Z246" s="1260"/>
      <c r="AA246"/>
      <c r="AB246"/>
      <c r="AC246"/>
      <c r="AD246"/>
      <c r="AE246"/>
      <c r="AF246"/>
      <c r="AG246"/>
      <c r="AH246"/>
      <c r="AI246"/>
      <c r="AJ246"/>
      <c r="AK246" s="1260"/>
      <c r="AL246" s="1260"/>
      <c r="AM246" s="1260"/>
      <c r="AN246" s="1260"/>
      <c r="AO246" s="126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0"/>
      <c r="U247" s="1260"/>
      <c r="V247" s="1260"/>
      <c r="W247" s="1260"/>
      <c r="X247" s="1260"/>
      <c r="AB247"/>
      <c r="AC247"/>
      <c r="AD247"/>
      <c r="AE247"/>
      <c r="AF247"/>
      <c r="AG247"/>
      <c r="AH247"/>
      <c r="AI247"/>
      <c r="AJ247"/>
      <c r="AK247" s="1260"/>
      <c r="AL247" s="1260"/>
      <c r="AM247" s="1260"/>
      <c r="AN247" s="1260"/>
      <c r="AO247" s="126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0"/>
      <c r="U248" s="1260"/>
      <c r="V248" s="1260"/>
      <c r="W248" s="1260"/>
      <c r="X248" s="1260"/>
      <c r="AB248"/>
      <c r="AC248"/>
      <c r="AD248"/>
      <c r="AE248"/>
      <c r="AF248"/>
      <c r="AG248"/>
      <c r="AH248"/>
      <c r="AI248"/>
      <c r="AJ248"/>
      <c r="AK248" s="1260"/>
      <c r="AL248" s="1260"/>
      <c r="AM248" s="1260"/>
      <c r="AN248" s="1260"/>
      <c r="AO248" s="126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0"/>
      <c r="U249" s="1260"/>
      <c r="V249" s="1260"/>
      <c r="W249" s="1260"/>
      <c r="X249" s="1260"/>
      <c r="AB249"/>
      <c r="AC249"/>
      <c r="AD249"/>
      <c r="AE249"/>
      <c r="AF249"/>
      <c r="AG249"/>
      <c r="AH249"/>
      <c r="AI249"/>
      <c r="AJ249"/>
      <c r="AK249" s="1260"/>
      <c r="AL249" s="1260"/>
      <c r="AM249" s="1260"/>
      <c r="AN249" s="1260"/>
      <c r="AO249" s="126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0"/>
      <c r="U250" s="1260"/>
      <c r="V250" s="1260"/>
      <c r="W250" s="1260"/>
      <c r="X250" s="1260"/>
      <c r="Y250" s="1260"/>
      <c r="Z250" s="1260"/>
      <c r="AA250"/>
      <c r="AB250"/>
      <c r="AC250"/>
      <c r="AD250"/>
      <c r="AE250"/>
      <c r="AF250"/>
      <c r="AG250"/>
      <c r="AH250"/>
      <c r="AI250"/>
      <c r="AJ250"/>
      <c r="AK250" s="1260"/>
      <c r="AL250" s="1260"/>
      <c r="AM250" s="1260"/>
      <c r="AN250" s="1260"/>
      <c r="AO250" s="126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0"/>
      <c r="U251" s="1260"/>
      <c r="V251" s="1260"/>
      <c r="W251" s="1260"/>
      <c r="X251" s="1260"/>
      <c r="Y251" s="1260"/>
      <c r="Z251" s="1260"/>
      <c r="AA251"/>
      <c r="AB251"/>
      <c r="AC251"/>
      <c r="AD251"/>
      <c r="AE251"/>
      <c r="AF251"/>
      <c r="AG251"/>
      <c r="AH251"/>
      <c r="AI251"/>
      <c r="AJ251"/>
      <c r="AK251" s="1260"/>
      <c r="AL251" s="1260"/>
      <c r="AM251" s="1260"/>
      <c r="AN251" s="1260"/>
      <c r="AO251" s="126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0"/>
      <c r="U252" s="1260"/>
      <c r="V252" s="1260"/>
      <c r="W252" s="1260"/>
      <c r="X252" s="1260"/>
      <c r="Y252" s="1260"/>
      <c r="Z252" s="1260"/>
      <c r="AA252"/>
      <c r="AB252"/>
      <c r="AC252"/>
      <c r="AD252"/>
      <c r="AE252"/>
      <c r="AF252"/>
      <c r="AG252"/>
      <c r="AH252"/>
      <c r="AI252"/>
      <c r="AJ252"/>
      <c r="AK252" s="1260"/>
      <c r="AL252" s="1260"/>
      <c r="AM252" s="1260"/>
      <c r="AN252" s="1260"/>
      <c r="AO252" s="126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0"/>
      <c r="U253" s="1260"/>
      <c r="V253" s="1260"/>
      <c r="W253" s="1260"/>
      <c r="X253" s="1260"/>
      <c r="Y253" s="1260"/>
      <c r="Z253" s="1260"/>
      <c r="AA253"/>
      <c r="AB253"/>
      <c r="AC253"/>
      <c r="AD253"/>
      <c r="AE253"/>
      <c r="AF253"/>
      <c r="AG253"/>
      <c r="AH253"/>
      <c r="AI253"/>
      <c r="AJ253"/>
      <c r="AK253" s="1260"/>
      <c r="AL253" s="1260"/>
      <c r="AM253" s="1260"/>
      <c r="AN253" s="1260"/>
      <c r="AO253" s="126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0"/>
      <c r="U254" s="1260"/>
      <c r="V254" s="1260"/>
      <c r="W254" s="1260"/>
      <c r="X254" s="1260"/>
      <c r="Y254" s="1260"/>
      <c r="Z254" s="1260"/>
      <c r="AA254"/>
      <c r="AB254"/>
      <c r="AC254"/>
      <c r="AD254"/>
      <c r="AE254"/>
      <c r="AF254"/>
      <c r="AG254"/>
      <c r="AH254"/>
      <c r="AI254"/>
      <c r="AJ254"/>
      <c r="AK254" s="1260"/>
      <c r="AL254" s="1260"/>
      <c r="AM254" s="1260"/>
      <c r="AN254" s="1260"/>
      <c r="AO254" s="126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0"/>
      <c r="U255" s="1260"/>
      <c r="V255" s="1260"/>
      <c r="W255" s="1260"/>
      <c r="X255" s="1260"/>
      <c r="Y255" s="1260"/>
      <c r="Z255" s="1260"/>
      <c r="AA255"/>
      <c r="AB255"/>
      <c r="AC255"/>
      <c r="AD255"/>
      <c r="AE255"/>
      <c r="AF255"/>
      <c r="AG255"/>
      <c r="AH255"/>
      <c r="AI255"/>
      <c r="AJ255"/>
      <c r="AK255" s="1260"/>
      <c r="AL255" s="1260"/>
      <c r="AM255" s="1260"/>
      <c r="AN255" s="1260"/>
      <c r="AO255" s="126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0"/>
      <c r="U256" s="1260"/>
      <c r="V256" s="1260"/>
      <c r="W256" s="1260"/>
      <c r="X256" s="1260"/>
      <c r="Y256" s="1260"/>
      <c r="Z256" s="1260"/>
      <c r="AA256"/>
      <c r="AB256"/>
      <c r="AC256"/>
      <c r="AD256"/>
      <c r="AE256"/>
      <c r="AF256"/>
      <c r="AG256"/>
      <c r="AH256"/>
      <c r="AI256"/>
      <c r="AJ256"/>
      <c r="AK256" s="1260"/>
      <c r="AL256" s="1260"/>
      <c r="AM256" s="1260"/>
      <c r="AN256" s="1260"/>
      <c r="AO256" s="126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0"/>
      <c r="U257" s="1260"/>
      <c r="V257" s="1260"/>
      <c r="W257" s="1260"/>
      <c r="X257" s="1260"/>
      <c r="Y257" s="1260"/>
      <c r="Z257" s="1260"/>
      <c r="AA257"/>
      <c r="AB257"/>
      <c r="AC257"/>
      <c r="AD257"/>
      <c r="AE257"/>
      <c r="AF257"/>
      <c r="AG257"/>
      <c r="AH257"/>
      <c r="AI257"/>
      <c r="AJ257"/>
      <c r="AK257" s="1260"/>
      <c r="AL257" s="1260"/>
      <c r="AM257" s="1260"/>
      <c r="AN257" s="1260"/>
      <c r="AO257" s="126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0"/>
      <c r="U258" s="1260"/>
      <c r="V258" s="1260"/>
      <c r="W258" s="1260"/>
      <c r="X258" s="1260"/>
      <c r="Y258" s="1260"/>
      <c r="Z258" s="1260"/>
      <c r="AA258"/>
      <c r="AB258"/>
      <c r="AC258"/>
      <c r="AD258"/>
      <c r="AE258"/>
      <c r="AF258"/>
      <c r="AG258"/>
      <c r="AH258"/>
      <c r="AI258"/>
      <c r="AJ258"/>
      <c r="AK258" s="1260"/>
      <c r="AL258" s="1260"/>
      <c r="AM258" s="1260"/>
      <c r="AN258" s="1260"/>
      <c r="AO258" s="126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0"/>
      <c r="U259" s="1260"/>
      <c r="V259" s="1260"/>
      <c r="W259" s="1260"/>
      <c r="X259" s="1260"/>
      <c r="Y259" s="1260"/>
      <c r="Z259" s="1260"/>
      <c r="AA259"/>
      <c r="AB259"/>
      <c r="AC259"/>
      <c r="AD259"/>
      <c r="AE259"/>
      <c r="AF259"/>
      <c r="AG259"/>
      <c r="AH259"/>
      <c r="AI259"/>
      <c r="AJ259"/>
      <c r="AK259" s="1260"/>
      <c r="AL259" s="1260"/>
      <c r="AM259" s="1260"/>
      <c r="AN259" s="1260"/>
      <c r="AO259" s="126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0"/>
      <c r="U260" s="1260"/>
      <c r="V260" s="1260"/>
      <c r="W260" s="1260"/>
      <c r="X260" s="1260"/>
      <c r="Y260" s="1260"/>
      <c r="Z260" s="1260"/>
      <c r="AA260"/>
      <c r="AB260"/>
      <c r="AC260"/>
      <c r="AD260"/>
      <c r="AE260"/>
      <c r="AF260"/>
      <c r="AG260"/>
      <c r="AH260"/>
      <c r="AI260"/>
      <c r="AJ260"/>
      <c r="AK260" s="1260"/>
      <c r="AL260" s="1260"/>
      <c r="AM260" s="1260"/>
      <c r="AN260" s="1260"/>
      <c r="AO260" s="1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0"/>
      <c r="U261" s="1260"/>
      <c r="V261" s="1260"/>
      <c r="W261" s="1260"/>
      <c r="X261" s="1260"/>
      <c r="Y261" s="1260"/>
      <c r="Z261" s="1260"/>
      <c r="AA261"/>
      <c r="AB261"/>
      <c r="AC261"/>
      <c r="AD261"/>
      <c r="AE261"/>
      <c r="AF261"/>
      <c r="AG261"/>
      <c r="AH261"/>
      <c r="AI261"/>
      <c r="AJ261"/>
      <c r="AK261" s="1260"/>
      <c r="AL261" s="1260"/>
      <c r="AM261" s="1260"/>
      <c r="AN261" s="1260"/>
      <c r="AO261" s="126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0"/>
      <c r="U262" s="1260"/>
      <c r="V262" s="1260"/>
      <c r="W262" s="1260"/>
      <c r="X262" s="1260"/>
      <c r="Y262" s="1260"/>
      <c r="Z262" s="1260"/>
      <c r="AA262"/>
      <c r="AB262"/>
      <c r="AC262"/>
      <c r="AD262"/>
      <c r="AE262"/>
      <c r="AF262"/>
      <c r="AG262"/>
      <c r="AH262"/>
      <c r="AI262"/>
      <c r="AJ262"/>
      <c r="AK262" s="1260"/>
      <c r="AL262" s="1260"/>
      <c r="AM262" s="1260"/>
      <c r="AN262" s="1260"/>
      <c r="AO262" s="126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0"/>
      <c r="U263" s="1260"/>
      <c r="V263" s="1260"/>
      <c r="W263" s="1260"/>
      <c r="X263" s="1260"/>
      <c r="Y263" s="1260"/>
      <c r="Z263" s="1260"/>
      <c r="AA263"/>
      <c r="AB263"/>
      <c r="AC263"/>
      <c r="AD263"/>
      <c r="AE263"/>
      <c r="AF263"/>
      <c r="AG263"/>
      <c r="AH263"/>
      <c r="AI263"/>
      <c r="AJ263"/>
      <c r="AK263" s="1260"/>
      <c r="AL263" s="1260"/>
      <c r="AM263" s="1260"/>
      <c r="AN263" s="1260"/>
      <c r="AO263" s="126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0"/>
      <c r="U264" s="1260"/>
      <c r="V264" s="1260"/>
      <c r="W264" s="1260"/>
      <c r="X264" s="1260"/>
      <c r="Y264" s="1260"/>
      <c r="Z264" s="1260"/>
      <c r="AA264"/>
      <c r="AB264"/>
      <c r="AC264"/>
      <c r="AD264"/>
      <c r="AE264"/>
      <c r="AF264"/>
      <c r="AG264"/>
      <c r="AH264"/>
      <c r="AI264"/>
      <c r="AJ264"/>
      <c r="AK264" s="1260"/>
      <c r="AL264" s="1260"/>
      <c r="AM264" s="1260"/>
      <c r="AN264" s="1260"/>
      <c r="AO264" s="126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0"/>
      <c r="U265" s="1260"/>
      <c r="V265" s="1260"/>
      <c r="W265" s="1260"/>
      <c r="X265" s="1260"/>
      <c r="Y265" s="1260"/>
      <c r="Z265" s="1260"/>
      <c r="AA265"/>
      <c r="AB265"/>
      <c r="AC265"/>
      <c r="AD265"/>
      <c r="AE265"/>
      <c r="AF265"/>
      <c r="AG265"/>
      <c r="AH265"/>
      <c r="AI265"/>
      <c r="AJ265"/>
      <c r="AK265" s="1260"/>
      <c r="AL265" s="1260"/>
      <c r="AM265" s="1260"/>
      <c r="AN265" s="1260"/>
      <c r="AO265" s="126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0"/>
      <c r="U266" s="1260"/>
      <c r="V266" s="1260"/>
      <c r="W266" s="1260"/>
      <c r="X266" s="1260"/>
      <c r="Y266" s="1260"/>
      <c r="Z266" s="1260"/>
      <c r="AA266"/>
      <c r="AB266"/>
      <c r="AC266"/>
      <c r="AD266"/>
      <c r="AE266"/>
      <c r="AF266"/>
      <c r="AG266"/>
      <c r="AH266"/>
      <c r="AI266"/>
      <c r="AJ266"/>
      <c r="AK266" s="1260"/>
      <c r="AL266" s="1260"/>
      <c r="AM266" s="1260"/>
      <c r="AN266" s="1260"/>
      <c r="AO266" s="126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0"/>
      <c r="U267" s="1260"/>
      <c r="V267" s="1260"/>
      <c r="W267" s="1260"/>
      <c r="X267" s="1260"/>
      <c r="Y267" s="1260"/>
      <c r="Z267" s="1260"/>
      <c r="AA267"/>
      <c r="AB267"/>
      <c r="AC267"/>
      <c r="AD267"/>
      <c r="AE267"/>
      <c r="AF267"/>
      <c r="AG267"/>
      <c r="AH267"/>
      <c r="AI267"/>
      <c r="AJ267"/>
      <c r="AK267" s="1260"/>
      <c r="AL267" s="1260"/>
      <c r="AM267" s="1260"/>
      <c r="AN267" s="1260"/>
      <c r="AO267" s="126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0"/>
      <c r="U268" s="1260"/>
      <c r="V268" s="1260"/>
      <c r="W268" s="1260"/>
      <c r="X268" s="1260"/>
      <c r="Y268" s="1260"/>
      <c r="Z268" s="1260"/>
      <c r="AA268"/>
      <c r="AB268"/>
      <c r="AC268"/>
      <c r="AD268"/>
      <c r="AE268"/>
      <c r="AF268"/>
      <c r="AG268"/>
      <c r="AH268"/>
      <c r="AI268"/>
      <c r="AJ268"/>
      <c r="AK268" s="1260"/>
      <c r="AL268" s="1260"/>
      <c r="AM268" s="1260"/>
      <c r="AN268" s="1260"/>
      <c r="AO268" s="126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0"/>
      <c r="U269" s="1260"/>
      <c r="V269" s="1260"/>
      <c r="W269" s="1260"/>
      <c r="X269" s="1260"/>
      <c r="Y269" s="1260"/>
      <c r="Z269" s="1260"/>
      <c r="AA269"/>
      <c r="AB269"/>
      <c r="AC269"/>
      <c r="AD269"/>
      <c r="AE269"/>
      <c r="AF269"/>
      <c r="AG269"/>
      <c r="AH269"/>
      <c r="AI269"/>
      <c r="AJ269"/>
      <c r="AK269" s="1260"/>
      <c r="AL269" s="1260"/>
      <c r="AM269" s="1260"/>
      <c r="AN269" s="1260"/>
      <c r="AO269" s="126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0"/>
      <c r="U270" s="1260"/>
      <c r="V270" s="1824"/>
      <c r="W270" s="1824"/>
      <c r="X270" s="1262" t="s">
        <v>624</v>
      </c>
      <c r="Y270" s="1262">
        <v>59301</v>
      </c>
      <c r="Z270" s="1262" t="s">
        <v>625</v>
      </c>
      <c r="AA270" s="1094" t="s">
        <v>626</v>
      </c>
      <c r="AB270" s="1094" t="s">
        <v>627</v>
      </c>
      <c r="AC270" s="1094" t="s">
        <v>628</v>
      </c>
      <c r="AD270" s="1094" t="s">
        <v>632</v>
      </c>
      <c r="AE270" t="s">
        <v>629</v>
      </c>
      <c r="AF270" t="s">
        <v>630</v>
      </c>
      <c r="AG270" s="1825" t="s">
        <v>631</v>
      </c>
      <c r="AH270" s="1825"/>
      <c r="AI270"/>
      <c r="AJ270"/>
      <c r="AK270" s="1260"/>
      <c r="AL270" s="1260"/>
      <c r="AM270" s="1260"/>
      <c r="AN270" s="1260"/>
      <c r="AO270" s="126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0"/>
      <c r="U271" s="1260"/>
      <c r="V271" s="1260"/>
      <c r="W271" s="1260"/>
      <c r="X271" s="1260" t="s">
        <v>633</v>
      </c>
      <c r="Y271" s="1260">
        <v>100</v>
      </c>
      <c r="Z271" s="126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0"/>
      <c r="AL271" s="1260"/>
      <c r="AM271" s="1260"/>
      <c r="AN271" s="1260"/>
      <c r="AO271" s="126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0"/>
      <c r="U272" s="1260"/>
      <c r="V272" s="1260"/>
      <c r="W272" s="1260"/>
      <c r="X272" s="1263" t="s">
        <v>634</v>
      </c>
      <c r="Y272" s="1263">
        <v>4</v>
      </c>
      <c r="Z272" s="1263">
        <v>0.5</v>
      </c>
      <c r="AA272" s="1095">
        <v>1</v>
      </c>
      <c r="AB272" s="1095">
        <v>0.5</v>
      </c>
      <c r="AC272" s="1095">
        <v>2</v>
      </c>
      <c r="AD272" s="1095">
        <v>0.5</v>
      </c>
      <c r="AE272">
        <v>4.5</v>
      </c>
      <c r="AF272">
        <v>-0.5</v>
      </c>
      <c r="AG272">
        <v>0.2288</v>
      </c>
      <c r="AH272"/>
      <c r="AI272"/>
      <c r="AJ272"/>
      <c r="AK272" s="1260"/>
      <c r="AL272" s="1260"/>
      <c r="AM272" s="1260"/>
      <c r="AN272" s="1260"/>
      <c r="AO272" s="126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0"/>
      <c r="U273" s="1260"/>
      <c r="V273" s="1260"/>
      <c r="W273" s="1260"/>
      <c r="X273" s="1260" t="s">
        <v>635</v>
      </c>
      <c r="Y273" s="1260">
        <v>5</v>
      </c>
      <c r="Z273" s="126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0"/>
      <c r="AL273" s="1260"/>
      <c r="AM273" s="1260"/>
      <c r="AN273" s="1260"/>
      <c r="AO273" s="126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0"/>
      <c r="U274" s="1260"/>
      <c r="V274" s="1260"/>
      <c r="W274" s="1260"/>
      <c r="X274" s="1263" t="s">
        <v>636</v>
      </c>
      <c r="Y274" s="1263">
        <v>6</v>
      </c>
      <c r="Z274" s="1263">
        <v>1</v>
      </c>
      <c r="AA274" s="1095">
        <v>1.5</v>
      </c>
      <c r="AB274" s="1095">
        <v>1</v>
      </c>
      <c r="AC274" s="1095">
        <v>2.5</v>
      </c>
      <c r="AD274" s="109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0"/>
      <c r="AL274" s="1260"/>
      <c r="AM274" s="1260"/>
      <c r="AN274" s="1260"/>
      <c r="AO274" s="126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0"/>
      <c r="U275" s="1260"/>
      <c r="V275" s="1260"/>
      <c r="W275" s="1260"/>
      <c r="X275" s="1260" t="s">
        <v>637</v>
      </c>
      <c r="Y275" s="1260">
        <v>7</v>
      </c>
      <c r="Z275" s="126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0"/>
      <c r="AL275" s="1260"/>
      <c r="AM275" s="1260"/>
      <c r="AN275" s="1260"/>
      <c r="AO275" s="126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0"/>
      <c r="U276" s="1260"/>
      <c r="V276" s="1260"/>
      <c r="W276" s="1260"/>
      <c r="X276" s="1263" t="s">
        <v>638</v>
      </c>
      <c r="Y276" s="1263">
        <v>8</v>
      </c>
      <c r="Z276" s="1263">
        <v>1</v>
      </c>
      <c r="AA276" s="1095">
        <v>2</v>
      </c>
      <c r="AB276" s="1095">
        <v>1</v>
      </c>
      <c r="AC276" s="1095">
        <v>3.5</v>
      </c>
      <c r="AD276" s="109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0"/>
      <c r="AL276" s="1260"/>
      <c r="AM276" s="1260"/>
      <c r="AN276" s="1260"/>
      <c r="AO276" s="126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0"/>
      <c r="U277" s="1260"/>
      <c r="V277" s="1260"/>
      <c r="W277" s="1260"/>
      <c r="X277" s="1260" t="s">
        <v>639</v>
      </c>
      <c r="Y277" s="1260">
        <v>9</v>
      </c>
      <c r="Z277" s="126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0"/>
      <c r="AL277" s="1260"/>
      <c r="AM277" s="1260"/>
      <c r="AN277" s="1260"/>
      <c r="AO277" s="126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0"/>
      <c r="U278" s="1260"/>
      <c r="V278" s="1260"/>
      <c r="W278" s="1260"/>
      <c r="X278" s="1263" t="s">
        <v>640</v>
      </c>
      <c r="Y278" s="1263">
        <v>10</v>
      </c>
      <c r="Z278" s="1263">
        <v>1.5</v>
      </c>
      <c r="AA278" s="1095">
        <v>2</v>
      </c>
      <c r="AB278" s="1095">
        <v>1.5</v>
      </c>
      <c r="AC278" s="1095">
        <v>4.5</v>
      </c>
      <c r="AD278" s="1095">
        <v>1</v>
      </c>
      <c r="AE278">
        <v>10.5</v>
      </c>
      <c r="AF278">
        <v>-0.5</v>
      </c>
      <c r="AG278">
        <v>0.246</v>
      </c>
      <c r="AH278"/>
      <c r="AI278"/>
      <c r="AJ278"/>
      <c r="AK278" s="1260"/>
      <c r="AL278" s="1260"/>
      <c r="AM278" s="1260"/>
      <c r="AN278" s="1260"/>
      <c r="AO278" s="126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0"/>
      <c r="U279" s="1260"/>
      <c r="V279" s="1260"/>
      <c r="W279" s="1260"/>
      <c r="X279" s="1260"/>
      <c r="Y279" s="1260"/>
      <c r="Z279" s="1260"/>
      <c r="AA279"/>
      <c r="AB279"/>
      <c r="AC279"/>
      <c r="AD279"/>
      <c r="AE279"/>
      <c r="AF279"/>
      <c r="AG279"/>
      <c r="AH279"/>
      <c r="AI279"/>
      <c r="AJ279"/>
      <c r="AK279" s="1260"/>
      <c r="AL279" s="1260"/>
      <c r="AM279" s="1260"/>
      <c r="AN279" s="1260"/>
      <c r="AO279" s="126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0"/>
      <c r="U280" s="1260"/>
      <c r="V280" s="1260"/>
      <c r="W280" s="1260"/>
      <c r="X280" s="1260"/>
      <c r="Y280" s="1260"/>
      <c r="Z280" s="1260"/>
      <c r="AA280"/>
      <c r="AB280"/>
      <c r="AC280"/>
      <c r="AD280"/>
      <c r="AE280"/>
      <c r="AF280"/>
      <c r="AG280"/>
      <c r="AH280"/>
      <c r="AI280"/>
      <c r="AJ280"/>
      <c r="AK280" s="1260"/>
      <c r="AL280" s="1260"/>
      <c r="AM280" s="1260"/>
      <c r="AN280" s="1260"/>
      <c r="AO280" s="126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0"/>
      <c r="U281" s="1260"/>
      <c r="V281" s="1260"/>
      <c r="W281" s="1260"/>
      <c r="X281" s="1260"/>
      <c r="Y281" s="1260"/>
      <c r="Z281" s="1260"/>
      <c r="AA281"/>
      <c r="AB281"/>
      <c r="AC281"/>
      <c r="AD281"/>
      <c r="AE281"/>
      <c r="AF281"/>
      <c r="AG281"/>
      <c r="AH281"/>
      <c r="AI281"/>
      <c r="AJ281"/>
      <c r="AK281" s="1260"/>
      <c r="AL281" s="1260"/>
      <c r="AM281" s="1260"/>
      <c r="AN281" s="1260"/>
      <c r="AO281" s="126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0"/>
      <c r="U282" s="1260"/>
      <c r="V282" s="1260"/>
      <c r="W282" s="1260"/>
      <c r="X282" s="1260"/>
      <c r="Y282" s="1260"/>
      <c r="Z282" s="1260"/>
      <c r="AA282"/>
      <c r="AB282"/>
      <c r="AC282"/>
      <c r="AD282"/>
      <c r="AE282"/>
      <c r="AF282"/>
      <c r="AG282"/>
      <c r="AH282"/>
      <c r="AI282"/>
      <c r="AJ282"/>
      <c r="AK282" s="1260"/>
      <c r="AL282" s="1260"/>
      <c r="AM282" s="1260"/>
      <c r="AN282" s="1260"/>
      <c r="AO282" s="126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0"/>
      <c r="U283" s="1260"/>
      <c r="V283" s="1260"/>
      <c r="W283" s="1260"/>
      <c r="X283" s="1260"/>
      <c r="Y283" s="1260"/>
      <c r="Z283" s="1260"/>
      <c r="AA283"/>
      <c r="AB283"/>
      <c r="AC283"/>
      <c r="AD283"/>
      <c r="AE283"/>
      <c r="AF283"/>
      <c r="AG283"/>
      <c r="AH283"/>
      <c r="AI283"/>
      <c r="AJ283"/>
      <c r="AK283" s="1260"/>
      <c r="AL283" s="1260"/>
      <c r="AM283" s="1260"/>
      <c r="AN283" s="1260"/>
      <c r="AO283" s="126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0"/>
      <c r="U284" s="1260"/>
      <c r="V284" s="1260"/>
      <c r="W284" s="1260"/>
      <c r="X284" s="1260"/>
      <c r="Y284" s="1260"/>
      <c r="Z284" s="1260"/>
      <c r="AA284"/>
      <c r="AB284"/>
      <c r="AC284"/>
      <c r="AD284"/>
      <c r="AE284"/>
      <c r="AF284"/>
      <c r="AG284"/>
      <c r="AH284"/>
      <c r="AI284"/>
      <c r="AJ284"/>
      <c r="AK284" s="1260"/>
      <c r="AL284" s="1260"/>
      <c r="AM284" s="1260"/>
      <c r="AN284" s="1260"/>
      <c r="AO284" s="126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0"/>
      <c r="U285" s="1260"/>
      <c r="V285" s="1260"/>
      <c r="W285" s="1260"/>
      <c r="X285" s="1260"/>
      <c r="Y285" s="1260"/>
      <c r="Z285" s="1260"/>
      <c r="AA285"/>
      <c r="AB285"/>
      <c r="AC285"/>
      <c r="AD285"/>
      <c r="AE285"/>
      <c r="AF285"/>
      <c r="AG285"/>
      <c r="AH285"/>
      <c r="AI285"/>
      <c r="AJ285"/>
      <c r="AK285" s="1260"/>
      <c r="AL285" s="1260"/>
      <c r="AM285" s="1260"/>
      <c r="AN285" s="1260"/>
      <c r="AO285" s="126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0"/>
      <c r="U286" s="1260"/>
      <c r="V286" s="1260"/>
      <c r="W286" s="1260"/>
      <c r="X286" s="1260"/>
      <c r="Y286" s="1260"/>
      <c r="AC286"/>
      <c r="AD286"/>
      <c r="AE286"/>
      <c r="AF286"/>
      <c r="AG286"/>
      <c r="AH286"/>
      <c r="AI286"/>
      <c r="AJ286"/>
      <c r="AK286" s="1260"/>
      <c r="AL286" s="1260"/>
      <c r="AM286" s="1260"/>
      <c r="AN286" s="1260"/>
      <c r="AO286" s="126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0"/>
      <c r="U287" s="1260"/>
      <c r="V287" s="1260"/>
      <c r="W287" s="1260"/>
      <c r="X287" s="1260"/>
      <c r="Y287" s="1260"/>
      <c r="AC287"/>
      <c r="AD287"/>
      <c r="AE287"/>
      <c r="AF287"/>
      <c r="AG287"/>
      <c r="AH287"/>
      <c r="AI287"/>
      <c r="AJ287"/>
      <c r="AK287" s="1260"/>
      <c r="AL287" s="1260"/>
      <c r="AM287" s="1260"/>
      <c r="AN287" s="1260"/>
      <c r="AO287" s="126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0"/>
      <c r="U288" s="1260"/>
      <c r="V288" s="1260"/>
      <c r="W288" s="1260"/>
      <c r="X288" s="1260"/>
      <c r="Y288" s="1260"/>
      <c r="AC288"/>
      <c r="AD288"/>
      <c r="AE288"/>
      <c r="AF288"/>
      <c r="AG288"/>
      <c r="AH288"/>
      <c r="AI288"/>
      <c r="AJ288"/>
      <c r="AK288" s="1260"/>
      <c r="AL288" s="1260"/>
      <c r="AM288" s="1260"/>
      <c r="AN288" s="1260"/>
      <c r="AO288" s="126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0"/>
      <c r="U289" s="1260"/>
      <c r="V289" s="1260"/>
      <c r="W289" s="1260"/>
      <c r="X289" s="1260"/>
      <c r="Y289" s="1260"/>
      <c r="Z289" s="1260"/>
      <c r="AA289"/>
      <c r="AB289"/>
      <c r="AC289"/>
      <c r="AD289"/>
      <c r="AE289"/>
      <c r="AF289"/>
      <c r="AG289"/>
      <c r="AH289"/>
      <c r="AI289"/>
      <c r="AJ289"/>
      <c r="AK289" s="1260"/>
      <c r="AL289" s="1260"/>
      <c r="AM289" s="1260"/>
      <c r="AN289" s="1260"/>
      <c r="AO289" s="126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0"/>
      <c r="U290" s="1260"/>
      <c r="V290" s="1260"/>
      <c r="W290" s="1260"/>
      <c r="X290" s="1260"/>
      <c r="Y290" s="1260"/>
      <c r="Z290" s="1260"/>
      <c r="AA290"/>
      <c r="AB290"/>
      <c r="AC290"/>
      <c r="AD290"/>
      <c r="AE290"/>
      <c r="AF290"/>
      <c r="AG290"/>
      <c r="AH290"/>
      <c r="AI290"/>
      <c r="AJ290"/>
      <c r="AK290" s="1260"/>
      <c r="AL290" s="1260"/>
      <c r="AM290" s="1260"/>
      <c r="AN290" s="1260"/>
      <c r="AO290" s="126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0"/>
      <c r="U291" s="1260"/>
      <c r="V291" s="1260"/>
      <c r="W291" s="1260"/>
      <c r="X291" s="1260"/>
      <c r="Y291" s="1260"/>
      <c r="Z291" s="1260"/>
      <c r="AA291"/>
      <c r="AB291"/>
      <c r="AC291"/>
      <c r="AD291"/>
      <c r="AE291"/>
      <c r="AF291"/>
      <c r="AG291"/>
      <c r="AH291"/>
      <c r="AI291"/>
      <c r="AJ291"/>
      <c r="AK291" s="1260"/>
      <c r="AL291" s="1260"/>
      <c r="AM291" s="1260"/>
      <c r="AN291" s="1260"/>
      <c r="AO291" s="126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0"/>
      <c r="U292" s="1260"/>
      <c r="V292" s="1260"/>
      <c r="W292" s="1260"/>
      <c r="X292" s="1260"/>
      <c r="Y292" s="1260"/>
      <c r="Z292" s="1260"/>
      <c r="AA292"/>
      <c r="AB292"/>
      <c r="AC292"/>
      <c r="AD292"/>
      <c r="AE292"/>
      <c r="AF292"/>
      <c r="AG292"/>
      <c r="AH292"/>
      <c r="AI292"/>
      <c r="AJ292"/>
      <c r="AK292" s="1260"/>
      <c r="AL292" s="1260"/>
      <c r="AM292" s="1260"/>
      <c r="AN292" s="1260"/>
      <c r="AO292" s="126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0"/>
      <c r="U293" s="1260"/>
      <c r="V293" s="1260"/>
      <c r="W293" s="1260"/>
      <c r="X293" s="1260"/>
      <c r="Y293" s="1260"/>
      <c r="Z293" s="1260"/>
      <c r="AA293"/>
      <c r="AB293"/>
      <c r="AC293"/>
      <c r="AD293"/>
      <c r="AE293"/>
      <c r="AF293"/>
      <c r="AG293"/>
      <c r="AH293"/>
      <c r="AI293"/>
      <c r="AJ293"/>
      <c r="AK293" s="1260"/>
      <c r="AL293" s="1260"/>
      <c r="AM293" s="1260"/>
      <c r="AN293" s="1260"/>
      <c r="AO293" s="126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0"/>
      <c r="U294" s="1260"/>
      <c r="V294" s="1260"/>
      <c r="W294" s="1260"/>
      <c r="X294" s="1260"/>
      <c r="Y294" s="1260"/>
      <c r="Z294" s="1260"/>
      <c r="AA294"/>
      <c r="AB294"/>
      <c r="AC294"/>
      <c r="AD294"/>
      <c r="AE294"/>
      <c r="AF294"/>
      <c r="AG294"/>
      <c r="AH294"/>
      <c r="AI294"/>
      <c r="AJ294"/>
      <c r="AK294" s="1260"/>
      <c r="AL294" s="1260"/>
      <c r="AM294" s="1260"/>
      <c r="AN294" s="1260"/>
      <c r="AO294" s="126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0"/>
      <c r="U295" s="1260"/>
      <c r="V295" s="1260"/>
      <c r="W295" s="1260"/>
      <c r="X295" s="1260"/>
      <c r="Y295" s="1260"/>
      <c r="Z295" s="1260"/>
      <c r="AA295"/>
      <c r="AB295"/>
      <c r="AC295"/>
      <c r="AD295"/>
      <c r="AE295"/>
      <c r="AF295"/>
      <c r="AG295"/>
      <c r="AH295"/>
      <c r="AI295"/>
      <c r="AJ295"/>
      <c r="AK295" s="1260"/>
      <c r="AL295" s="1260"/>
      <c r="AM295" s="1260"/>
      <c r="AN295" s="1260"/>
      <c r="AO295" s="126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0"/>
      <c r="U296" s="1260"/>
      <c r="V296" s="1260"/>
      <c r="W296" s="1260"/>
      <c r="X296" s="1260"/>
      <c r="Y296" s="1260"/>
      <c r="Z296" s="1260"/>
      <c r="AA296"/>
      <c r="AB296"/>
      <c r="AC296"/>
      <c r="AD296"/>
      <c r="AE296"/>
      <c r="AF296"/>
      <c r="AG296"/>
      <c r="AH296"/>
      <c r="AI296"/>
      <c r="AJ296"/>
      <c r="AK296" s="1260"/>
      <c r="AL296" s="1260"/>
      <c r="AM296" s="1260"/>
      <c r="AN296" s="1260"/>
      <c r="AO296" s="126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0"/>
      <c r="U297" s="1260"/>
      <c r="V297" s="1260"/>
      <c r="W297" s="1260"/>
      <c r="X297" s="1260"/>
      <c r="Y297" s="1260"/>
      <c r="Z297" s="1260"/>
      <c r="AA297"/>
      <c r="AB297"/>
      <c r="AC297"/>
      <c r="AD297"/>
      <c r="AE297"/>
      <c r="AF297"/>
      <c r="AG297"/>
      <c r="AH297"/>
      <c r="AI297"/>
      <c r="AJ297"/>
      <c r="AK297" s="1260"/>
      <c r="AL297" s="1260"/>
      <c r="AM297" s="1260"/>
      <c r="AN297" s="1260"/>
      <c r="AO297" s="126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0"/>
      <c r="U298" s="1260"/>
      <c r="V298" s="1260"/>
      <c r="W298" s="1260"/>
      <c r="X298" s="1260"/>
      <c r="Y298" s="1260"/>
      <c r="Z298" s="1260"/>
      <c r="AA298"/>
      <c r="AB298"/>
      <c r="AC298"/>
      <c r="AD298"/>
      <c r="AE298"/>
      <c r="AF298"/>
      <c r="AG298"/>
      <c r="AH298"/>
      <c r="AI298"/>
      <c r="AJ298"/>
      <c r="AK298" s="1260"/>
      <c r="AL298" s="1260"/>
      <c r="AM298" s="1260"/>
      <c r="AN298" s="1260"/>
      <c r="AO298" s="126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0"/>
      <c r="U299" s="1260"/>
      <c r="V299" s="1260"/>
      <c r="W299" s="1260"/>
      <c r="X299" s="1260"/>
      <c r="Y299" s="1260"/>
      <c r="Z299" s="1260"/>
      <c r="AA299"/>
      <c r="AB299"/>
      <c r="AC299"/>
      <c r="AD299"/>
      <c r="AE299"/>
      <c r="AF299"/>
      <c r="AG299"/>
      <c r="AH299"/>
      <c r="AI299"/>
      <c r="AJ299"/>
      <c r="AK299" s="1260"/>
      <c r="AL299" s="1260"/>
      <c r="AM299" s="1260"/>
      <c r="AN299" s="1260"/>
      <c r="AO299" s="126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0"/>
      <c r="U300" s="1260"/>
      <c r="V300" s="1260"/>
      <c r="W300" s="1260"/>
      <c r="X300" s="1260"/>
      <c r="Y300" s="1260"/>
      <c r="Z300" s="1260"/>
      <c r="AA300"/>
      <c r="AB300"/>
      <c r="AC300"/>
      <c r="AD300"/>
      <c r="AE300"/>
      <c r="AF300"/>
      <c r="AG300"/>
      <c r="AH300"/>
      <c r="AI300"/>
      <c r="AJ300"/>
      <c r="AK300" s="1260"/>
      <c r="AL300" s="1260"/>
      <c r="AM300" s="1260"/>
      <c r="AN300" s="1260"/>
      <c r="AO300" s="126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0"/>
      <c r="U301" s="1260"/>
      <c r="V301" s="1260"/>
      <c r="W301" s="1260"/>
      <c r="X301" s="1260"/>
      <c r="Y301" s="1260"/>
      <c r="Z301" s="1260"/>
      <c r="AA301"/>
      <c r="AB301"/>
      <c r="AC301"/>
      <c r="AD301"/>
      <c r="AE301"/>
      <c r="AF301"/>
      <c r="AG301"/>
      <c r="AH301"/>
      <c r="AI301"/>
      <c r="AJ301"/>
      <c r="AK301" s="1260"/>
      <c r="AL301" s="1260"/>
      <c r="AM301" s="1260"/>
      <c r="AN301" s="1260"/>
      <c r="AO301" s="126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0"/>
      <c r="U302" s="1260"/>
      <c r="V302" s="1260"/>
      <c r="W302" s="1260"/>
      <c r="X302" s="1260"/>
      <c r="Y302" s="1260"/>
      <c r="Z302" s="1260"/>
      <c r="AA302"/>
      <c r="AB302"/>
      <c r="AC302"/>
      <c r="AD302"/>
      <c r="AE302"/>
      <c r="AF302"/>
      <c r="AG302"/>
      <c r="AH302"/>
      <c r="AI302"/>
      <c r="AJ302"/>
      <c r="AK302" s="1260"/>
      <c r="AL302" s="1260"/>
      <c r="AM302" s="1260"/>
      <c r="AN302" s="1260"/>
      <c r="AO302" s="126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0"/>
      <c r="U303" s="1260"/>
      <c r="V303" s="1260"/>
      <c r="W303" s="1260"/>
      <c r="X303" s="1260"/>
      <c r="Y303" s="1260"/>
      <c r="Z303" s="1260"/>
      <c r="AA303"/>
      <c r="AB303"/>
      <c r="AC303"/>
      <c r="AD303"/>
      <c r="AE303"/>
      <c r="AF303"/>
      <c r="AG303"/>
      <c r="AH303"/>
      <c r="AI303"/>
      <c r="AJ303"/>
      <c r="AK303" s="1260"/>
      <c r="AL303" s="1260"/>
      <c r="AM303" s="1260"/>
      <c r="AN303" s="1260"/>
      <c r="AO303" s="126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0"/>
      <c r="U304" s="1260"/>
      <c r="V304" s="1260"/>
      <c r="W304" s="1260"/>
      <c r="X304" s="1260"/>
      <c r="Y304" s="1260"/>
      <c r="Z304" s="1260"/>
      <c r="AA304"/>
      <c r="AB304"/>
      <c r="AC304"/>
      <c r="AD304"/>
      <c r="AE304"/>
      <c r="AF304"/>
      <c r="AG304"/>
      <c r="AH304"/>
      <c r="AI304"/>
      <c r="AJ304"/>
      <c r="AK304" s="1260"/>
      <c r="AL304" s="1260"/>
      <c r="AM304" s="1260"/>
      <c r="AN304" s="1260"/>
      <c r="AO304" s="126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0"/>
      <c r="U305" s="1260"/>
      <c r="V305" s="1260"/>
      <c r="W305" s="1260"/>
      <c r="X305" s="1260"/>
      <c r="Y305" s="1260"/>
      <c r="Z305" s="1260"/>
      <c r="AA305"/>
      <c r="AB305"/>
      <c r="AC305"/>
      <c r="AD305"/>
      <c r="AE305"/>
      <c r="AF305"/>
      <c r="AG305"/>
      <c r="AH305"/>
      <c r="AI305"/>
      <c r="AJ305"/>
      <c r="AK305" s="1260"/>
      <c r="AL305" s="1260"/>
      <c r="AM305" s="1260"/>
      <c r="AN305" s="1260"/>
      <c r="AO305" s="126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0"/>
      <c r="U306" s="1260"/>
      <c r="V306" s="1260"/>
      <c r="W306" s="1260"/>
      <c r="X306" s="1260"/>
      <c r="Y306" s="1260"/>
      <c r="Z306" s="1260"/>
      <c r="AA306"/>
      <c r="AB306"/>
      <c r="AC306"/>
      <c r="AD306"/>
      <c r="AE306"/>
      <c r="AF306"/>
      <c r="AG306"/>
      <c r="AH306"/>
      <c r="AI306"/>
      <c r="AJ306"/>
      <c r="AK306" s="1260"/>
      <c r="AL306" s="1260"/>
      <c r="AM306" s="1260"/>
      <c r="AN306" s="1260"/>
      <c r="AO306" s="126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0"/>
      <c r="U307" s="1260"/>
      <c r="V307" s="1260"/>
      <c r="W307" s="1260"/>
      <c r="X307" s="1260"/>
      <c r="Y307" s="1260"/>
      <c r="Z307" s="1260"/>
      <c r="AA307"/>
      <c r="AB307"/>
      <c r="AC307"/>
      <c r="AD307"/>
      <c r="AE307"/>
      <c r="AF307"/>
      <c r="AG307"/>
      <c r="AH307"/>
      <c r="AI307"/>
      <c r="AJ307"/>
      <c r="AK307" s="1260"/>
      <c r="AL307" s="1260"/>
      <c r="AM307" s="1260"/>
      <c r="AN307" s="1260"/>
      <c r="AO307" s="126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0"/>
      <c r="U308" s="1260"/>
      <c r="V308" s="1260"/>
      <c r="W308" s="1260"/>
      <c r="X308" s="1260"/>
      <c r="Y308" s="1260"/>
      <c r="Z308" s="1260"/>
      <c r="AA308"/>
      <c r="AB308"/>
      <c r="AC308"/>
      <c r="AD308"/>
      <c r="AE308"/>
      <c r="AF308"/>
      <c r="AG308"/>
      <c r="AH308"/>
      <c r="AI308"/>
      <c r="AJ308"/>
      <c r="AK308" s="1260"/>
      <c r="AL308" s="1260"/>
      <c r="AM308" s="1260"/>
      <c r="AN308" s="1260"/>
      <c r="AO308" s="126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0"/>
      <c r="U309" s="1260"/>
      <c r="V309" s="1260"/>
      <c r="W309" s="1260"/>
      <c r="X309" s="1260"/>
      <c r="Y309" s="1260"/>
      <c r="Z309" s="1260"/>
      <c r="AA309"/>
      <c r="AB309"/>
      <c r="AC309"/>
      <c r="AD309"/>
      <c r="AE309"/>
      <c r="AF309"/>
      <c r="AG309"/>
      <c r="AH309"/>
      <c r="AI309"/>
      <c r="AJ309"/>
      <c r="AK309" s="1260"/>
      <c r="AL309" s="1260"/>
      <c r="AM309" s="1260"/>
      <c r="AN309" s="1260"/>
      <c r="AO309" s="126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0"/>
      <c r="U310" s="1260"/>
      <c r="V310" s="1824"/>
      <c r="W310" s="1824"/>
      <c r="X310" s="1260"/>
      <c r="Y310" s="1260"/>
      <c r="Z310" s="1260"/>
      <c r="AA310"/>
      <c r="AB310"/>
      <c r="AC310"/>
      <c r="AD310"/>
      <c r="AE310"/>
      <c r="AF310"/>
      <c r="AG310" s="1825"/>
      <c r="AH310" s="1825"/>
      <c r="AI310"/>
      <c r="AJ310"/>
      <c r="AK310" s="1260"/>
      <c r="AL310" s="1260"/>
      <c r="AM310" s="1260"/>
      <c r="AN310" s="1260"/>
      <c r="AO310" s="126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0"/>
      <c r="U311" s="1260"/>
      <c r="V311" s="1260"/>
      <c r="W311" s="1260"/>
      <c r="X311" s="1260"/>
      <c r="Y311" s="1260"/>
      <c r="Z311" s="1260"/>
      <c r="AA311"/>
      <c r="AB311"/>
      <c r="AC311"/>
      <c r="AD311"/>
      <c r="AE311"/>
      <c r="AF311"/>
      <c r="AG311"/>
      <c r="AH311"/>
      <c r="AI311"/>
      <c r="AJ311"/>
      <c r="AK311" s="1260"/>
      <c r="AL311" s="1260"/>
      <c r="AM311" s="1260"/>
      <c r="AN311" s="1260"/>
      <c r="AO311" s="126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0"/>
      <c r="U312" s="1260"/>
      <c r="V312" s="1260"/>
      <c r="W312" s="1260"/>
      <c r="X312" s="1260"/>
      <c r="Y312" s="1260"/>
      <c r="Z312" s="1260"/>
      <c r="AA312"/>
      <c r="AB312"/>
      <c r="AC312"/>
      <c r="AD312"/>
      <c r="AE312"/>
      <c r="AF312"/>
      <c r="AG312"/>
      <c r="AH312"/>
      <c r="AI312"/>
      <c r="AJ312"/>
      <c r="AK312" s="1260"/>
      <c r="AL312" s="1260"/>
      <c r="AM312" s="1260"/>
      <c r="AN312" s="1260"/>
      <c r="AO312" s="126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0"/>
      <c r="U313" s="1260"/>
      <c r="V313" s="1260"/>
      <c r="W313" s="1260"/>
      <c r="X313" s="1260"/>
      <c r="AB313"/>
      <c r="AC313"/>
      <c r="AD313"/>
      <c r="AE313"/>
      <c r="AF313"/>
      <c r="AG313"/>
      <c r="AH313"/>
      <c r="AI313"/>
      <c r="AJ313"/>
      <c r="AK313" s="1260"/>
      <c r="AL313" s="1260"/>
      <c r="AM313" s="1260"/>
      <c r="AN313" s="1260"/>
      <c r="AO313" s="126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0"/>
      <c r="U314" s="1260"/>
      <c r="V314" s="1260"/>
      <c r="W314" s="1260"/>
      <c r="X314" s="1260"/>
      <c r="AB314"/>
      <c r="AC314"/>
      <c r="AD314"/>
      <c r="AE314"/>
      <c r="AF314"/>
      <c r="AG314"/>
      <c r="AH314"/>
      <c r="AI314"/>
      <c r="AJ314"/>
      <c r="AK314" s="1260"/>
      <c r="AL314" s="1260"/>
      <c r="AM314" s="1260"/>
      <c r="AN314" s="1260"/>
      <c r="AO314" s="126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0"/>
      <c r="U315" s="1260"/>
      <c r="V315" s="1260"/>
      <c r="W315" s="1260"/>
      <c r="X315" s="1260"/>
      <c r="AB315"/>
      <c r="AC315"/>
      <c r="AD315"/>
      <c r="AE315"/>
      <c r="AF315"/>
      <c r="AG315"/>
      <c r="AH315"/>
      <c r="AI315"/>
      <c r="AJ315"/>
      <c r="AK315" s="1260"/>
      <c r="AL315" s="1260"/>
      <c r="AM315" s="1260"/>
      <c r="AN315" s="1260"/>
      <c r="AO315" s="126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0"/>
      <c r="U316" s="1260"/>
      <c r="V316" s="1260"/>
      <c r="W316" s="1260"/>
      <c r="X316" s="1260"/>
      <c r="Y316" s="1260"/>
      <c r="Z316" s="1260"/>
      <c r="AA316"/>
      <c r="AB316"/>
      <c r="AC316"/>
      <c r="AD316"/>
      <c r="AE316"/>
      <c r="AF316"/>
      <c r="AG316"/>
      <c r="AH316"/>
      <c r="AI316"/>
      <c r="AJ316"/>
      <c r="AK316" s="1260"/>
      <c r="AL316" s="1260"/>
      <c r="AM316" s="1260"/>
      <c r="AN316" s="1260"/>
      <c r="AO316" s="126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0"/>
      <c r="U317" s="1260"/>
      <c r="V317" s="1260"/>
      <c r="W317" s="1260"/>
      <c r="X317" s="1260"/>
      <c r="Y317" s="1260"/>
      <c r="Z317" s="1260"/>
      <c r="AA317"/>
      <c r="AB317"/>
      <c r="AC317"/>
      <c r="AD317"/>
      <c r="AE317"/>
      <c r="AF317"/>
      <c r="AG317"/>
      <c r="AH317"/>
      <c r="AI317"/>
      <c r="AJ317"/>
      <c r="AK317" s="1260"/>
      <c r="AL317" s="1260"/>
      <c r="AM317" s="1260"/>
      <c r="AN317" s="1260"/>
      <c r="AO317" s="126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0"/>
      <c r="U318" s="1260"/>
      <c r="V318" s="1260"/>
      <c r="W318" s="1260"/>
      <c r="X318" s="1260"/>
      <c r="Y318" s="1260"/>
      <c r="Z318" s="1260"/>
      <c r="AA318"/>
      <c r="AB318"/>
      <c r="AC318"/>
      <c r="AD318"/>
      <c r="AE318"/>
      <c r="AF318"/>
      <c r="AG318"/>
      <c r="AH318"/>
      <c r="AI318"/>
      <c r="AJ318"/>
      <c r="AK318" s="1260"/>
      <c r="AL318" s="1260"/>
      <c r="AM318" s="1260"/>
      <c r="AN318" s="1260"/>
      <c r="AO318" s="126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0"/>
      <c r="U319" s="1260"/>
      <c r="V319" s="1260"/>
      <c r="W319" s="1260"/>
      <c r="X319" s="1260"/>
      <c r="Y319" s="1260"/>
      <c r="Z319" s="1260"/>
      <c r="AA319"/>
      <c r="AB319"/>
      <c r="AC319"/>
      <c r="AD319"/>
      <c r="AE319"/>
      <c r="AF319"/>
      <c r="AG319"/>
      <c r="AH319"/>
      <c r="AI319"/>
      <c r="AJ319"/>
      <c r="AK319" s="1260"/>
      <c r="AL319" s="1260"/>
      <c r="AM319" s="1260"/>
      <c r="AN319" s="1260"/>
      <c r="AO319" s="126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7" t="s">
        <v>649</v>
      </c>
      <c r="O320" s="1178" t="s">
        <v>650</v>
      </c>
      <c r="P320" s="1178" t="s">
        <v>651</v>
      </c>
      <c r="Q320" s="1179" t="s">
        <v>652</v>
      </c>
      <c r="R320" s="1178" t="s">
        <v>653</v>
      </c>
      <c r="S320"/>
      <c r="T320" s="1260"/>
      <c r="U320" s="1260"/>
      <c r="V320" s="1260"/>
      <c r="W320" s="1260"/>
      <c r="AC320"/>
      <c r="AD320"/>
      <c r="AE320"/>
      <c r="AF320"/>
      <c r="AG320"/>
      <c r="AH320"/>
      <c r="AI320"/>
      <c r="AJ320"/>
      <c r="AK320" s="1260"/>
      <c r="AL320" s="1260"/>
      <c r="AM320" s="1260"/>
      <c r="AN320" s="1260"/>
      <c r="AO320" s="126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8" t="s">
        <v>654</v>
      </c>
      <c r="O321" s="1178">
        <v>83</v>
      </c>
      <c r="P321" s="1178">
        <v>96</v>
      </c>
      <c r="Q321" s="1179">
        <f>IF(SUM(P321)=0,"",O321/P321)</f>
        <v>0.86458333333333337</v>
      </c>
      <c r="R321" s="1180">
        <f>Q321/SUM(CK$9:CK$12)</f>
        <v>0.86458333333333337</v>
      </c>
      <c r="S321"/>
      <c r="T321" s="1260"/>
      <c r="U321" s="1260"/>
      <c r="V321" s="1260"/>
      <c r="W321" s="1260"/>
      <c r="AC321"/>
      <c r="AD321"/>
      <c r="AE321"/>
      <c r="AF321"/>
      <c r="AG321"/>
      <c r="AH321"/>
      <c r="AI321"/>
      <c r="AJ321"/>
      <c r="AK321" s="1260"/>
      <c r="AL321" s="1260"/>
      <c r="AM321" s="1260"/>
      <c r="AN321" s="1260"/>
      <c r="AO321" s="126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8" t="s">
        <v>436</v>
      </c>
      <c r="O322" s="1178">
        <v>4</v>
      </c>
      <c r="P322" s="1178">
        <v>96</v>
      </c>
      <c r="Q322" s="1179">
        <f t="shared" ref="Q322:Q327" si="425">IF(SUM(P322)=0,"",O322/P322)</f>
        <v>4.1666666666666664E-2</v>
      </c>
      <c r="R322" s="1180">
        <f>Q322/SUM(CK$9:CK$10)</f>
        <v>5.6306306306306307E-2</v>
      </c>
    </row>
    <row r="323" spans="3:50" ht="12" customHeight="1">
      <c r="N323" s="1178" t="s">
        <v>655</v>
      </c>
      <c r="O323" s="1178">
        <v>44</v>
      </c>
      <c r="P323" s="1178">
        <v>96</v>
      </c>
      <c r="Q323" s="1179">
        <f t="shared" si="425"/>
        <v>0.45833333333333331</v>
      </c>
      <c r="R323" s="1180">
        <f>Q323/SUM(CK$9:CK$10)</f>
        <v>0.61936936936936937</v>
      </c>
    </row>
    <row r="324" spans="3:50" ht="12" customHeight="1">
      <c r="N324" s="1178" t="s">
        <v>656</v>
      </c>
      <c r="O324" s="1178">
        <v>1</v>
      </c>
      <c r="P324" s="1178">
        <v>96</v>
      </c>
      <c r="Q324" s="1179">
        <f t="shared" si="425"/>
        <v>1.0416666666666666E-2</v>
      </c>
      <c r="R324" s="1180">
        <f>Q324/SUM(CK$9:CK$10)</f>
        <v>1.4076576576576577E-2</v>
      </c>
    </row>
    <row r="325" spans="3:50" ht="12" customHeight="1">
      <c r="N325" s="1178" t="s">
        <v>657</v>
      </c>
      <c r="O325" s="1178">
        <v>0</v>
      </c>
      <c r="P325" s="1178">
        <v>96</v>
      </c>
      <c r="Q325" s="1179">
        <f t="shared" si="425"/>
        <v>0</v>
      </c>
      <c r="R325" s="1180">
        <f>Q325/SUM(CK$9:CK$12)</f>
        <v>0</v>
      </c>
    </row>
    <row r="326" spans="3:50" ht="12" customHeight="1">
      <c r="N326" s="1178" t="s">
        <v>658</v>
      </c>
      <c r="O326" s="1178">
        <v>0</v>
      </c>
      <c r="P326" s="1178">
        <v>96</v>
      </c>
      <c r="Q326" s="1179">
        <f t="shared" si="425"/>
        <v>0</v>
      </c>
      <c r="R326" s="1180">
        <f>Q326/SUM(CK$9:CK$12)</f>
        <v>0</v>
      </c>
    </row>
    <row r="327" spans="3:50" ht="12" customHeight="1">
      <c r="N327" s="1178" t="s">
        <v>659</v>
      </c>
      <c r="O327" s="1178">
        <v>0</v>
      </c>
      <c r="P327" s="1178">
        <v>96</v>
      </c>
      <c r="Q327" s="1179">
        <f t="shared" si="425"/>
        <v>0</v>
      </c>
      <c r="R327" s="1180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982" activePane="bottomRight" state="frozen"/>
      <selection pane="topRight" activeCell="AU1" sqref="AU1"/>
      <selection pane="bottomLeft" activeCell="A419" sqref="A419"/>
      <selection pane="bottomRight" activeCell="B987" sqref="B987:BT1001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7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65" t="str">
        <f>IF(WB!A1="","",WB!A1)</f>
        <v>Zambia Baseline Assessment</v>
      </c>
      <c r="B1" s="243" t="str">
        <f>IF(WB!B1="","",WB!B1)</f>
        <v>[ZM19]</v>
      </c>
      <c r="C1" s="244"/>
      <c r="D1" s="1828" t="s">
        <v>687</v>
      </c>
      <c r="E1" s="1828"/>
      <c r="F1" s="1829"/>
      <c r="G1" s="1202">
        <f>[1]ExpFactors!$C$1</f>
        <v>2100</v>
      </c>
      <c r="H1" s="1203" t="str">
        <f>[1]ExpFactors!$D$1</f>
        <v>kcal</v>
      </c>
      <c r="I1" s="244"/>
      <c r="J1" s="1224" t="s">
        <v>693</v>
      </c>
      <c r="K1" s="122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6"/>
      <c r="CE1" s="1097"/>
      <c r="CF1" s="1097"/>
      <c r="CG1" s="1097"/>
      <c r="CH1" s="1097"/>
      <c r="CI1" s="1097"/>
      <c r="CJ1" s="1097"/>
      <c r="CK1" s="1097"/>
      <c r="CL1" s="1097"/>
      <c r="CM1" s="1097"/>
      <c r="CN1" s="1097"/>
      <c r="CO1" s="1097"/>
      <c r="CP1" s="1097"/>
      <c r="CQ1" s="1097"/>
      <c r="CR1" s="1097"/>
      <c r="CS1" s="1097"/>
      <c r="CT1" s="1098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66" t="str">
        <f>IF(WB!A2="","",WB!A2)</f>
        <v>Northern Border Maize,Beans,Livestock and Trade</v>
      </c>
      <c r="B2" s="1768"/>
      <c r="C2" s="1769"/>
      <c r="D2" s="1769"/>
      <c r="E2" s="1769"/>
      <c r="F2" s="1769"/>
      <c r="G2" s="1769"/>
      <c r="H2" s="1769"/>
      <c r="I2" s="1769"/>
      <c r="J2" s="1769"/>
      <c r="K2" s="1769"/>
      <c r="L2" s="1769"/>
      <c r="M2" s="1769"/>
      <c r="N2" s="1769"/>
      <c r="O2" s="1769"/>
      <c r="P2" s="1769"/>
      <c r="Q2" s="1769"/>
      <c r="R2" s="1769"/>
      <c r="S2" s="1770"/>
      <c r="T2" s="1769"/>
      <c r="U2" s="1769"/>
      <c r="V2" s="1769"/>
      <c r="W2" s="1769"/>
      <c r="X2" s="1769"/>
      <c r="Y2" s="1769"/>
      <c r="Z2" s="1769"/>
      <c r="AA2" s="1769"/>
      <c r="AB2" s="1769"/>
      <c r="AC2" s="1769"/>
      <c r="AD2" s="1769"/>
      <c r="AE2" s="1769"/>
      <c r="AF2" s="1769"/>
      <c r="AG2" s="1769"/>
      <c r="AH2" s="1769"/>
      <c r="AI2" s="1769"/>
      <c r="AJ2" s="1769"/>
      <c r="AK2" s="1770"/>
      <c r="AL2" s="1769"/>
      <c r="AM2" s="1769"/>
      <c r="AN2" s="1769"/>
      <c r="AO2" s="1769"/>
      <c r="AP2" s="1769"/>
      <c r="AQ2" s="1769"/>
      <c r="AR2" s="1769"/>
      <c r="AS2" s="1769"/>
      <c r="AT2" s="1769"/>
      <c r="AU2" s="1769"/>
      <c r="AV2" s="1769"/>
      <c r="AW2" s="1769"/>
      <c r="AX2" s="1769"/>
      <c r="AY2" s="1769"/>
      <c r="AZ2" s="1769"/>
      <c r="BA2" s="1769"/>
      <c r="BB2" s="1769"/>
      <c r="BC2" s="1770"/>
      <c r="BD2" s="1769"/>
      <c r="BE2" s="1769"/>
      <c r="BF2" s="1769"/>
      <c r="BG2" s="1769"/>
      <c r="BH2" s="1769"/>
      <c r="BI2" s="1769"/>
      <c r="BJ2" s="1769"/>
      <c r="BK2" s="1769"/>
      <c r="BL2" s="176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6" t="s">
        <v>94</v>
      </c>
      <c r="CE2" s="1097"/>
      <c r="CF2" s="1097"/>
      <c r="CG2" s="1097"/>
      <c r="CH2" s="1097"/>
      <c r="CI2" s="1097"/>
      <c r="CJ2" s="1097"/>
      <c r="CK2" s="1097"/>
      <c r="CL2" s="1097"/>
      <c r="CM2" s="1097"/>
      <c r="CN2" s="1097"/>
      <c r="CO2" s="1097"/>
      <c r="CP2" s="1097"/>
      <c r="CQ2" s="1097"/>
      <c r="CR2" s="1097"/>
      <c r="CS2" s="1097"/>
      <c r="CT2" s="109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64" customFormat="1" ht="15.75" customHeight="1" thickBot="1">
      <c r="A3" s="1767" t="s">
        <v>33</v>
      </c>
      <c r="B3" s="1752" t="str">
        <f>WB!T3</f>
        <v>V Poor</v>
      </c>
      <c r="C3" s="1752" t="str">
        <f>WB!U3</f>
        <v>V Poor</v>
      </c>
      <c r="D3" s="1752" t="str">
        <f>WB!V3</f>
        <v>V Poor</v>
      </c>
      <c r="E3" s="1752" t="str">
        <f>WB!W3</f>
        <v>V Poor</v>
      </c>
      <c r="F3" s="1752" t="str">
        <f>WB!X3</f>
        <v>V Poor</v>
      </c>
      <c r="G3" s="1752" t="str">
        <f>WB!Y3</f>
        <v>V Poor</v>
      </c>
      <c r="H3" s="1752" t="str">
        <f>WB!Z3</f>
        <v>V Poor</v>
      </c>
      <c r="I3" s="1752" t="str">
        <f>WB!AA3</f>
        <v>V Poor</v>
      </c>
      <c r="J3" s="1752" t="str">
        <f>WB!AB3</f>
        <v>V Poor</v>
      </c>
      <c r="K3" s="1752" t="str">
        <f>WB!AC3</f>
        <v>V Poor</v>
      </c>
      <c r="L3" s="1752" t="str">
        <f>WB!AD3</f>
        <v>V Poor</v>
      </c>
      <c r="M3" s="1752" t="str">
        <f>WB!AE3</f>
        <v>V Poor</v>
      </c>
      <c r="N3" s="1752" t="str">
        <f>WB!AF3</f>
        <v>V Poor</v>
      </c>
      <c r="O3" s="1752" t="str">
        <f>WB!AG3</f>
        <v>V Poor</v>
      </c>
      <c r="P3" s="1752" t="str">
        <f>WB!AH3</f>
        <v>V Poor</v>
      </c>
      <c r="Q3" s="1752" t="str">
        <f>WB!AI3</f>
        <v>V Poor</v>
      </c>
      <c r="R3" s="1752" t="str">
        <f>WB!AJ3</f>
        <v>V Poor</v>
      </c>
      <c r="S3" s="1753"/>
      <c r="T3" s="1752" t="str">
        <f>WB!AK3</f>
        <v>Poor</v>
      </c>
      <c r="U3" s="1752" t="str">
        <f>WB!AL3</f>
        <v>Poor</v>
      </c>
      <c r="V3" s="1752" t="str">
        <f>WB!AM3</f>
        <v>Poor</v>
      </c>
      <c r="W3" s="1752" t="str">
        <f>WB!AN3</f>
        <v>Poor</v>
      </c>
      <c r="X3" s="1752" t="str">
        <f>WB!AO3</f>
        <v>Poor</v>
      </c>
      <c r="Y3" s="1752" t="str">
        <f>WB!AP3</f>
        <v>Poor</v>
      </c>
      <c r="Z3" s="1752" t="str">
        <f>WB!AQ3</f>
        <v>Poor</v>
      </c>
      <c r="AA3" s="1752" t="str">
        <f>WB!AR3</f>
        <v>Poor</v>
      </c>
      <c r="AB3" s="1752" t="str">
        <f>WB!AS3</f>
        <v>Poor</v>
      </c>
      <c r="AC3" s="1752" t="str">
        <f>WB!AT3</f>
        <v>Poor</v>
      </c>
      <c r="AD3" s="1752" t="str">
        <f>WB!AU3</f>
        <v>Poor</v>
      </c>
      <c r="AE3" s="1752" t="str">
        <f>WB!AV3</f>
        <v>Poor</v>
      </c>
      <c r="AF3" s="1752" t="str">
        <f>WB!AW3</f>
        <v>Poor</v>
      </c>
      <c r="AG3" s="1752" t="str">
        <f>WB!AX3</f>
        <v>Poor</v>
      </c>
      <c r="AH3" s="1752" t="str">
        <f>WB!AY3</f>
        <v>Poor</v>
      </c>
      <c r="AI3" s="1752" t="str">
        <f>WB!AZ3</f>
        <v>Poor</v>
      </c>
      <c r="AJ3" s="1752" t="str">
        <f>WB!BA3</f>
        <v>Poor</v>
      </c>
      <c r="AK3" s="1753"/>
      <c r="AL3" s="1752" t="str">
        <f>WB!BB3</f>
        <v>Middle</v>
      </c>
      <c r="AM3" s="1752" t="str">
        <f>WB!BC3</f>
        <v>Middle</v>
      </c>
      <c r="AN3" s="1752" t="str">
        <f>WB!BD3</f>
        <v>Middle</v>
      </c>
      <c r="AO3" s="1752" t="str">
        <f>WB!BE3</f>
        <v>Middle</v>
      </c>
      <c r="AP3" s="1752" t="str">
        <f>WB!BF3</f>
        <v>Middle</v>
      </c>
      <c r="AQ3" s="1752" t="str">
        <f>WB!BG3</f>
        <v>Middle</v>
      </c>
      <c r="AR3" s="1752" t="str">
        <f>WB!BH3</f>
        <v>Middle</v>
      </c>
      <c r="AS3" s="1752" t="str">
        <f>WB!BI3</f>
        <v>Middle</v>
      </c>
      <c r="AT3" s="1752" t="str">
        <f>WB!BJ3</f>
        <v>Middle</v>
      </c>
      <c r="AU3" s="1752" t="str">
        <f>WB!BK3</f>
        <v>Middle</v>
      </c>
      <c r="AV3" s="1752" t="str">
        <f>WB!BL3</f>
        <v>Middle</v>
      </c>
      <c r="AW3" s="1752" t="str">
        <f>WB!BM3</f>
        <v>Middle</v>
      </c>
      <c r="AX3" s="1752" t="str">
        <f>WB!BN3</f>
        <v>Middle</v>
      </c>
      <c r="AY3" s="1752" t="str">
        <f>WB!BO3</f>
        <v>Middle</v>
      </c>
      <c r="AZ3" s="1752" t="str">
        <f>WB!BP3</f>
        <v>Middle</v>
      </c>
      <c r="BA3" s="1752" t="str">
        <f>WB!BQ3</f>
        <v>Middle</v>
      </c>
      <c r="BB3" s="1752" t="str">
        <f>WB!BR3</f>
        <v>Middle</v>
      </c>
      <c r="BC3" s="1753"/>
      <c r="BD3" s="1752" t="str">
        <f>WB!BS3</f>
        <v>B Off</v>
      </c>
      <c r="BE3" s="1752" t="str">
        <f>WB!BT3</f>
        <v>B Off</v>
      </c>
      <c r="BF3" s="1752" t="str">
        <f>WB!BU3</f>
        <v>B Off</v>
      </c>
      <c r="BG3" s="1752" t="str">
        <f>WB!BV3</f>
        <v>B Off</v>
      </c>
      <c r="BH3" s="1752" t="str">
        <f>WB!BW3</f>
        <v>B Off</v>
      </c>
      <c r="BI3" s="1752" t="str">
        <f>WB!BX3</f>
        <v>B Off</v>
      </c>
      <c r="BJ3" s="1752" t="str">
        <f>WB!BY3</f>
        <v>B Off</v>
      </c>
      <c r="BK3" s="1752" t="str">
        <f>WB!BZ3</f>
        <v>B Off</v>
      </c>
      <c r="BL3" s="1752" t="str">
        <f>WB!CA3</f>
        <v>B Off</v>
      </c>
      <c r="BM3" s="1752" t="str">
        <f>WB!CB3</f>
        <v>B Off</v>
      </c>
      <c r="BN3" s="1752" t="str">
        <f>WB!CC3</f>
        <v>B Off</v>
      </c>
      <c r="BO3" s="1752" t="str">
        <f>WB!CD3</f>
        <v>B Off</v>
      </c>
      <c r="BP3" s="1752" t="str">
        <f>WB!CE3</f>
        <v>B Off</v>
      </c>
      <c r="BQ3" s="1752" t="str">
        <f>WB!CF3</f>
        <v>B Off</v>
      </c>
      <c r="BR3" s="1752" t="str">
        <f>WB!CG3</f>
        <v>B Off</v>
      </c>
      <c r="BS3" s="1752" t="str">
        <f>WB!CH3</f>
        <v>B Off</v>
      </c>
      <c r="BT3" s="1752" t="str">
        <f>WB!CI3</f>
        <v>B Off</v>
      </c>
      <c r="BU3" s="1753"/>
      <c r="BV3" s="1754" t="s">
        <v>96</v>
      </c>
      <c r="BW3" s="1752"/>
      <c r="BX3" s="1752"/>
      <c r="BY3" s="1752"/>
      <c r="BZ3" s="1755" t="s">
        <v>97</v>
      </c>
      <c r="CA3" s="1755"/>
      <c r="CB3" s="1755"/>
      <c r="CC3" s="1756"/>
      <c r="CD3" s="1757"/>
      <c r="CE3" s="1756"/>
      <c r="CF3" s="1756"/>
      <c r="CG3" s="1756"/>
      <c r="CH3" s="1756"/>
      <c r="CI3" s="1756"/>
      <c r="CJ3" s="1756"/>
      <c r="CK3" s="1756"/>
      <c r="CL3" s="1756"/>
      <c r="CM3" s="1756"/>
      <c r="CN3" s="1756"/>
      <c r="CO3" s="1756"/>
      <c r="CP3" s="1756"/>
      <c r="CQ3" s="1756"/>
      <c r="CR3" s="1756"/>
      <c r="CS3" s="1756"/>
      <c r="CT3" s="1758"/>
      <c r="CU3" s="1756"/>
      <c r="CV3" s="1756"/>
      <c r="CW3" s="1756"/>
      <c r="CX3" s="1756"/>
      <c r="CY3" s="1756"/>
      <c r="CZ3" s="1756"/>
      <c r="DA3" s="1756"/>
      <c r="DB3" s="1756"/>
      <c r="DC3" s="1756"/>
      <c r="DD3" s="1756"/>
      <c r="DE3" s="1756"/>
      <c r="DF3" s="1756"/>
      <c r="DG3" s="1756"/>
      <c r="DH3" s="1756"/>
      <c r="DI3" s="1756"/>
      <c r="DJ3" s="1756"/>
      <c r="DK3" s="1756"/>
      <c r="DL3" s="1759" t="s">
        <v>46</v>
      </c>
      <c r="DM3" s="1760"/>
      <c r="DN3" s="1760"/>
      <c r="DO3" s="1760"/>
      <c r="DP3" s="1761"/>
      <c r="DQ3" s="1762"/>
      <c r="DR3" s="1762"/>
      <c r="DS3" s="1762"/>
      <c r="DT3" s="1762"/>
      <c r="DU3" s="1762"/>
      <c r="DV3" s="1762"/>
      <c r="DW3" s="1762"/>
      <c r="DX3" s="1763"/>
      <c r="DY3" s="1762"/>
    </row>
    <row r="4" spans="1:129" s="283" customFormat="1" ht="36.75" customHeight="1">
      <c r="A4" s="1750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2" t="s">
        <v>929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30" t="s">
        <v>50</v>
      </c>
      <c r="DR4" s="1830"/>
      <c r="DS4" s="1830"/>
      <c r="DT4" s="1830"/>
      <c r="DU4" s="1830"/>
      <c r="DV4" s="1830"/>
      <c r="DW4" s="1830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7"/>
      <c r="CE5" s="1104"/>
      <c r="CF5" s="1104"/>
      <c r="CG5" s="1104"/>
      <c r="CH5" s="1104"/>
      <c r="CI5" s="1104"/>
      <c r="CJ5" s="1104"/>
      <c r="CK5" s="1104"/>
      <c r="CL5" s="1104"/>
      <c r="CM5" s="1104"/>
      <c r="CN5" s="1104"/>
      <c r="CO5" s="1104"/>
      <c r="CP5" s="1104"/>
      <c r="CQ5" s="1104"/>
      <c r="CR5" s="1104"/>
      <c r="CS5" s="1104"/>
      <c r="CT5" s="1108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31" t="s">
        <v>47</v>
      </c>
      <c r="CE6" s="1831"/>
      <c r="CF6" s="1100"/>
      <c r="CG6" s="1100"/>
      <c r="CH6" s="1100"/>
      <c r="CI6" s="1100"/>
      <c r="CJ6" s="1100"/>
      <c r="CK6" s="1100"/>
      <c r="CL6" s="1100"/>
      <c r="CM6" s="1100"/>
      <c r="CN6" s="1100"/>
      <c r="CO6" s="1100"/>
      <c r="CP6" s="1100"/>
      <c r="CQ6" s="1100"/>
      <c r="CR6" s="1100"/>
      <c r="CS6" s="1832" t="s">
        <v>48</v>
      </c>
      <c r="CT6" s="1832"/>
      <c r="CU6" s="1833" t="s">
        <v>47</v>
      </c>
      <c r="CV6" s="183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4" t="s">
        <v>48</v>
      </c>
      <c r="DK6" s="1834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3" customFormat="1" ht="27.75" customHeight="1" thickBot="1">
      <c r="A7" s="1556" t="s">
        <v>105</v>
      </c>
      <c r="B7" s="1557" t="str">
        <f>IF(WB!T7="","",WB!T7)</f>
        <v>Mpazi, Mainza</v>
      </c>
      <c r="C7" s="1557" t="str">
        <f>IF(WB!U7="","",WB!U7)</f>
        <v>Chimbele, Sekeli</v>
      </c>
      <c r="D7" s="1557" t="str">
        <f>IF(WB!V7="","",WB!V7)</f>
        <v>Chimbele, Sekeli</v>
      </c>
      <c r="E7" s="1557" t="str">
        <f>IF(WB!W7="","",WB!W7)</f>
        <v>M. Siame, M. Mukwavi</v>
      </c>
      <c r="F7" s="1557" t="str">
        <f>IF(WB!X7="","",WB!X7)</f>
        <v>M. Mukwavi, E. Mainza</v>
      </c>
      <c r="G7" s="1557" t="str">
        <f>IF(WB!Y7="","",WB!Y7)</f>
        <v>M. Mukwavi</v>
      </c>
      <c r="H7" s="1557" t="s">
        <v>926</v>
      </c>
      <c r="I7" s="1557" t="str">
        <f>IF(WB!AA7="","",WB!AA7)</f>
        <v>M. Siame, Mainza</v>
      </c>
      <c r="J7" s="1557" t="s">
        <v>866</v>
      </c>
      <c r="K7" s="1557" t="str">
        <f>IF(WB!AC7="","",WB!AC7)</f>
        <v/>
      </c>
      <c r="L7" s="1557"/>
      <c r="M7" s="1557"/>
      <c r="N7" s="1557"/>
      <c r="O7" s="1557" t="str">
        <f>IF(WB!AG7="","",WB!AG7)</f>
        <v/>
      </c>
      <c r="P7" s="1557" t="str">
        <f>IF(WB!AH7="","",WB!AH7)</f>
        <v/>
      </c>
      <c r="Q7" s="1557" t="str">
        <f>IF(WB!AI7="","",WB!AI7)</f>
        <v/>
      </c>
      <c r="R7" s="1557" t="str">
        <f>IF(WB!AJ7="","",WB!AJ7)</f>
        <v/>
      </c>
      <c r="S7" s="1558"/>
      <c r="T7" s="1557" t="str">
        <f>IF(WB!AK7="","",WB!AK7)</f>
        <v xml:space="preserve">Chimbele, Maboshe </v>
      </c>
      <c r="U7" s="1557" t="s">
        <v>927</v>
      </c>
      <c r="V7" s="1557" t="s">
        <v>923</v>
      </c>
      <c r="W7" s="1557" t="str">
        <f>IF(WB!AN7="","",WB!AN7)</f>
        <v>M. Mukwavi, E.Mainza</v>
      </c>
      <c r="X7" s="1557" t="str">
        <f>IF(WB!AO7="","",WB!AO7)</f>
        <v>M. Siame, Mainza</v>
      </c>
      <c r="Y7" s="1557" t="str">
        <f>IF(WB!AP7="","",WB!AP7)</f>
        <v>Mainza,  Siame</v>
      </c>
      <c r="Z7" s="1557" t="str">
        <f>IF(WB!AQ7="","",WB!AQ7)</f>
        <v>M. Mukwavi, Sekeli</v>
      </c>
      <c r="AA7" s="1557" t="str">
        <f>IF(WB!AR7="","",WB!AR7)</f>
        <v>M. Mukwavi, Sekeli</v>
      </c>
      <c r="AB7" s="1557" t="str">
        <f>IF(WB!AS7="","",WB!AS7)</f>
        <v>M. Mainza, M. Siame</v>
      </c>
      <c r="AC7" s="1557" t="str">
        <f>IF(WB!AT7="","",WB!AT7)</f>
        <v/>
      </c>
      <c r="AD7" s="1557" t="str">
        <f>IF(WB!AU7="","",WB!AU7)</f>
        <v/>
      </c>
      <c r="AE7" s="1557" t="str">
        <f>IF(WB!AV7="","",WB!AV7)</f>
        <v/>
      </c>
      <c r="AF7" s="1557" t="str">
        <f>IF(WB!AW7="","",WB!AW7)</f>
        <v/>
      </c>
      <c r="AG7" s="1557" t="str">
        <f>IF(WB!AX7="","",WB!AX7)</f>
        <v/>
      </c>
      <c r="AH7" s="1557" t="str">
        <f>IF(WB!AY7="","",WB!AY7)</f>
        <v/>
      </c>
      <c r="AI7" s="1557" t="str">
        <f>IF(WB!AZ7="","",WB!AZ7)</f>
        <v/>
      </c>
      <c r="AJ7" s="1557" t="str">
        <f>IF(WB!BA7="","",WB!BA7)</f>
        <v/>
      </c>
      <c r="AK7" s="1558"/>
      <c r="AL7" s="1557" t="str">
        <f>IF(WB!BB7="","",WB!BB7)</f>
        <v>Mpazi, Mainza</v>
      </c>
      <c r="AM7" s="1557" t="str">
        <f>IF(WB!BC7="","",WB!BC7)</f>
        <v>Chimbele, Sekeli</v>
      </c>
      <c r="AN7" s="1557" t="s">
        <v>925</v>
      </c>
      <c r="AO7" s="1557" t="str">
        <f>IF(WB!BE7="","",WB!BE7)</f>
        <v>Chimbele, Sekeli</v>
      </c>
      <c r="AP7" s="1557" t="str">
        <f>IF(WB!BF7="","",WB!BF7)</f>
        <v>Chimbele, Sekeli</v>
      </c>
      <c r="AQ7" s="1557" t="str">
        <f>IF(WB!BG7="","",WB!BG7)</f>
        <v>Chimbele, Sekeli</v>
      </c>
      <c r="AR7" s="1557" t="str">
        <f>IF(WB!BH7="","",WB!BH7)</f>
        <v xml:space="preserve">E. Mainza, M. Mukwavi  </v>
      </c>
      <c r="AS7" s="1557" t="str">
        <f>IF(WB!BI7="","",WB!BI7)</f>
        <v>Chimbele,Sekeli</v>
      </c>
      <c r="AT7" s="1557" t="str">
        <f>IF(WB!BJ7="","",WB!BJ7)</f>
        <v>Chimbele, Mainza</v>
      </c>
      <c r="AU7" s="1557"/>
      <c r="AV7" s="1557"/>
      <c r="AW7" s="1557" t="str">
        <f>IF(WB!BM7="","",WB!BM7)</f>
        <v/>
      </c>
      <c r="AX7" s="1557" t="str">
        <f>IF(WB!BN7="","",WB!BN7)</f>
        <v/>
      </c>
      <c r="AY7" s="1557" t="str">
        <f>IF(WB!BO7="","",WB!BO7)</f>
        <v/>
      </c>
      <c r="AZ7" s="1557" t="str">
        <f>IF(WB!BP7="","",WB!BP7)</f>
        <v/>
      </c>
      <c r="BA7" s="1557" t="str">
        <f>IF(WB!BQ7="","",WB!BQ7)</f>
        <v/>
      </c>
      <c r="BB7" s="1557" t="str">
        <f>IF(WB!BR7="","",WB!BR7)</f>
        <v/>
      </c>
      <c r="BC7" s="1558"/>
      <c r="BD7" s="1557" t="s">
        <v>923</v>
      </c>
      <c r="BE7" s="1557" t="s">
        <v>842</v>
      </c>
      <c r="BF7" s="1557" t="s">
        <v>866</v>
      </c>
      <c r="BG7" s="1557" t="s">
        <v>923</v>
      </c>
      <c r="BH7" s="1557" t="s">
        <v>928</v>
      </c>
      <c r="BI7" s="1557" t="s">
        <v>842</v>
      </c>
      <c r="BJ7" s="1557" t="str">
        <f>IF(WB!BY7="","",WB!BY7)</f>
        <v>Chimbele, Sekeli</v>
      </c>
      <c r="BK7" s="1557" t="str">
        <f>IF(WB!BZ7="","",WB!BZ7)</f>
        <v>Mainza, Mpazi</v>
      </c>
      <c r="BL7" s="1557" t="s">
        <v>885</v>
      </c>
      <c r="BM7" s="1557" t="str">
        <f>IF(WB!CB7="","",WB!CB7)</f>
        <v/>
      </c>
      <c r="BN7" s="1557" t="str">
        <f>IF(WB!CC7="","",WB!CC7)</f>
        <v/>
      </c>
      <c r="BO7" s="1557" t="str">
        <f>IF(WB!CD7="","",WB!CD7)</f>
        <v/>
      </c>
      <c r="BP7" s="1557" t="str">
        <f>IF(WB!CE7="","",WB!CE7)</f>
        <v/>
      </c>
      <c r="BQ7" s="1557" t="str">
        <f>IF(WB!CF7="","",WB!CF7)</f>
        <v/>
      </c>
      <c r="BR7" s="1557" t="str">
        <f>IF(WB!CG7="","",WB!CG7)</f>
        <v/>
      </c>
      <c r="BS7" s="1557" t="str">
        <f>IF(WB!CH7="","",WB!CH7)</f>
        <v/>
      </c>
      <c r="BT7" s="1557" t="str">
        <f>IF(WB!CI7="","",WB!CI7)</f>
        <v/>
      </c>
      <c r="BU7" s="1558"/>
      <c r="BV7" s="1559"/>
      <c r="BW7" s="1559"/>
      <c r="BX7" s="1559"/>
      <c r="BY7" s="1559"/>
      <c r="BZ7" s="1560"/>
      <c r="CA7" s="1560"/>
      <c r="CB7" s="1560"/>
      <c r="CC7" s="1560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568"/>
      <c r="DM7" s="1569"/>
      <c r="DN7" s="1569"/>
      <c r="DO7" s="1569"/>
      <c r="DP7" s="1570"/>
      <c r="DQ7" s="1571"/>
      <c r="DR7" s="1571"/>
      <c r="DS7" s="1571"/>
      <c r="DT7" s="1571"/>
      <c r="DU7" s="1571"/>
      <c r="DV7" s="1571"/>
      <c r="DW7" s="1571"/>
      <c r="DX7" s="1572"/>
      <c r="DY7" s="1569"/>
    </row>
    <row r="8" spans="1:129" s="1555" customFormat="1" ht="15.75" customHeight="1">
      <c r="A8" s="1574" t="s">
        <v>106</v>
      </c>
      <c r="B8" s="1575" t="s">
        <v>750</v>
      </c>
      <c r="C8" s="1575" t="s">
        <v>750</v>
      </c>
      <c r="D8" s="1575" t="s">
        <v>750</v>
      </c>
      <c r="E8" s="1575" t="s">
        <v>750</v>
      </c>
      <c r="F8" s="1575" t="s">
        <v>843</v>
      </c>
      <c r="G8" s="1575" t="s">
        <v>750</v>
      </c>
      <c r="H8" s="1575" t="s">
        <v>750</v>
      </c>
      <c r="I8" s="1575" t="s">
        <v>750</v>
      </c>
      <c r="J8" s="1575" t="s">
        <v>750</v>
      </c>
      <c r="K8" s="1575" t="s">
        <v>107</v>
      </c>
      <c r="L8" s="1575" t="s">
        <v>107</v>
      </c>
      <c r="M8" s="1575" t="s">
        <v>107</v>
      </c>
      <c r="N8" s="1575" t="s">
        <v>107</v>
      </c>
      <c r="O8" s="1575" t="s">
        <v>107</v>
      </c>
      <c r="P8" s="1575" t="s">
        <v>107</v>
      </c>
      <c r="Q8" s="1575" t="s">
        <v>107</v>
      </c>
      <c r="R8" s="1575" t="s">
        <v>107</v>
      </c>
      <c r="S8" s="1576"/>
      <c r="T8" s="1575" t="s">
        <v>750</v>
      </c>
      <c r="U8" s="1575" t="s">
        <v>750</v>
      </c>
      <c r="V8" s="1575" t="s">
        <v>750</v>
      </c>
      <c r="W8" s="1575" t="s">
        <v>750</v>
      </c>
      <c r="X8" s="1575" t="s">
        <v>750</v>
      </c>
      <c r="Y8" s="1575" t="s">
        <v>750</v>
      </c>
      <c r="Z8" s="1575" t="s">
        <v>750</v>
      </c>
      <c r="AA8" s="1575" t="s">
        <v>750</v>
      </c>
      <c r="AB8" s="1575" t="s">
        <v>750</v>
      </c>
      <c r="AC8" s="1575"/>
      <c r="AD8" s="1575"/>
      <c r="AE8" s="1575"/>
      <c r="AF8" s="1575"/>
      <c r="AG8" s="1575"/>
      <c r="AH8" s="1575"/>
      <c r="AI8" s="1575"/>
      <c r="AJ8" s="1575"/>
      <c r="AK8" s="1576"/>
      <c r="AL8" s="1575" t="s">
        <v>750</v>
      </c>
      <c r="AM8" s="1575" t="s">
        <v>750</v>
      </c>
      <c r="AN8" s="1575" t="s">
        <v>750</v>
      </c>
      <c r="AO8" s="1575" t="s">
        <v>750</v>
      </c>
      <c r="AP8" s="1575" t="s">
        <v>750</v>
      </c>
      <c r="AQ8" s="1575" t="s">
        <v>750</v>
      </c>
      <c r="AR8" s="1575" t="s">
        <v>750</v>
      </c>
      <c r="AS8" s="1575" t="s">
        <v>750</v>
      </c>
      <c r="AT8" s="1575" t="s">
        <v>750</v>
      </c>
      <c r="AU8" s="1575"/>
      <c r="AV8" s="1575"/>
      <c r="AW8" s="1575"/>
      <c r="AX8" s="1575"/>
      <c r="AY8" s="1575"/>
      <c r="AZ8" s="1575"/>
      <c r="BA8" s="1575"/>
      <c r="BB8" s="1575"/>
      <c r="BC8" s="1576"/>
      <c r="BD8" s="1575" t="s">
        <v>750</v>
      </c>
      <c r="BE8" s="1575" t="s">
        <v>750</v>
      </c>
      <c r="BF8" s="1575" t="s">
        <v>750</v>
      </c>
      <c r="BG8" s="1575" t="s">
        <v>750</v>
      </c>
      <c r="BH8" s="1575" t="s">
        <v>750</v>
      </c>
      <c r="BI8" s="1575" t="s">
        <v>750</v>
      </c>
      <c r="BJ8" s="1575" t="s">
        <v>750</v>
      </c>
      <c r="BK8" s="1575" t="s">
        <v>750</v>
      </c>
      <c r="BL8" s="1575" t="s">
        <v>750</v>
      </c>
      <c r="BM8" s="1575"/>
      <c r="BN8" s="1575"/>
      <c r="BO8" s="1575"/>
      <c r="BP8" s="1575"/>
      <c r="BQ8" s="1575"/>
      <c r="BR8" s="1575"/>
      <c r="BS8" s="1575"/>
      <c r="BT8" s="1575"/>
      <c r="BU8" s="1577"/>
      <c r="BV8" s="1575" t="s">
        <v>107</v>
      </c>
      <c r="BW8" s="1578" t="str">
        <f>IF($BV$8="","",$BV$8)</f>
        <v>2013/14</v>
      </c>
      <c r="BX8" s="1578" t="str">
        <f>IF($BV$8="","",$BV$8)</f>
        <v>2013/14</v>
      </c>
      <c r="BY8" s="1578" t="str">
        <f>IF($BV$8="","",$BV$8)</f>
        <v>2013/14</v>
      </c>
      <c r="BZ8" s="1100"/>
      <c r="CA8" s="1100"/>
      <c r="CB8" s="1100"/>
      <c r="CC8" s="1100"/>
      <c r="CD8" s="1099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1100"/>
      <c r="CS8" s="1100"/>
      <c r="CT8" s="1101"/>
      <c r="CU8" s="1100"/>
      <c r="CV8" s="1100"/>
      <c r="CW8" s="1100"/>
      <c r="CX8" s="1100"/>
      <c r="CY8" s="1100"/>
      <c r="CZ8" s="1100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551"/>
      <c r="DM8" s="1552"/>
      <c r="DN8" s="1552"/>
      <c r="DO8" s="1552"/>
      <c r="DP8" s="1553"/>
      <c r="DQ8" s="1554"/>
      <c r="DR8" s="1554"/>
      <c r="DS8" s="1554"/>
      <c r="DT8" s="1554"/>
      <c r="DU8" s="1554"/>
      <c r="DV8" s="1554"/>
      <c r="DW8" s="1554"/>
      <c r="DX8" s="1554"/>
      <c r="DY8" s="1552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1" t="str">
        <f>IF($B$9="","",$B$9)</f>
        <v>ZMW</v>
      </c>
      <c r="BW9" s="1751" t="str">
        <f>IF($B$9="","",$B$9)</f>
        <v>ZMW</v>
      </c>
      <c r="BX9" s="1751" t="str">
        <f>IF($B$9="","",$B$9)</f>
        <v>ZMW</v>
      </c>
      <c r="BY9" s="1751" t="str">
        <f>IF($B$9="","",$B$9)</f>
        <v>ZMW</v>
      </c>
      <c r="BZ9" s="292"/>
      <c r="CA9" s="292"/>
      <c r="CB9" s="292"/>
      <c r="CC9" s="292"/>
      <c r="CD9" s="1099"/>
      <c r="CE9" s="1100"/>
      <c r="CF9" s="1100"/>
      <c r="CG9" s="1100"/>
      <c r="CH9" s="1100"/>
      <c r="CI9" s="1100"/>
      <c r="CJ9" s="1100"/>
      <c r="CK9" s="1100"/>
      <c r="CL9" s="1100"/>
      <c r="CM9" s="1100"/>
      <c r="CN9" s="1100"/>
      <c r="CO9" s="1100"/>
      <c r="CP9" s="1100"/>
      <c r="CQ9" s="1100"/>
      <c r="CR9" s="1100"/>
      <c r="CS9" s="1100"/>
      <c r="CT9" s="1101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0.61289383005967468</v>
      </c>
      <c r="CD10" s="1114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5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6">
        <f t="shared" si="13"/>
        <v>0</v>
      </c>
      <c r="CG10" s="1116">
        <f t="shared" si="13"/>
        <v>0</v>
      </c>
      <c r="CH10" s="1116">
        <f t="shared" si="13"/>
        <v>0</v>
      </c>
      <c r="CI10" s="1116">
        <f t="shared" si="13"/>
        <v>0</v>
      </c>
      <c r="CJ10" s="1116">
        <f t="shared" si="13"/>
        <v>0</v>
      </c>
      <c r="CK10" s="1117">
        <f t="shared" si="13"/>
        <v>0</v>
      </c>
      <c r="CL10" s="1117">
        <f t="shared" si="13"/>
        <v>0.89685374149659869</v>
      </c>
      <c r="CM10" s="1117">
        <f t="shared" si="13"/>
        <v>0.8972184170471843</v>
      </c>
      <c r="CN10" s="1116">
        <f t="shared" si="13"/>
        <v>0.91523429006305723</v>
      </c>
      <c r="CO10" s="1116">
        <f t="shared" si="13"/>
        <v>0.91933783431180693</v>
      </c>
      <c r="CP10" s="1116">
        <f t="shared" si="13"/>
        <v>0.9403016960208741</v>
      </c>
      <c r="CQ10" s="1116">
        <f t="shared" si="13"/>
        <v>0.96698793215916512</v>
      </c>
      <c r="CR10" s="1116">
        <f t="shared" si="13"/>
        <v>0.97188193085453356</v>
      </c>
      <c r="CS10" s="1115">
        <f t="shared" si="13"/>
        <v>1.0092885565184977</v>
      </c>
      <c r="CT10" s="1118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4">
        <f t="shared" si="13"/>
        <v>0</v>
      </c>
      <c r="CE11" s="1115">
        <f t="shared" si="14"/>
        <v>0</v>
      </c>
      <c r="CF11" s="1116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6">
        <f t="shared" si="42"/>
        <v>0</v>
      </c>
      <c r="CH11" s="1116">
        <f t="shared" si="42"/>
        <v>0</v>
      </c>
      <c r="CI11" s="1116">
        <f t="shared" si="42"/>
        <v>0</v>
      </c>
      <c r="CJ11" s="1116">
        <f t="shared" si="42"/>
        <v>0</v>
      </c>
      <c r="CK11" s="1117">
        <f t="shared" si="42"/>
        <v>0</v>
      </c>
      <c r="CL11" s="1117">
        <f t="shared" si="42"/>
        <v>7.893020221787346E-2</v>
      </c>
      <c r="CM11" s="1117">
        <f t="shared" si="42"/>
        <v>0.12999720436119655</v>
      </c>
      <c r="CN11" s="1116">
        <f t="shared" si="42"/>
        <v>0.13248532289628182</v>
      </c>
      <c r="CO11" s="1116">
        <f t="shared" si="42"/>
        <v>0.16092628832354861</v>
      </c>
      <c r="CP11" s="1116">
        <f t="shared" si="42"/>
        <v>0.19947814742335293</v>
      </c>
      <c r="CQ11" s="1116">
        <f t="shared" si="42"/>
        <v>0.21658512720156559</v>
      </c>
      <c r="CR11" s="1116">
        <f t="shared" si="42"/>
        <v>0.21808778305842882</v>
      </c>
      <c r="CS11" s="1115">
        <f t="shared" si="42"/>
        <v>0.24722765818656228</v>
      </c>
      <c r="CT11" s="1118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0.25784137856055661</v>
      </c>
      <c r="BE12" s="319">
        <f t="shared" ref="BE12:BL12" si="49">SUM(BE829:BE830,BE835:BE836,BE841:BE842,BE844:BE848)</f>
        <v>0.12431126331811264</v>
      </c>
      <c r="BF12" s="319">
        <f t="shared" si="49"/>
        <v>0.17904272667971299</v>
      </c>
      <c r="BG12" s="319">
        <f t="shared" si="49"/>
        <v>0.22697488584474884</v>
      </c>
      <c r="BH12" s="319">
        <f t="shared" si="49"/>
        <v>0.38282615786040441</v>
      </c>
      <c r="BI12" s="319">
        <f t="shared" si="49"/>
        <v>0.21641668996365671</v>
      </c>
      <c r="BJ12" s="319">
        <f t="shared" si="49"/>
        <v>0.328975320721896</v>
      </c>
      <c r="BK12" s="319">
        <f t="shared" si="49"/>
        <v>0.20366329636877581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0.12359437351805257</v>
      </c>
      <c r="CD12" s="1114">
        <f t="shared" si="13"/>
        <v>0</v>
      </c>
      <c r="CE12" s="1115">
        <f t="shared" si="14"/>
        <v>0</v>
      </c>
      <c r="CF12" s="1116">
        <f t="shared" si="42"/>
        <v>0</v>
      </c>
      <c r="CG12" s="1116">
        <f t="shared" si="42"/>
        <v>0</v>
      </c>
      <c r="CH12" s="1116">
        <f t="shared" si="42"/>
        <v>0</v>
      </c>
      <c r="CI12" s="1116">
        <f t="shared" si="42"/>
        <v>0</v>
      </c>
      <c r="CJ12" s="1116">
        <f t="shared" si="42"/>
        <v>0</v>
      </c>
      <c r="CK12" s="1117">
        <f t="shared" si="42"/>
        <v>0</v>
      </c>
      <c r="CL12" s="1117">
        <f t="shared" si="42"/>
        <v>0.10469504240052187</v>
      </c>
      <c r="CM12" s="1117">
        <f t="shared" si="42"/>
        <v>0.11022341813437705</v>
      </c>
      <c r="CN12" s="1116">
        <f t="shared" si="42"/>
        <v>0.13594422700587086</v>
      </c>
      <c r="CO12" s="1116">
        <f t="shared" si="42"/>
        <v>0.18090182648401826</v>
      </c>
      <c r="CP12" s="1116">
        <f t="shared" si="42"/>
        <v>0.18090182648401826</v>
      </c>
      <c r="CQ12" s="1116">
        <f t="shared" si="42"/>
        <v>0.18530029820147237</v>
      </c>
      <c r="CR12" s="1116">
        <f t="shared" si="42"/>
        <v>0.22460697977821267</v>
      </c>
      <c r="CS12" s="1115">
        <f t="shared" si="42"/>
        <v>0.25356979778212657</v>
      </c>
      <c r="CT12" s="1118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4">
        <f t="shared" si="13"/>
        <v>0</v>
      </c>
      <c r="CE13" s="1115">
        <f t="shared" si="14"/>
        <v>0</v>
      </c>
      <c r="CF13" s="1116">
        <f t="shared" si="42"/>
        <v>0</v>
      </c>
      <c r="CG13" s="1116">
        <f t="shared" si="42"/>
        <v>0</v>
      </c>
      <c r="CH13" s="1116">
        <f t="shared" si="42"/>
        <v>0</v>
      </c>
      <c r="CI13" s="1116">
        <f t="shared" si="42"/>
        <v>0</v>
      </c>
      <c r="CJ13" s="1116">
        <f t="shared" si="42"/>
        <v>0</v>
      </c>
      <c r="CK13" s="1117">
        <f t="shared" si="42"/>
        <v>0</v>
      </c>
      <c r="CL13" s="1117">
        <f t="shared" si="42"/>
        <v>0</v>
      </c>
      <c r="CM13" s="1117">
        <f t="shared" si="42"/>
        <v>0</v>
      </c>
      <c r="CN13" s="1116">
        <f t="shared" si="42"/>
        <v>0</v>
      </c>
      <c r="CO13" s="1116">
        <f t="shared" si="42"/>
        <v>0</v>
      </c>
      <c r="CP13" s="1116">
        <f t="shared" si="42"/>
        <v>0</v>
      </c>
      <c r="CQ13" s="1116">
        <f t="shared" si="42"/>
        <v>0</v>
      </c>
      <c r="CR13" s="1116">
        <f t="shared" si="42"/>
        <v>0</v>
      </c>
      <c r="CS13" s="1115">
        <f t="shared" si="42"/>
        <v>0</v>
      </c>
      <c r="CT13" s="1118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4">
        <f t="shared" si="13"/>
        <v>0</v>
      </c>
      <c r="CE14" s="1115">
        <f t="shared" si="14"/>
        <v>0</v>
      </c>
      <c r="CF14" s="1116">
        <f t="shared" si="42"/>
        <v>0</v>
      </c>
      <c r="CG14" s="1116">
        <f t="shared" si="42"/>
        <v>0</v>
      </c>
      <c r="CH14" s="1116">
        <f t="shared" si="42"/>
        <v>0</v>
      </c>
      <c r="CI14" s="1116">
        <f t="shared" si="42"/>
        <v>0</v>
      </c>
      <c r="CJ14" s="1116">
        <f t="shared" si="42"/>
        <v>0</v>
      </c>
      <c r="CK14" s="1117">
        <f t="shared" si="42"/>
        <v>0</v>
      </c>
      <c r="CL14" s="1117">
        <f t="shared" si="42"/>
        <v>0</v>
      </c>
      <c r="CM14" s="1117">
        <f t="shared" si="42"/>
        <v>2.4527071102413568E-2</v>
      </c>
      <c r="CN14" s="1116">
        <f t="shared" si="42"/>
        <v>2.8030938402758367E-2</v>
      </c>
      <c r="CO14" s="1116">
        <f t="shared" si="42"/>
        <v>3.6790606653620356E-2</v>
      </c>
      <c r="CP14" s="1116">
        <f t="shared" si="42"/>
        <v>5.7813810455689119E-2</v>
      </c>
      <c r="CQ14" s="1116">
        <f t="shared" si="42"/>
        <v>5.8251793868232232E-2</v>
      </c>
      <c r="CR14" s="1116">
        <f t="shared" si="42"/>
        <v>7.3581213307240712E-2</v>
      </c>
      <c r="CS14" s="1115">
        <f t="shared" si="42"/>
        <v>8.1756903674711889E-2</v>
      </c>
      <c r="CT14" s="1118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4">
        <f t="shared" si="13"/>
        <v>0</v>
      </c>
      <c r="CE15" s="1115">
        <f t="shared" si="14"/>
        <v>0</v>
      </c>
      <c r="CF15" s="1116">
        <f t="shared" si="42"/>
        <v>0</v>
      </c>
      <c r="CG15" s="1116">
        <f t="shared" si="42"/>
        <v>0</v>
      </c>
      <c r="CH15" s="1116">
        <f t="shared" si="42"/>
        <v>0</v>
      </c>
      <c r="CI15" s="1116">
        <f t="shared" si="42"/>
        <v>0</v>
      </c>
      <c r="CJ15" s="1116">
        <f t="shared" si="42"/>
        <v>0</v>
      </c>
      <c r="CK15" s="1117">
        <f t="shared" si="42"/>
        <v>0</v>
      </c>
      <c r="CL15" s="1117">
        <f t="shared" si="42"/>
        <v>0.25573385518590996</v>
      </c>
      <c r="CM15" s="1117">
        <f t="shared" si="42"/>
        <v>0.27625570776255709</v>
      </c>
      <c r="CN15" s="1116">
        <f t="shared" si="42"/>
        <v>0.29767961979312274</v>
      </c>
      <c r="CO15" s="1116">
        <f t="shared" si="42"/>
        <v>0.3472928897586432</v>
      </c>
      <c r="CP15" s="1116">
        <f t="shared" si="42"/>
        <v>0.3720995247414034</v>
      </c>
      <c r="CQ15" s="1116">
        <f t="shared" si="42"/>
        <v>0.39070450097847359</v>
      </c>
      <c r="CR15" s="1116">
        <f t="shared" si="42"/>
        <v>0.41043705153294197</v>
      </c>
      <c r="CS15" s="1115">
        <f t="shared" si="42"/>
        <v>0.42622309197651664</v>
      </c>
      <c r="CT15" s="1118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4">
        <f t="shared" si="13"/>
        <v>0</v>
      </c>
      <c r="CE16" s="1115">
        <f t="shared" si="14"/>
        <v>0</v>
      </c>
      <c r="CF16" s="1116">
        <f t="shared" si="42"/>
        <v>0</v>
      </c>
      <c r="CG16" s="1116">
        <f t="shared" si="42"/>
        <v>0</v>
      </c>
      <c r="CH16" s="1116">
        <f t="shared" si="42"/>
        <v>0</v>
      </c>
      <c r="CI16" s="1116">
        <f t="shared" si="42"/>
        <v>0</v>
      </c>
      <c r="CJ16" s="1116">
        <f t="shared" si="42"/>
        <v>0</v>
      </c>
      <c r="CK16" s="1117">
        <f t="shared" si="42"/>
        <v>0</v>
      </c>
      <c r="CL16" s="1117">
        <f t="shared" si="42"/>
        <v>0</v>
      </c>
      <c r="CM16" s="1117">
        <f t="shared" si="42"/>
        <v>3.1572080887149384E-2</v>
      </c>
      <c r="CN16" s="1116">
        <f t="shared" si="42"/>
        <v>3.7886497064579257E-2</v>
      </c>
      <c r="CO16" s="1116">
        <f t="shared" si="42"/>
        <v>5.5251141552511415E-2</v>
      </c>
      <c r="CP16" s="1116">
        <f t="shared" si="42"/>
        <v>7.1037181996086107E-2</v>
      </c>
      <c r="CQ16" s="1116">
        <f t="shared" si="42"/>
        <v>0.10824713447022644</v>
      </c>
      <c r="CR16" s="1116">
        <f t="shared" si="42"/>
        <v>0.11050228310502283</v>
      </c>
      <c r="CS16" s="1115">
        <f t="shared" si="42"/>
        <v>0.11839530332681018</v>
      </c>
      <c r="CT16" s="1118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0.12730254403131114</v>
      </c>
      <c r="BG17" s="319">
        <f t="shared" si="95"/>
        <v>9.4838878016960199E-2</v>
      </c>
      <c r="BH17" s="319">
        <f t="shared" si="95"/>
        <v>0.2451512067840835</v>
      </c>
      <c r="BI17" s="319">
        <f t="shared" si="95"/>
        <v>0.14389404528934865</v>
      </c>
      <c r="BJ17" s="319">
        <f t="shared" si="95"/>
        <v>0.38219743422483138</v>
      </c>
      <c r="BK17" s="319">
        <f t="shared" si="95"/>
        <v>0.28856673189823873</v>
      </c>
      <c r="BL17" s="319">
        <f t="shared" si="95"/>
        <v>0.37168224976444153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0.11161077887877627</v>
      </c>
      <c r="CD17" s="1114">
        <f t="shared" si="13"/>
        <v>0</v>
      </c>
      <c r="CE17" s="1115">
        <f t="shared" si="14"/>
        <v>0</v>
      </c>
      <c r="CF17" s="1116">
        <f t="shared" si="42"/>
        <v>0</v>
      </c>
      <c r="CG17" s="1116">
        <f t="shared" si="42"/>
        <v>0</v>
      </c>
      <c r="CH17" s="1116">
        <f t="shared" si="42"/>
        <v>0</v>
      </c>
      <c r="CI17" s="1116">
        <f t="shared" si="42"/>
        <v>0</v>
      </c>
      <c r="CJ17" s="1116">
        <f t="shared" si="42"/>
        <v>0</v>
      </c>
      <c r="CK17" s="1117">
        <f t="shared" si="42"/>
        <v>0</v>
      </c>
      <c r="CL17" s="1117">
        <f t="shared" si="42"/>
        <v>4.4279191128506194E-2</v>
      </c>
      <c r="CM17" s="1117">
        <f t="shared" si="42"/>
        <v>5.5905022831050234E-2</v>
      </c>
      <c r="CN17" s="1116">
        <f t="shared" si="42"/>
        <v>6.566536203522505E-2</v>
      </c>
      <c r="CO17" s="1116">
        <f t="shared" si="42"/>
        <v>7.8356164383561647E-2</v>
      </c>
      <c r="CP17" s="1116">
        <f t="shared" si="42"/>
        <v>8.1440685863386458E-2</v>
      </c>
      <c r="CQ17" s="1116">
        <f t="shared" si="42"/>
        <v>9.7522877644208375E-2</v>
      </c>
      <c r="CR17" s="1116">
        <f t="shared" si="42"/>
        <v>0.10402641878669276</v>
      </c>
      <c r="CS17" s="1115">
        <f t="shared" si="42"/>
        <v>0.14034790171776473</v>
      </c>
      <c r="CT17" s="1118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4">
        <f t="shared" si="13"/>
        <v>0</v>
      </c>
      <c r="CE18" s="1115">
        <f t="shared" si="14"/>
        <v>0</v>
      </c>
      <c r="CF18" s="1116">
        <f t="shared" si="42"/>
        <v>0</v>
      </c>
      <c r="CG18" s="1116">
        <f t="shared" si="42"/>
        <v>0</v>
      </c>
      <c r="CH18" s="1116">
        <f t="shared" si="42"/>
        <v>0</v>
      </c>
      <c r="CI18" s="1116">
        <f t="shared" si="42"/>
        <v>0</v>
      </c>
      <c r="CJ18" s="1116">
        <f t="shared" si="42"/>
        <v>0</v>
      </c>
      <c r="CK18" s="1117">
        <f t="shared" si="42"/>
        <v>0</v>
      </c>
      <c r="CL18" s="1117">
        <f t="shared" si="42"/>
        <v>0</v>
      </c>
      <c r="CM18" s="1117">
        <f t="shared" si="42"/>
        <v>0</v>
      </c>
      <c r="CN18" s="1116">
        <f t="shared" si="42"/>
        <v>0</v>
      </c>
      <c r="CO18" s="1116">
        <f t="shared" si="42"/>
        <v>0</v>
      </c>
      <c r="CP18" s="1116">
        <f t="shared" si="42"/>
        <v>0</v>
      </c>
      <c r="CQ18" s="1116">
        <f t="shared" si="42"/>
        <v>0</v>
      </c>
      <c r="CR18" s="1116">
        <f t="shared" si="42"/>
        <v>0</v>
      </c>
      <c r="CS18" s="1115">
        <f t="shared" si="42"/>
        <v>0</v>
      </c>
      <c r="CT18" s="1118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Y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4">
        <f t="shared" si="13"/>
        <v>0</v>
      </c>
      <c r="CE19" s="1115">
        <f t="shared" si="14"/>
        <v>0</v>
      </c>
      <c r="CF19" s="1116">
        <f t="shared" si="42"/>
        <v>0</v>
      </c>
      <c r="CG19" s="1116">
        <f t="shared" si="42"/>
        <v>0</v>
      </c>
      <c r="CH19" s="1116">
        <f t="shared" si="42"/>
        <v>0</v>
      </c>
      <c r="CI19" s="1116">
        <f t="shared" si="42"/>
        <v>0</v>
      </c>
      <c r="CJ19" s="1116">
        <f t="shared" si="42"/>
        <v>0</v>
      </c>
      <c r="CK19" s="1117">
        <f t="shared" si="42"/>
        <v>0</v>
      </c>
      <c r="CL19" s="1117">
        <f t="shared" si="42"/>
        <v>0</v>
      </c>
      <c r="CM19" s="1117">
        <f t="shared" si="42"/>
        <v>0</v>
      </c>
      <c r="CN19" s="1116">
        <f t="shared" si="42"/>
        <v>0</v>
      </c>
      <c r="CO19" s="1116">
        <f t="shared" si="42"/>
        <v>0</v>
      </c>
      <c r="CP19" s="1116">
        <f t="shared" si="42"/>
        <v>0</v>
      </c>
      <c r="CQ19" s="1116">
        <f t="shared" si="42"/>
        <v>0</v>
      </c>
      <c r="CR19" s="1116">
        <f t="shared" si="42"/>
        <v>0</v>
      </c>
      <c r="CS19" s="1115">
        <f t="shared" si="42"/>
        <v>0</v>
      </c>
      <c r="CT19" s="1118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5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9">
        <f t="shared" si="13"/>
        <v>0</v>
      </c>
      <c r="CF20" s="1160">
        <f t="shared" si="13"/>
        <v>0</v>
      </c>
      <c r="CG20" s="1160">
        <f t="shared" si="13"/>
        <v>0</v>
      </c>
      <c r="CH20" s="1160">
        <f t="shared" si="13"/>
        <v>0</v>
      </c>
      <c r="CI20" s="1160">
        <f t="shared" si="13"/>
        <v>0</v>
      </c>
      <c r="CJ20" s="1160">
        <f t="shared" si="13"/>
        <v>0</v>
      </c>
      <c r="CK20" s="1161">
        <f t="shared" si="13"/>
        <v>0</v>
      </c>
      <c r="CL20" s="1161">
        <f t="shared" si="13"/>
        <v>1885</v>
      </c>
      <c r="CM20" s="1161">
        <f t="shared" si="13"/>
        <v>2195</v>
      </c>
      <c r="CN20" s="1160">
        <f t="shared" si="13"/>
        <v>2478</v>
      </c>
      <c r="CO20" s="1160">
        <f t="shared" si="13"/>
        <v>3036</v>
      </c>
      <c r="CP20" s="1160">
        <f t="shared" si="13"/>
        <v>3565</v>
      </c>
      <c r="CQ20" s="1160">
        <f t="shared" si="13"/>
        <v>3988</v>
      </c>
      <c r="CR20" s="1160">
        <f t="shared" si="13"/>
        <v>4296</v>
      </c>
      <c r="CS20" s="1159">
        <f t="shared" si="13"/>
        <v>4756</v>
      </c>
      <c r="CT20" s="1162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58">
        <f t="shared" si="13"/>
        <v>0</v>
      </c>
      <c r="CE21" s="1159">
        <f t="shared" si="13"/>
        <v>0</v>
      </c>
      <c r="CF21" s="1160">
        <f t="shared" si="13"/>
        <v>0</v>
      </c>
      <c r="CG21" s="1160">
        <f t="shared" si="13"/>
        <v>0</v>
      </c>
      <c r="CH21" s="1160">
        <f t="shared" si="13"/>
        <v>0</v>
      </c>
      <c r="CI21" s="1160">
        <f t="shared" si="13"/>
        <v>0</v>
      </c>
      <c r="CJ21" s="1160">
        <f t="shared" si="13"/>
        <v>0</v>
      </c>
      <c r="CK21" s="1161">
        <f t="shared" si="13"/>
        <v>0</v>
      </c>
      <c r="CL21" s="1161">
        <f t="shared" si="13"/>
        <v>0</v>
      </c>
      <c r="CM21" s="1161">
        <f t="shared" si="13"/>
        <v>0</v>
      </c>
      <c r="CN21" s="1160">
        <f t="shared" si="13"/>
        <v>0</v>
      </c>
      <c r="CO21" s="1160">
        <f t="shared" si="13"/>
        <v>0</v>
      </c>
      <c r="CP21" s="1160">
        <f t="shared" si="13"/>
        <v>0</v>
      </c>
      <c r="CQ21" s="1160">
        <f t="shared" si="13"/>
        <v>45</v>
      </c>
      <c r="CR21" s="1160">
        <f t="shared" si="13"/>
        <v>60</v>
      </c>
      <c r="CS21" s="1159">
        <f t="shared" si="13"/>
        <v>310</v>
      </c>
      <c r="CT21" s="1162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58">
        <f t="shared" si="13"/>
        <v>0</v>
      </c>
      <c r="CE22" s="1159">
        <f t="shared" si="13"/>
        <v>0</v>
      </c>
      <c r="CF22" s="1160">
        <f t="shared" si="13"/>
        <v>0</v>
      </c>
      <c r="CG22" s="1160">
        <f t="shared" si="13"/>
        <v>0</v>
      </c>
      <c r="CH22" s="1160">
        <f t="shared" si="13"/>
        <v>0</v>
      </c>
      <c r="CI22" s="1160">
        <f t="shared" si="13"/>
        <v>0</v>
      </c>
      <c r="CJ22" s="1160">
        <f t="shared" si="13"/>
        <v>0</v>
      </c>
      <c r="CK22" s="1161">
        <f t="shared" si="13"/>
        <v>0</v>
      </c>
      <c r="CL22" s="1161">
        <f t="shared" si="13"/>
        <v>0</v>
      </c>
      <c r="CM22" s="1161">
        <f t="shared" si="13"/>
        <v>0</v>
      </c>
      <c r="CN22" s="1160">
        <f t="shared" si="13"/>
        <v>0</v>
      </c>
      <c r="CO22" s="1160">
        <f t="shared" si="13"/>
        <v>0</v>
      </c>
      <c r="CP22" s="1160">
        <f t="shared" si="13"/>
        <v>0</v>
      </c>
      <c r="CQ22" s="1160">
        <f t="shared" si="13"/>
        <v>0</v>
      </c>
      <c r="CR22" s="1160">
        <f t="shared" si="13"/>
        <v>0</v>
      </c>
      <c r="CS22" s="1159">
        <f t="shared" si="13"/>
        <v>0</v>
      </c>
      <c r="CT22" s="1162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58">
        <f t="shared" si="13"/>
        <v>0</v>
      </c>
      <c r="CE23" s="1159">
        <f t="shared" si="13"/>
        <v>0</v>
      </c>
      <c r="CF23" s="1160">
        <f t="shared" si="13"/>
        <v>0</v>
      </c>
      <c r="CG23" s="1160">
        <f t="shared" si="13"/>
        <v>0</v>
      </c>
      <c r="CH23" s="1160">
        <f t="shared" si="13"/>
        <v>0</v>
      </c>
      <c r="CI23" s="1160">
        <f t="shared" si="13"/>
        <v>0</v>
      </c>
      <c r="CJ23" s="1160">
        <f t="shared" si="13"/>
        <v>0</v>
      </c>
      <c r="CK23" s="1161">
        <f t="shared" si="13"/>
        <v>0</v>
      </c>
      <c r="CL23" s="1161">
        <f t="shared" si="13"/>
        <v>0</v>
      </c>
      <c r="CM23" s="1161">
        <f t="shared" si="13"/>
        <v>0</v>
      </c>
      <c r="CN23" s="1160">
        <f t="shared" si="13"/>
        <v>0</v>
      </c>
      <c r="CO23" s="1160">
        <f t="shared" si="13"/>
        <v>25</v>
      </c>
      <c r="CP23" s="1160">
        <f t="shared" si="13"/>
        <v>60</v>
      </c>
      <c r="CQ23" s="1160">
        <f t="shared" si="13"/>
        <v>75</v>
      </c>
      <c r="CR23" s="1160">
        <f t="shared" si="13"/>
        <v>75</v>
      </c>
      <c r="CS23" s="1159">
        <f t="shared" si="13"/>
        <v>80</v>
      </c>
      <c r="CT23" s="1162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58">
        <f t="shared" si="13"/>
        <v>0</v>
      </c>
      <c r="CE24" s="1159">
        <f t="shared" si="13"/>
        <v>0</v>
      </c>
      <c r="CF24" s="1160">
        <f t="shared" si="13"/>
        <v>0</v>
      </c>
      <c r="CG24" s="1160">
        <f t="shared" si="13"/>
        <v>0</v>
      </c>
      <c r="CH24" s="1160">
        <f t="shared" si="13"/>
        <v>0</v>
      </c>
      <c r="CI24" s="1160">
        <f t="shared" si="13"/>
        <v>0</v>
      </c>
      <c r="CJ24" s="1160">
        <f t="shared" si="13"/>
        <v>0</v>
      </c>
      <c r="CK24" s="1161">
        <f t="shared" si="13"/>
        <v>0</v>
      </c>
      <c r="CL24" s="1161">
        <f t="shared" si="13"/>
        <v>850</v>
      </c>
      <c r="CM24" s="1161">
        <f t="shared" si="13"/>
        <v>1480</v>
      </c>
      <c r="CN24" s="1160">
        <f t="shared" si="13"/>
        <v>1740</v>
      </c>
      <c r="CO24" s="1160">
        <f t="shared" si="13"/>
        <v>1840</v>
      </c>
      <c r="CP24" s="1160">
        <f t="shared" si="13"/>
        <v>2130</v>
      </c>
      <c r="CQ24" s="1160">
        <f t="shared" si="13"/>
        <v>3016</v>
      </c>
      <c r="CR24" s="1160">
        <f t="shared" si="13"/>
        <v>3460</v>
      </c>
      <c r="CS24" s="1159">
        <f t="shared" si="13"/>
        <v>3720</v>
      </c>
      <c r="CT24" s="1162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8">
        <f t="shared" si="13"/>
        <v>0</v>
      </c>
      <c r="CE25" s="1159">
        <f t="shared" si="13"/>
        <v>0</v>
      </c>
      <c r="CF25" s="1160">
        <f t="shared" si="13"/>
        <v>0</v>
      </c>
      <c r="CG25" s="1160">
        <f t="shared" si="13"/>
        <v>0</v>
      </c>
      <c r="CH25" s="1160">
        <f t="shared" si="13"/>
        <v>0</v>
      </c>
      <c r="CI25" s="1160">
        <f t="shared" si="13"/>
        <v>0</v>
      </c>
      <c r="CJ25" s="1160">
        <f t="shared" si="13"/>
        <v>0</v>
      </c>
      <c r="CK25" s="1161">
        <f t="shared" si="13"/>
        <v>0</v>
      </c>
      <c r="CL25" s="1161">
        <f t="shared" si="13"/>
        <v>0</v>
      </c>
      <c r="CM25" s="1161">
        <f t="shared" si="13"/>
        <v>0</v>
      </c>
      <c r="CN25" s="1160">
        <f t="shared" si="13"/>
        <v>0</v>
      </c>
      <c r="CO25" s="1160">
        <f t="shared" si="13"/>
        <v>0</v>
      </c>
      <c r="CP25" s="1160">
        <f t="shared" si="13"/>
        <v>0</v>
      </c>
      <c r="CQ25" s="1160">
        <f t="shared" si="13"/>
        <v>0</v>
      </c>
      <c r="CR25" s="1160">
        <f t="shared" si="13"/>
        <v>0</v>
      </c>
      <c r="CS25" s="1159">
        <f t="shared" si="13"/>
        <v>0</v>
      </c>
      <c r="CT25" s="1162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58">
        <f t="shared" si="13"/>
        <v>0</v>
      </c>
      <c r="CE26" s="1159">
        <f t="shared" si="13"/>
        <v>0</v>
      </c>
      <c r="CF26" s="1160">
        <f t="shared" si="13"/>
        <v>0</v>
      </c>
      <c r="CG26" s="1160">
        <f t="shared" si="13"/>
        <v>0</v>
      </c>
      <c r="CH26" s="1160">
        <f t="shared" si="13"/>
        <v>0</v>
      </c>
      <c r="CI26" s="1160">
        <f t="shared" si="13"/>
        <v>0</v>
      </c>
      <c r="CJ26" s="1160">
        <f t="shared" si="13"/>
        <v>0</v>
      </c>
      <c r="CK26" s="1161">
        <f t="shared" si="13"/>
        <v>0</v>
      </c>
      <c r="CL26" s="1161">
        <f t="shared" si="13"/>
        <v>0</v>
      </c>
      <c r="CM26" s="1161">
        <f t="shared" si="13"/>
        <v>0</v>
      </c>
      <c r="CN26" s="1160">
        <f t="shared" si="13"/>
        <v>0</v>
      </c>
      <c r="CO26" s="1160">
        <f t="shared" si="13"/>
        <v>80</v>
      </c>
      <c r="CP26" s="1160">
        <f t="shared" si="13"/>
        <v>228</v>
      </c>
      <c r="CQ26" s="1160">
        <f t="shared" si="13"/>
        <v>675</v>
      </c>
      <c r="CR26" s="1160">
        <f t="shared" si="13"/>
        <v>780</v>
      </c>
      <c r="CS26" s="1159">
        <f t="shared" si="13"/>
        <v>911</v>
      </c>
      <c r="CT26" s="1162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58">
        <f t="shared" si="13"/>
        <v>0</v>
      </c>
      <c r="CE27" s="1159">
        <f t="shared" si="13"/>
        <v>0</v>
      </c>
      <c r="CF27" s="1160">
        <f t="shared" si="13"/>
        <v>0</v>
      </c>
      <c r="CG27" s="1160">
        <f t="shared" si="13"/>
        <v>0</v>
      </c>
      <c r="CH27" s="1160">
        <f t="shared" si="13"/>
        <v>0</v>
      </c>
      <c r="CI27" s="1160">
        <f t="shared" si="13"/>
        <v>0</v>
      </c>
      <c r="CJ27" s="1160">
        <f t="shared" si="13"/>
        <v>0</v>
      </c>
      <c r="CK27" s="1161">
        <f t="shared" si="13"/>
        <v>0</v>
      </c>
      <c r="CL27" s="1161">
        <f t="shared" si="13"/>
        <v>0</v>
      </c>
      <c r="CM27" s="1161">
        <f t="shared" si="13"/>
        <v>0</v>
      </c>
      <c r="CN27" s="1160">
        <f t="shared" si="13"/>
        <v>0</v>
      </c>
      <c r="CO27" s="1160">
        <f t="shared" si="13"/>
        <v>0</v>
      </c>
      <c r="CP27" s="1160">
        <f t="shared" si="13"/>
        <v>240</v>
      </c>
      <c r="CQ27" s="1160">
        <f t="shared" si="13"/>
        <v>576</v>
      </c>
      <c r="CR27" s="1160">
        <f t="shared" si="13"/>
        <v>640</v>
      </c>
      <c r="CS27" s="1159">
        <f t="shared" si="13"/>
        <v>768</v>
      </c>
      <c r="CT27" s="1162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8">
        <f t="shared" si="13"/>
        <v>0</v>
      </c>
      <c r="CE28" s="1159">
        <f t="shared" si="13"/>
        <v>0</v>
      </c>
      <c r="CF28" s="1160">
        <f t="shared" si="13"/>
        <v>0</v>
      </c>
      <c r="CG28" s="1160">
        <f t="shared" si="13"/>
        <v>0</v>
      </c>
      <c r="CH28" s="1160">
        <f t="shared" si="13"/>
        <v>0</v>
      </c>
      <c r="CI28" s="1160">
        <f t="shared" si="13"/>
        <v>0</v>
      </c>
      <c r="CJ28" s="1160">
        <f t="shared" si="13"/>
        <v>0</v>
      </c>
      <c r="CK28" s="1161">
        <f t="shared" si="13"/>
        <v>0</v>
      </c>
      <c r="CL28" s="1161">
        <f t="shared" si="13"/>
        <v>0</v>
      </c>
      <c r="CM28" s="1161">
        <f t="shared" si="13"/>
        <v>0</v>
      </c>
      <c r="CN28" s="1160">
        <f t="shared" si="13"/>
        <v>0</v>
      </c>
      <c r="CO28" s="1160">
        <f t="shared" si="13"/>
        <v>0</v>
      </c>
      <c r="CP28" s="1160">
        <f t="shared" si="13"/>
        <v>0</v>
      </c>
      <c r="CQ28" s="1160">
        <f t="shared" si="13"/>
        <v>0</v>
      </c>
      <c r="CR28" s="1160">
        <f t="shared" si="13"/>
        <v>0</v>
      </c>
      <c r="CS28" s="1159">
        <f t="shared" si="13"/>
        <v>0</v>
      </c>
      <c r="CT28" s="1162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8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9">
        <f t="shared" si="198"/>
        <v>0</v>
      </c>
      <c r="CF29" s="1160">
        <f t="shared" si="198"/>
        <v>0</v>
      </c>
      <c r="CG29" s="1160">
        <f t="shared" si="198"/>
        <v>0</v>
      </c>
      <c r="CH29" s="1160">
        <f t="shared" si="198"/>
        <v>0</v>
      </c>
      <c r="CI29" s="1160">
        <f t="shared" si="198"/>
        <v>0</v>
      </c>
      <c r="CJ29" s="1160">
        <f t="shared" si="198"/>
        <v>0</v>
      </c>
      <c r="CK29" s="1161">
        <f t="shared" si="198"/>
        <v>0</v>
      </c>
      <c r="CL29" s="1161">
        <f t="shared" si="198"/>
        <v>0</v>
      </c>
      <c r="CM29" s="1161">
        <f t="shared" si="198"/>
        <v>0</v>
      </c>
      <c r="CN29" s="1160">
        <f t="shared" si="198"/>
        <v>0</v>
      </c>
      <c r="CO29" s="1160">
        <f t="shared" si="198"/>
        <v>0</v>
      </c>
      <c r="CP29" s="1160">
        <f t="shared" si="198"/>
        <v>0</v>
      </c>
      <c r="CQ29" s="1160">
        <f t="shared" si="198"/>
        <v>0</v>
      </c>
      <c r="CR29" s="1160">
        <f t="shared" si="198"/>
        <v>0</v>
      </c>
      <c r="CS29" s="1159">
        <f t="shared" si="198"/>
        <v>0</v>
      </c>
      <c r="CT29" s="1162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58">
        <f t="shared" si="198"/>
        <v>0</v>
      </c>
      <c r="CE30" s="1159">
        <f t="shared" si="198"/>
        <v>0</v>
      </c>
      <c r="CF30" s="1160">
        <f t="shared" si="198"/>
        <v>0</v>
      </c>
      <c r="CG30" s="1160">
        <f t="shared" si="198"/>
        <v>0</v>
      </c>
      <c r="CH30" s="1160">
        <f t="shared" si="198"/>
        <v>0</v>
      </c>
      <c r="CI30" s="1160">
        <f t="shared" si="198"/>
        <v>0</v>
      </c>
      <c r="CJ30" s="1160">
        <f t="shared" si="198"/>
        <v>0</v>
      </c>
      <c r="CK30" s="1161">
        <f t="shared" si="198"/>
        <v>0</v>
      </c>
      <c r="CL30" s="1161">
        <f t="shared" si="198"/>
        <v>0</v>
      </c>
      <c r="CM30" s="1161">
        <f t="shared" si="198"/>
        <v>0</v>
      </c>
      <c r="CN30" s="1160">
        <f t="shared" si="198"/>
        <v>0</v>
      </c>
      <c r="CO30" s="1160">
        <f t="shared" si="198"/>
        <v>0</v>
      </c>
      <c r="CP30" s="1160">
        <f t="shared" si="198"/>
        <v>0</v>
      </c>
      <c r="CQ30" s="1160">
        <f t="shared" si="198"/>
        <v>0</v>
      </c>
      <c r="CR30" s="1160">
        <f t="shared" si="198"/>
        <v>0</v>
      </c>
      <c r="CS30" s="1159">
        <f t="shared" si="198"/>
        <v>0</v>
      </c>
      <c r="CT30" s="1162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4706.25</v>
      </c>
      <c r="C31" s="321">
        <f t="shared" si="216"/>
        <v>6049.92</v>
      </c>
      <c r="D31" s="321">
        <f t="shared" si="216"/>
        <v>3953.2</v>
      </c>
      <c r="E31" s="321">
        <f t="shared" si="216"/>
        <v>4235.75</v>
      </c>
      <c r="F31" s="321">
        <f t="shared" si="216"/>
        <v>3036</v>
      </c>
      <c r="G31" s="321">
        <f t="shared" si="216"/>
        <v>3541.94</v>
      </c>
      <c r="H31" s="321">
        <f t="shared" si="216"/>
        <v>2195</v>
      </c>
      <c r="I31" s="321">
        <f t="shared" si="216"/>
        <v>1885</v>
      </c>
      <c r="J31" s="321">
        <f t="shared" si="216"/>
        <v>2438.4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8834.9599999999991</v>
      </c>
      <c r="U31" s="321">
        <f t="shared" si="218"/>
        <v>2969.76</v>
      </c>
      <c r="V31" s="321">
        <f t="shared" si="218"/>
        <v>4185</v>
      </c>
      <c r="W31" s="321">
        <f t="shared" si="218"/>
        <v>4509</v>
      </c>
      <c r="X31" s="321">
        <f t="shared" si="218"/>
        <v>3878.92</v>
      </c>
      <c r="Y31" s="321">
        <f t="shared" si="218"/>
        <v>5140.28</v>
      </c>
      <c r="Z31" s="321">
        <f t="shared" si="218"/>
        <v>3044.5</v>
      </c>
      <c r="AA31" s="321">
        <f t="shared" si="218"/>
        <v>3203.1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25150</v>
      </c>
      <c r="AM31" s="321">
        <f t="shared" si="220"/>
        <v>19951.599999999999</v>
      </c>
      <c r="AN31" s="321">
        <f t="shared" si="220"/>
        <v>18381.25</v>
      </c>
      <c r="AO31" s="321">
        <f t="shared" si="220"/>
        <v>22414.37</v>
      </c>
      <c r="AP31" s="321">
        <f t="shared" si="220"/>
        <v>26484.6</v>
      </c>
      <c r="AQ31" s="321">
        <f t="shared" si="220"/>
        <v>22417.5</v>
      </c>
      <c r="AR31" s="321">
        <f t="shared" si="220"/>
        <v>25310</v>
      </c>
      <c r="AS31" s="321">
        <f t="shared" si="220"/>
        <v>34969.5</v>
      </c>
      <c r="AT31" s="321">
        <f t="shared" si="220"/>
        <v>41452.04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27687.578000000001</v>
      </c>
      <c r="BF31" s="321">
        <f t="shared" si="222"/>
        <v>35610.400000000001</v>
      </c>
      <c r="BG31" s="321">
        <f t="shared" si="222"/>
        <v>52988</v>
      </c>
      <c r="BH31" s="321">
        <f t="shared" si="222"/>
        <v>28001.988000000001</v>
      </c>
      <c r="BI31" s="321">
        <f t="shared" si="222"/>
        <v>20264.95</v>
      </c>
      <c r="BJ31" s="321">
        <f t="shared" si="222"/>
        <v>49540</v>
      </c>
      <c r="BK31" s="321">
        <f t="shared" si="222"/>
        <v>28392.2</v>
      </c>
      <c r="BL31" s="321">
        <f t="shared" si="222"/>
        <v>35924.6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1732.7693333333334</v>
      </c>
      <c r="CA31" s="323">
        <f t="shared" si="209"/>
        <v>2086.4373333333333</v>
      </c>
      <c r="CB31" s="323">
        <f t="shared" si="210"/>
        <v>13005.254666666668</v>
      </c>
      <c r="CC31" s="323">
        <f t="shared" si="211"/>
        <v>17548.271200000003</v>
      </c>
      <c r="CD31" s="1158">
        <f t="shared" si="198"/>
        <v>0</v>
      </c>
      <c r="CE31" s="1159">
        <f t="shared" si="198"/>
        <v>0</v>
      </c>
      <c r="CF31" s="1160">
        <f t="shared" si="198"/>
        <v>0</v>
      </c>
      <c r="CG31" s="1160">
        <f t="shared" si="198"/>
        <v>0</v>
      </c>
      <c r="CH31" s="1160">
        <f t="shared" si="198"/>
        <v>0</v>
      </c>
      <c r="CI31" s="1160">
        <f t="shared" si="198"/>
        <v>0</v>
      </c>
      <c r="CJ31" s="1160">
        <f t="shared" si="198"/>
        <v>0</v>
      </c>
      <c r="CK31" s="1161">
        <f t="shared" si="198"/>
        <v>0</v>
      </c>
      <c r="CL31" s="1161">
        <f t="shared" si="198"/>
        <v>1885</v>
      </c>
      <c r="CM31" s="1161">
        <f t="shared" si="198"/>
        <v>2195</v>
      </c>
      <c r="CN31" s="1160">
        <f t="shared" si="198"/>
        <v>2438.4</v>
      </c>
      <c r="CO31" s="1160">
        <f t="shared" si="198"/>
        <v>3036</v>
      </c>
      <c r="CP31" s="1160">
        <f t="shared" si="198"/>
        <v>3541.94</v>
      </c>
      <c r="CQ31" s="1160">
        <f t="shared" si="198"/>
        <v>3953.2</v>
      </c>
      <c r="CR31" s="1160">
        <f t="shared" si="198"/>
        <v>4235.75</v>
      </c>
      <c r="CS31" s="1159">
        <f t="shared" si="198"/>
        <v>4706.25</v>
      </c>
      <c r="CT31" s="1162">
        <f t="shared" si="199"/>
        <v>6049.92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2969.76</v>
      </c>
      <c r="DD31" s="327">
        <f t="shared" si="25"/>
        <v>3044.5</v>
      </c>
      <c r="DE31" s="326">
        <f t="shared" si="26"/>
        <v>3203.1</v>
      </c>
      <c r="DF31" s="326">
        <f t="shared" si="27"/>
        <v>3878.92</v>
      </c>
      <c r="DG31" s="326">
        <f t="shared" si="28"/>
        <v>4185</v>
      </c>
      <c r="DH31" s="326">
        <f t="shared" si="29"/>
        <v>4366</v>
      </c>
      <c r="DI31" s="326">
        <f t="shared" si="30"/>
        <v>4509</v>
      </c>
      <c r="DJ31" s="325">
        <f t="shared" si="31"/>
        <v>5140.28</v>
      </c>
      <c r="DK31" s="324">
        <f t="shared" si="32"/>
        <v>8834.9599999999991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58">
        <f t="shared" si="198"/>
        <v>0</v>
      </c>
      <c r="CE32" s="1159">
        <f t="shared" si="198"/>
        <v>0</v>
      </c>
      <c r="CF32" s="1160">
        <f t="shared" si="198"/>
        <v>0</v>
      </c>
      <c r="CG32" s="1160">
        <f t="shared" si="198"/>
        <v>0</v>
      </c>
      <c r="CH32" s="1160">
        <f t="shared" si="198"/>
        <v>0</v>
      </c>
      <c r="CI32" s="1160">
        <f t="shared" si="198"/>
        <v>0</v>
      </c>
      <c r="CJ32" s="1160">
        <f t="shared" si="198"/>
        <v>0</v>
      </c>
      <c r="CK32" s="1161">
        <f t="shared" si="198"/>
        <v>0</v>
      </c>
      <c r="CL32" s="1161">
        <f t="shared" si="198"/>
        <v>0</v>
      </c>
      <c r="CM32" s="1161">
        <f t="shared" si="198"/>
        <v>0</v>
      </c>
      <c r="CN32" s="1160">
        <f t="shared" si="198"/>
        <v>160</v>
      </c>
      <c r="CO32" s="1160">
        <f t="shared" si="198"/>
        <v>160</v>
      </c>
      <c r="CP32" s="1160">
        <f t="shared" si="198"/>
        <v>160</v>
      </c>
      <c r="CQ32" s="1160">
        <f t="shared" si="198"/>
        <v>210</v>
      </c>
      <c r="CR32" s="1160">
        <f t="shared" si="198"/>
        <v>256</v>
      </c>
      <c r="CS32" s="1159">
        <f t="shared" si="198"/>
        <v>320</v>
      </c>
      <c r="CT32" s="1162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32">SUM(C988:C990)</f>
        <v>1270.92</v>
      </c>
      <c r="D33" s="334">
        <f t="shared" si="232"/>
        <v>616.20000000000005</v>
      </c>
      <c r="E33" s="334">
        <f t="shared" si="232"/>
        <v>1088.75</v>
      </c>
      <c r="F33" s="334">
        <f t="shared" si="232"/>
        <v>337</v>
      </c>
      <c r="G33" s="334">
        <f t="shared" si="232"/>
        <v>725.94</v>
      </c>
      <c r="H33" s="334">
        <f t="shared" si="232"/>
        <v>1217.5</v>
      </c>
      <c r="I33" s="334">
        <f t="shared" si="232"/>
        <v>498</v>
      </c>
      <c r="J33" s="334">
        <f t="shared" si="232"/>
        <v>826.4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1734.96</v>
      </c>
      <c r="U33" s="334">
        <f t="shared" ref="U33:AB33" si="234">SUM(U988:U990)</f>
        <v>846.26</v>
      </c>
      <c r="V33" s="334">
        <f t="shared" si="234"/>
        <v>961</v>
      </c>
      <c r="W33" s="334">
        <f t="shared" si="234"/>
        <v>753</v>
      </c>
      <c r="X33" s="334">
        <f t="shared" si="234"/>
        <v>608.92000000000007</v>
      </c>
      <c r="Y33" s="334">
        <f t="shared" si="234"/>
        <v>2808.2799999999997</v>
      </c>
      <c r="Z33" s="334">
        <f t="shared" si="234"/>
        <v>517.5</v>
      </c>
      <c r="AA33" s="334">
        <f t="shared" si="234"/>
        <v>802.1</v>
      </c>
      <c r="AB33" s="334">
        <f t="shared" si="234"/>
        <v>1014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9469</v>
      </c>
      <c r="AM33" s="334">
        <f t="shared" ref="AM33:AT33" si="236">SUM(AM988:AM990)</f>
        <v>2015.6</v>
      </c>
      <c r="AN33" s="334">
        <f t="shared" si="236"/>
        <v>1025.25</v>
      </c>
      <c r="AO33" s="334">
        <f t="shared" si="236"/>
        <v>5825.37</v>
      </c>
      <c r="AP33" s="334">
        <f t="shared" si="236"/>
        <v>1129.5999999999999</v>
      </c>
      <c r="AQ33" s="334">
        <f t="shared" si="236"/>
        <v>4016.5</v>
      </c>
      <c r="AR33" s="334">
        <f t="shared" si="236"/>
        <v>3446</v>
      </c>
      <c r="AS33" s="334">
        <f t="shared" si="236"/>
        <v>5453.5</v>
      </c>
      <c r="AT33" s="334">
        <f t="shared" si="236"/>
        <v>6881.04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2397.3519999999999</v>
      </c>
      <c r="BE33" s="334">
        <f t="shared" ref="BE33:BL33" si="238">SUM(BE988:BE990)</f>
        <v>4219.5779999999995</v>
      </c>
      <c r="BF33" s="334">
        <f t="shared" si="238"/>
        <v>2810.4</v>
      </c>
      <c r="BG33" s="334">
        <f t="shared" si="238"/>
        <v>3504</v>
      </c>
      <c r="BH33" s="334">
        <f t="shared" si="238"/>
        <v>5727.9880000000003</v>
      </c>
      <c r="BI33" s="334">
        <f t="shared" si="238"/>
        <v>2647.95</v>
      </c>
      <c r="BJ33" s="334">
        <f t="shared" si="238"/>
        <v>4445</v>
      </c>
      <c r="BK33" s="334">
        <f t="shared" si="238"/>
        <v>3786.2</v>
      </c>
      <c r="BL33" s="334">
        <f t="shared" si="238"/>
        <v>6301.6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395.46933333333328</v>
      </c>
      <c r="CA33" s="323">
        <f t="shared" si="209"/>
        <v>482.51600000000002</v>
      </c>
      <c r="CB33" s="323">
        <f t="shared" si="210"/>
        <v>1986.1906666666666</v>
      </c>
      <c r="CC33" s="323">
        <f t="shared" si="211"/>
        <v>1969.2311999999999</v>
      </c>
      <c r="CD33" s="1158">
        <f t="shared" si="198"/>
        <v>0</v>
      </c>
      <c r="CE33" s="1159">
        <f t="shared" si="198"/>
        <v>0</v>
      </c>
      <c r="CF33" s="1160">
        <f t="shared" si="198"/>
        <v>0</v>
      </c>
      <c r="CG33" s="1160">
        <f t="shared" si="198"/>
        <v>0</v>
      </c>
      <c r="CH33" s="1160">
        <f t="shared" si="198"/>
        <v>0</v>
      </c>
      <c r="CI33" s="1160">
        <f t="shared" si="198"/>
        <v>0</v>
      </c>
      <c r="CJ33" s="1160">
        <f t="shared" si="198"/>
        <v>0</v>
      </c>
      <c r="CK33" s="1161">
        <f t="shared" si="198"/>
        <v>0</v>
      </c>
      <c r="CL33" s="1161">
        <f t="shared" si="198"/>
        <v>337</v>
      </c>
      <c r="CM33" s="1161">
        <f t="shared" si="198"/>
        <v>498</v>
      </c>
      <c r="CN33" s="1160">
        <f t="shared" si="198"/>
        <v>616.20000000000005</v>
      </c>
      <c r="CO33" s="1160">
        <f t="shared" si="198"/>
        <v>622.25</v>
      </c>
      <c r="CP33" s="1160">
        <f t="shared" si="198"/>
        <v>725.94</v>
      </c>
      <c r="CQ33" s="1160">
        <f t="shared" si="198"/>
        <v>826.4</v>
      </c>
      <c r="CR33" s="1160">
        <f t="shared" si="198"/>
        <v>1088.75</v>
      </c>
      <c r="CS33" s="1159">
        <f t="shared" si="198"/>
        <v>1217.5</v>
      </c>
      <c r="CT33" s="1162">
        <f t="shared" si="199"/>
        <v>1270.92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517.5</v>
      </c>
      <c r="DD33" s="327">
        <f t="shared" si="25"/>
        <v>608.92000000000007</v>
      </c>
      <c r="DE33" s="326">
        <f t="shared" si="26"/>
        <v>753</v>
      </c>
      <c r="DF33" s="326">
        <f t="shared" si="27"/>
        <v>802.1</v>
      </c>
      <c r="DG33" s="326">
        <f t="shared" si="28"/>
        <v>846.26</v>
      </c>
      <c r="DH33" s="326">
        <f t="shared" si="29"/>
        <v>961</v>
      </c>
      <c r="DI33" s="326">
        <f t="shared" si="30"/>
        <v>1014</v>
      </c>
      <c r="DJ33" s="325">
        <f t="shared" si="31"/>
        <v>1734.96</v>
      </c>
      <c r="DK33" s="324">
        <f t="shared" si="32"/>
        <v>2808.2799999999997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204</v>
      </c>
      <c r="C34" s="334">
        <f t="shared" si="240"/>
        <v>408</v>
      </c>
      <c r="D34" s="334">
        <f t="shared" si="240"/>
        <v>262</v>
      </c>
      <c r="E34" s="334">
        <f t="shared" si="240"/>
        <v>290</v>
      </c>
      <c r="F34" s="334">
        <f t="shared" si="240"/>
        <v>412</v>
      </c>
      <c r="G34" s="334">
        <f t="shared" si="240"/>
        <v>516</v>
      </c>
      <c r="H34" s="334">
        <f t="shared" si="240"/>
        <v>98</v>
      </c>
      <c r="I34" s="334">
        <f t="shared" si="240"/>
        <v>142</v>
      </c>
      <c r="J34" s="334">
        <f t="shared" si="240"/>
        <v>433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270</v>
      </c>
      <c r="U34" s="334">
        <f t="shared" si="242"/>
        <v>704.5</v>
      </c>
      <c r="V34" s="334">
        <f t="shared" si="242"/>
        <v>489</v>
      </c>
      <c r="W34" s="334">
        <f t="shared" si="242"/>
        <v>500</v>
      </c>
      <c r="X34" s="334">
        <f t="shared" si="242"/>
        <v>234</v>
      </c>
      <c r="Y34" s="334">
        <f t="shared" si="242"/>
        <v>355</v>
      </c>
      <c r="Z34" s="334">
        <f t="shared" si="242"/>
        <v>523</v>
      </c>
      <c r="AA34" s="334">
        <f t="shared" si="242"/>
        <v>229</v>
      </c>
      <c r="AB34" s="334">
        <f t="shared" si="242"/>
        <v>315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504</v>
      </c>
      <c r="AM34" s="334">
        <f t="shared" si="244"/>
        <v>1162</v>
      </c>
      <c r="AN34" s="334">
        <f t="shared" si="244"/>
        <v>991</v>
      </c>
      <c r="AO34" s="334">
        <f t="shared" si="244"/>
        <v>1020</v>
      </c>
      <c r="AP34" s="334">
        <f t="shared" si="244"/>
        <v>285</v>
      </c>
      <c r="AQ34" s="334">
        <f t="shared" si="244"/>
        <v>1233</v>
      </c>
      <c r="AR34" s="334">
        <f t="shared" si="244"/>
        <v>1570</v>
      </c>
      <c r="AS34" s="334">
        <f t="shared" si="244"/>
        <v>528</v>
      </c>
      <c r="AT34" s="334">
        <f t="shared" si="244"/>
        <v>1104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696</v>
      </c>
      <c r="BE34" s="334">
        <f t="shared" si="246"/>
        <v>360</v>
      </c>
      <c r="BF34" s="334">
        <f t="shared" si="246"/>
        <v>1316</v>
      </c>
      <c r="BG34" s="334">
        <f t="shared" si="246"/>
        <v>520</v>
      </c>
      <c r="BH34" s="334">
        <f t="shared" si="246"/>
        <v>2394</v>
      </c>
      <c r="BI34" s="334">
        <f t="shared" si="246"/>
        <v>184</v>
      </c>
      <c r="BJ34" s="334">
        <f t="shared" si="246"/>
        <v>3102</v>
      </c>
      <c r="BK34" s="334">
        <f t="shared" si="246"/>
        <v>807</v>
      </c>
      <c r="BL34" s="334">
        <f t="shared" si="246"/>
        <v>1356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149.93333333333334</v>
      </c>
      <c r="CA34" s="323">
        <f t="shared" si="209"/>
        <v>194.33333333333334</v>
      </c>
      <c r="CB34" s="323">
        <f t="shared" si="210"/>
        <v>455.13333333333333</v>
      </c>
      <c r="CC34" s="323">
        <f t="shared" si="211"/>
        <v>508.86666666666667</v>
      </c>
      <c r="CD34" s="1158">
        <f t="shared" si="198"/>
        <v>0</v>
      </c>
      <c r="CE34" s="1159">
        <f t="shared" si="198"/>
        <v>0</v>
      </c>
      <c r="CF34" s="1160">
        <f t="shared" si="198"/>
        <v>0</v>
      </c>
      <c r="CG34" s="1160">
        <f t="shared" si="198"/>
        <v>0</v>
      </c>
      <c r="CH34" s="1160">
        <f t="shared" si="198"/>
        <v>0</v>
      </c>
      <c r="CI34" s="1160">
        <f t="shared" si="198"/>
        <v>0</v>
      </c>
      <c r="CJ34" s="1160">
        <f t="shared" si="198"/>
        <v>0</v>
      </c>
      <c r="CK34" s="1161">
        <f t="shared" si="198"/>
        <v>0</v>
      </c>
      <c r="CL34" s="1161">
        <f t="shared" si="198"/>
        <v>98</v>
      </c>
      <c r="CM34" s="1161">
        <f t="shared" si="198"/>
        <v>142</v>
      </c>
      <c r="CN34" s="1160">
        <f t="shared" si="198"/>
        <v>204</v>
      </c>
      <c r="CO34" s="1160">
        <f t="shared" si="198"/>
        <v>262</v>
      </c>
      <c r="CP34" s="1160">
        <f t="shared" si="198"/>
        <v>290</v>
      </c>
      <c r="CQ34" s="1160">
        <f t="shared" si="198"/>
        <v>408</v>
      </c>
      <c r="CR34" s="1160">
        <f t="shared" si="198"/>
        <v>412</v>
      </c>
      <c r="CS34" s="1159">
        <f t="shared" si="198"/>
        <v>433</v>
      </c>
      <c r="CT34" s="1162">
        <f t="shared" si="199"/>
        <v>516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229</v>
      </c>
      <c r="DD34" s="327">
        <f t="shared" si="25"/>
        <v>234</v>
      </c>
      <c r="DE34" s="326">
        <f t="shared" si="26"/>
        <v>270</v>
      </c>
      <c r="DF34" s="326">
        <f t="shared" si="27"/>
        <v>315</v>
      </c>
      <c r="DG34" s="326">
        <f t="shared" si="28"/>
        <v>355</v>
      </c>
      <c r="DH34" s="326">
        <f t="shared" si="29"/>
        <v>489</v>
      </c>
      <c r="DI34" s="326">
        <f t="shared" si="30"/>
        <v>500</v>
      </c>
      <c r="DJ34" s="325">
        <f t="shared" si="31"/>
        <v>523</v>
      </c>
      <c r="DK34" s="324">
        <f t="shared" si="32"/>
        <v>704.5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58">
        <f t="shared" si="198"/>
        <v>0</v>
      </c>
      <c r="CE35" s="1159">
        <f t="shared" si="198"/>
        <v>0</v>
      </c>
      <c r="CF35" s="1160">
        <f t="shared" si="198"/>
        <v>0</v>
      </c>
      <c r="CG35" s="1160">
        <f t="shared" si="198"/>
        <v>0</v>
      </c>
      <c r="CH35" s="1160">
        <f t="shared" si="198"/>
        <v>0</v>
      </c>
      <c r="CI35" s="1160">
        <f t="shared" si="198"/>
        <v>0</v>
      </c>
      <c r="CJ35" s="1160">
        <f t="shared" si="198"/>
        <v>0</v>
      </c>
      <c r="CK35" s="1161">
        <f t="shared" si="198"/>
        <v>0</v>
      </c>
      <c r="CL35" s="1161">
        <f t="shared" si="198"/>
        <v>0</v>
      </c>
      <c r="CM35" s="1161">
        <f t="shared" si="198"/>
        <v>0</v>
      </c>
      <c r="CN35" s="1160">
        <f t="shared" si="198"/>
        <v>0</v>
      </c>
      <c r="CO35" s="1160">
        <f t="shared" si="198"/>
        <v>0</v>
      </c>
      <c r="CP35" s="1160">
        <f t="shared" si="198"/>
        <v>0</v>
      </c>
      <c r="CQ35" s="1160">
        <f t="shared" si="198"/>
        <v>0</v>
      </c>
      <c r="CR35" s="1160">
        <f t="shared" si="198"/>
        <v>0</v>
      </c>
      <c r="CS35" s="1159">
        <f t="shared" si="198"/>
        <v>0</v>
      </c>
      <c r="CT35" s="1162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20</v>
      </c>
      <c r="C36" s="334">
        <f t="shared" si="258"/>
        <v>35</v>
      </c>
      <c r="D36" s="334">
        <f t="shared" si="258"/>
        <v>8</v>
      </c>
      <c r="E36" s="334">
        <f t="shared" si="258"/>
        <v>74</v>
      </c>
      <c r="F36" s="334">
        <f t="shared" si="258"/>
        <v>47</v>
      </c>
      <c r="G36" s="334">
        <f t="shared" si="258"/>
        <v>25</v>
      </c>
      <c r="H36" s="334">
        <f t="shared" si="258"/>
        <v>25</v>
      </c>
      <c r="I36" s="334">
        <f t="shared" si="258"/>
        <v>0</v>
      </c>
      <c r="J36" s="334">
        <f t="shared" si="258"/>
        <v>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114</v>
      </c>
      <c r="V36" s="334">
        <f t="shared" si="260"/>
        <v>595</v>
      </c>
      <c r="W36" s="334">
        <f t="shared" si="260"/>
        <v>110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105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11180</v>
      </c>
      <c r="AM36" s="334">
        <f t="shared" si="262"/>
        <v>12093</v>
      </c>
      <c r="AN36" s="334">
        <f t="shared" si="262"/>
        <v>8969</v>
      </c>
      <c r="AO36" s="334">
        <f t="shared" si="262"/>
        <v>2630</v>
      </c>
      <c r="AP36" s="334">
        <f t="shared" si="262"/>
        <v>5380</v>
      </c>
      <c r="AQ36" s="334">
        <f t="shared" si="262"/>
        <v>2450</v>
      </c>
      <c r="AR36" s="334">
        <f t="shared" si="262"/>
        <v>11200</v>
      </c>
      <c r="AS36" s="334">
        <f t="shared" si="262"/>
        <v>4250</v>
      </c>
      <c r="AT36" s="334">
        <f t="shared" si="262"/>
        <v>4385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11330</v>
      </c>
      <c r="BF36" s="334">
        <f t="shared" si="264"/>
        <v>10370</v>
      </c>
      <c r="BG36" s="334">
        <f t="shared" si="264"/>
        <v>7620</v>
      </c>
      <c r="BH36" s="334">
        <f t="shared" si="264"/>
        <v>11625</v>
      </c>
      <c r="BI36" s="334">
        <f t="shared" si="264"/>
        <v>5810</v>
      </c>
      <c r="BJ36" s="334">
        <f t="shared" si="264"/>
        <v>5380</v>
      </c>
      <c r="BK36" s="334">
        <f t="shared" si="264"/>
        <v>14476</v>
      </c>
      <c r="BL36" s="334">
        <f t="shared" si="264"/>
        <v>12200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10.666666666666666</v>
      </c>
      <c r="CA36" s="323">
        <f t="shared" si="209"/>
        <v>113.26666666666667</v>
      </c>
      <c r="CB36" s="323">
        <f t="shared" si="210"/>
        <v>3362.9333333333334</v>
      </c>
      <c r="CC36" s="323">
        <f t="shared" si="211"/>
        <v>5150</v>
      </c>
      <c r="CD36" s="1158">
        <f t="shared" si="198"/>
        <v>0</v>
      </c>
      <c r="CE36" s="1159">
        <f t="shared" si="198"/>
        <v>0</v>
      </c>
      <c r="CF36" s="1160">
        <f t="shared" si="198"/>
        <v>0</v>
      </c>
      <c r="CG36" s="1160">
        <f t="shared" si="198"/>
        <v>0</v>
      </c>
      <c r="CH36" s="1160">
        <f t="shared" si="198"/>
        <v>0</v>
      </c>
      <c r="CI36" s="1160">
        <f t="shared" si="198"/>
        <v>0</v>
      </c>
      <c r="CJ36" s="1160">
        <f t="shared" si="198"/>
        <v>0</v>
      </c>
      <c r="CK36" s="1161">
        <f t="shared" si="198"/>
        <v>0</v>
      </c>
      <c r="CL36" s="1161">
        <f t="shared" si="198"/>
        <v>0</v>
      </c>
      <c r="CM36" s="1161">
        <f t="shared" si="198"/>
        <v>0</v>
      </c>
      <c r="CN36" s="1160">
        <f t="shared" si="198"/>
        <v>8</v>
      </c>
      <c r="CO36" s="1160">
        <f t="shared" si="198"/>
        <v>20</v>
      </c>
      <c r="CP36" s="1160">
        <f t="shared" si="198"/>
        <v>25</v>
      </c>
      <c r="CQ36" s="1160">
        <f t="shared" si="198"/>
        <v>25</v>
      </c>
      <c r="CR36" s="1160">
        <f t="shared" si="198"/>
        <v>35</v>
      </c>
      <c r="CS36" s="1159">
        <f t="shared" si="198"/>
        <v>47</v>
      </c>
      <c r="CT36" s="1162">
        <f t="shared" si="199"/>
        <v>74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105</v>
      </c>
      <c r="DG36" s="326">
        <f t="shared" si="28"/>
        <v>110</v>
      </c>
      <c r="DH36" s="326">
        <f t="shared" si="29"/>
        <v>114</v>
      </c>
      <c r="DI36" s="326">
        <f t="shared" si="30"/>
        <v>595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58">
        <f t="shared" si="198"/>
        <v>0</v>
      </c>
      <c r="CE37" s="1159">
        <f t="shared" si="198"/>
        <v>0</v>
      </c>
      <c r="CF37" s="1160">
        <f t="shared" si="198"/>
        <v>0</v>
      </c>
      <c r="CG37" s="1160">
        <f t="shared" si="198"/>
        <v>0</v>
      </c>
      <c r="CH37" s="1160">
        <f t="shared" si="198"/>
        <v>0</v>
      </c>
      <c r="CI37" s="1160">
        <f t="shared" si="198"/>
        <v>0</v>
      </c>
      <c r="CJ37" s="1160">
        <f t="shared" si="198"/>
        <v>0</v>
      </c>
      <c r="CK37" s="1161">
        <f t="shared" si="198"/>
        <v>0</v>
      </c>
      <c r="CL37" s="1161">
        <f t="shared" si="198"/>
        <v>0</v>
      </c>
      <c r="CM37" s="1161">
        <f t="shared" si="198"/>
        <v>42.5</v>
      </c>
      <c r="CN37" s="1160">
        <f t="shared" si="198"/>
        <v>135</v>
      </c>
      <c r="CO37" s="1160">
        <f t="shared" si="198"/>
        <v>200</v>
      </c>
      <c r="CP37" s="1160">
        <f t="shared" si="198"/>
        <v>300</v>
      </c>
      <c r="CQ37" s="1160">
        <f t="shared" si="198"/>
        <v>645</v>
      </c>
      <c r="CR37" s="1160">
        <f t="shared" si="198"/>
        <v>700</v>
      </c>
      <c r="CS37" s="1159">
        <f t="shared" si="198"/>
        <v>780</v>
      </c>
      <c r="CT37" s="1162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58">
        <f t="shared" si="198"/>
        <v>0</v>
      </c>
      <c r="CE38" s="1159">
        <f t="shared" si="198"/>
        <v>0</v>
      </c>
      <c r="CF38" s="1160">
        <f t="shared" si="198"/>
        <v>0</v>
      </c>
      <c r="CG38" s="1160">
        <f t="shared" si="198"/>
        <v>0</v>
      </c>
      <c r="CH38" s="1160">
        <f t="shared" si="198"/>
        <v>0</v>
      </c>
      <c r="CI38" s="1160">
        <f t="shared" si="198"/>
        <v>0</v>
      </c>
      <c r="CJ38" s="1160">
        <f t="shared" si="198"/>
        <v>0</v>
      </c>
      <c r="CK38" s="1161">
        <f t="shared" si="198"/>
        <v>0</v>
      </c>
      <c r="CL38" s="1161">
        <f t="shared" si="198"/>
        <v>0</v>
      </c>
      <c r="CM38" s="1161">
        <f t="shared" si="198"/>
        <v>0</v>
      </c>
      <c r="CN38" s="1160">
        <f t="shared" si="198"/>
        <v>0</v>
      </c>
      <c r="CO38" s="1160">
        <f t="shared" si="198"/>
        <v>0</v>
      </c>
      <c r="CP38" s="1160">
        <f t="shared" si="198"/>
        <v>0</v>
      </c>
      <c r="CQ38" s="1160">
        <f t="shared" si="198"/>
        <v>0</v>
      </c>
      <c r="CR38" s="1160">
        <f t="shared" si="198"/>
        <v>0</v>
      </c>
      <c r="CS38" s="1159">
        <f t="shared" si="198"/>
        <v>50</v>
      </c>
      <c r="CT38" s="1162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58">
        <f t="shared" si="198"/>
        <v>0</v>
      </c>
      <c r="CE39" s="1159">
        <f t="shared" si="198"/>
        <v>0</v>
      </c>
      <c r="CF39" s="1160">
        <f t="shared" si="198"/>
        <v>0</v>
      </c>
      <c r="CG39" s="1160">
        <f t="shared" si="198"/>
        <v>0</v>
      </c>
      <c r="CH39" s="1160">
        <f t="shared" si="198"/>
        <v>0</v>
      </c>
      <c r="CI39" s="1160">
        <f t="shared" si="198"/>
        <v>0</v>
      </c>
      <c r="CJ39" s="1160">
        <f t="shared" si="198"/>
        <v>0</v>
      </c>
      <c r="CK39" s="1161">
        <f t="shared" si="198"/>
        <v>0</v>
      </c>
      <c r="CL39" s="1161">
        <f t="shared" si="198"/>
        <v>0</v>
      </c>
      <c r="CM39" s="1161">
        <f t="shared" si="198"/>
        <v>0</v>
      </c>
      <c r="CN39" s="1160">
        <f t="shared" si="198"/>
        <v>1</v>
      </c>
      <c r="CO39" s="1160">
        <f t="shared" si="198"/>
        <v>4</v>
      </c>
      <c r="CP39" s="1160">
        <f t="shared" si="198"/>
        <v>10</v>
      </c>
      <c r="CQ39" s="1160">
        <f t="shared" si="198"/>
        <v>108</v>
      </c>
      <c r="CR39" s="1160">
        <f t="shared" si="198"/>
        <v>168</v>
      </c>
      <c r="CS39" s="1159">
        <f t="shared" si="198"/>
        <v>192</v>
      </c>
      <c r="CT39" s="1162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58">
        <f t="shared" si="198"/>
        <v>0</v>
      </c>
      <c r="CE40" s="1159">
        <f t="shared" si="198"/>
        <v>0</v>
      </c>
      <c r="CF40" s="1160">
        <f t="shared" si="198"/>
        <v>0</v>
      </c>
      <c r="CG40" s="1160">
        <f t="shared" si="198"/>
        <v>0</v>
      </c>
      <c r="CH40" s="1160">
        <f t="shared" si="198"/>
        <v>0</v>
      </c>
      <c r="CI40" s="1160">
        <f t="shared" si="198"/>
        <v>0</v>
      </c>
      <c r="CJ40" s="1160">
        <f t="shared" si="198"/>
        <v>0</v>
      </c>
      <c r="CK40" s="1161">
        <f t="shared" si="198"/>
        <v>0</v>
      </c>
      <c r="CL40" s="1161">
        <f t="shared" si="198"/>
        <v>0</v>
      </c>
      <c r="CM40" s="1161">
        <f t="shared" si="198"/>
        <v>0</v>
      </c>
      <c r="CN40" s="1160">
        <f t="shared" si="198"/>
        <v>0</v>
      </c>
      <c r="CO40" s="1160">
        <f t="shared" si="198"/>
        <v>30</v>
      </c>
      <c r="CP40" s="1160">
        <f t="shared" si="198"/>
        <v>100</v>
      </c>
      <c r="CQ40" s="1160">
        <f t="shared" si="198"/>
        <v>105</v>
      </c>
      <c r="CR40" s="1160">
        <f t="shared" si="198"/>
        <v>240</v>
      </c>
      <c r="CS40" s="1159">
        <f t="shared" si="198"/>
        <v>360</v>
      </c>
      <c r="CT40" s="1162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58">
        <f t="shared" si="198"/>
        <v>0</v>
      </c>
      <c r="CE41" s="1159">
        <f t="shared" si="198"/>
        <v>0</v>
      </c>
      <c r="CF41" s="1160">
        <f t="shared" si="198"/>
        <v>0</v>
      </c>
      <c r="CG41" s="1160">
        <f t="shared" si="198"/>
        <v>0</v>
      </c>
      <c r="CH41" s="1160">
        <f t="shared" si="198"/>
        <v>0</v>
      </c>
      <c r="CI41" s="1160">
        <f t="shared" si="198"/>
        <v>0</v>
      </c>
      <c r="CJ41" s="1160">
        <f t="shared" si="198"/>
        <v>0</v>
      </c>
      <c r="CK41" s="1161">
        <f t="shared" si="198"/>
        <v>0</v>
      </c>
      <c r="CL41" s="1161">
        <f t="shared" si="198"/>
        <v>369</v>
      </c>
      <c r="CM41" s="1161">
        <f t="shared" si="198"/>
        <v>375</v>
      </c>
      <c r="CN41" s="1160">
        <f t="shared" si="198"/>
        <v>808</v>
      </c>
      <c r="CO41" s="1160">
        <f t="shared" si="198"/>
        <v>883</v>
      </c>
      <c r="CP41" s="1160">
        <f t="shared" si="198"/>
        <v>975</v>
      </c>
      <c r="CQ41" s="1160">
        <f t="shared" si="198"/>
        <v>2454</v>
      </c>
      <c r="CR41" s="1160">
        <f t="shared" si="198"/>
        <v>2570</v>
      </c>
      <c r="CS41" s="1159">
        <f t="shared" si="198"/>
        <v>2708</v>
      </c>
      <c r="CT41" s="1162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58" t="str">
        <f t="shared" si="198"/>
        <v/>
      </c>
      <c r="CE42" s="1159" t="str">
        <f t="shared" si="198"/>
        <v/>
      </c>
      <c r="CF42" s="1160" t="str">
        <f t="shared" si="198"/>
        <v/>
      </c>
      <c r="CG42" s="1160" t="str">
        <f t="shared" si="198"/>
        <v/>
      </c>
      <c r="CH42" s="1160">
        <f t="shared" si="198"/>
        <v>0</v>
      </c>
      <c r="CI42" s="1160">
        <f t="shared" si="198"/>
        <v>0</v>
      </c>
      <c r="CJ42" s="1160">
        <f t="shared" si="198"/>
        <v>3.3641715727502103E-2</v>
      </c>
      <c r="CK42" s="1161">
        <f t="shared" si="198"/>
        <v>3.4454470877768664E-2</v>
      </c>
      <c r="CL42" s="1161">
        <f t="shared" si="198"/>
        <v>4.4880785413744739E-2</v>
      </c>
      <c r="CM42" s="1161">
        <f t="shared" si="198"/>
        <v>6.4192577733199599E-2</v>
      </c>
      <c r="CN42" s="1160">
        <f t="shared" si="198"/>
        <v>8.4880636604774531E-2</v>
      </c>
      <c r="CO42" s="1160">
        <f t="shared" si="198"/>
        <v>0.12913640032284099</v>
      </c>
      <c r="CP42" s="1160">
        <f t="shared" si="198"/>
        <v>0.13833992094861661</v>
      </c>
      <c r="CQ42" s="1160" t="str">
        <f t="shared" si="198"/>
        <v/>
      </c>
      <c r="CR42" s="1160" t="str">
        <f t="shared" si="198"/>
        <v/>
      </c>
      <c r="CS42" s="1159" t="str">
        <f t="shared" si="198"/>
        <v/>
      </c>
      <c r="CT42" s="1162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49.75</v>
      </c>
      <c r="C43" s="339">
        <f t="shared" si="315"/>
        <v>45.079999999999927</v>
      </c>
      <c r="D43" s="339">
        <f t="shared" si="315"/>
        <v>34.800000000000182</v>
      </c>
      <c r="E43" s="339">
        <f t="shared" si="315"/>
        <v>60.25</v>
      </c>
      <c r="F43" s="339">
        <f t="shared" si="315"/>
        <v>0</v>
      </c>
      <c r="G43" s="339">
        <f t="shared" si="315"/>
        <v>23.059999999999945</v>
      </c>
      <c r="H43" s="339">
        <f t="shared" si="315"/>
        <v>0</v>
      </c>
      <c r="I43" s="339">
        <f t="shared" si="315"/>
        <v>0</v>
      </c>
      <c r="J43" s="339">
        <f t="shared" si="315"/>
        <v>39.599999999999909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4.0000000000873115E-2</v>
      </c>
      <c r="U43" s="339">
        <f t="shared" si="317"/>
        <v>30.239999999999782</v>
      </c>
      <c r="V43" s="339">
        <f t="shared" si="317"/>
        <v>105</v>
      </c>
      <c r="W43" s="339">
        <f t="shared" si="317"/>
        <v>199.60000000000036</v>
      </c>
      <c r="X43" s="339">
        <f t="shared" si="317"/>
        <v>7.999999999992724E-2</v>
      </c>
      <c r="Y43" s="339">
        <f t="shared" si="317"/>
        <v>-0.27999999999974534</v>
      </c>
      <c r="Z43" s="339">
        <f t="shared" si="317"/>
        <v>0.5</v>
      </c>
      <c r="AA43" s="339">
        <f t="shared" si="317"/>
        <v>108.40000000000009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4500</v>
      </c>
      <c r="AM43" s="339">
        <f t="shared" si="319"/>
        <v>0.40000000000145519</v>
      </c>
      <c r="AN43" s="339">
        <f t="shared" si="319"/>
        <v>1499.75</v>
      </c>
      <c r="AO43" s="339">
        <f t="shared" si="319"/>
        <v>1824.630000000001</v>
      </c>
      <c r="AP43" s="339">
        <f t="shared" si="319"/>
        <v>3510.4000000000015</v>
      </c>
      <c r="AQ43" s="339">
        <f t="shared" si="319"/>
        <v>300</v>
      </c>
      <c r="AR43" s="339">
        <f t="shared" si="319"/>
        <v>1900</v>
      </c>
      <c r="AS43" s="339">
        <f t="shared" si="319"/>
        <v>1950.5</v>
      </c>
      <c r="AT43" s="339">
        <f t="shared" si="319"/>
        <v>2499.8799999999974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5000.4219999999987</v>
      </c>
      <c r="BF43" s="339">
        <f t="shared" si="321"/>
        <v>7999.5999999999985</v>
      </c>
      <c r="BG43" s="339">
        <f t="shared" si="321"/>
        <v>2145</v>
      </c>
      <c r="BH43" s="339">
        <f t="shared" si="321"/>
        <v>6300.0119999999988</v>
      </c>
      <c r="BI43" s="339">
        <f t="shared" si="321"/>
        <v>3180.0499999999993</v>
      </c>
      <c r="BJ43" s="339">
        <f t="shared" si="321"/>
        <v>4700</v>
      </c>
      <c r="BK43" s="339">
        <f t="shared" si="321"/>
        <v>2500.0400000000009</v>
      </c>
      <c r="BL43" s="339">
        <f t="shared" si="321"/>
        <v>125.40000000000146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12.819333333333331</v>
      </c>
      <c r="CA43" s="323">
        <f t="shared" si="209"/>
        <v>16.284000000000045</v>
      </c>
      <c r="CB43" s="323">
        <f t="shared" si="210"/>
        <v>899.03733333333344</v>
      </c>
      <c r="CC43" s="323">
        <f t="shared" si="211"/>
        <v>1596.7282666666665</v>
      </c>
      <c r="CD43" s="1158">
        <f t="shared" si="198"/>
        <v>0</v>
      </c>
      <c r="CE43" s="1159">
        <f t="shared" si="198"/>
        <v>0</v>
      </c>
      <c r="CF43" s="1160">
        <f t="shared" si="198"/>
        <v>0</v>
      </c>
      <c r="CG43" s="1160">
        <f t="shared" si="198"/>
        <v>0</v>
      </c>
      <c r="CH43" s="1160">
        <f t="shared" si="198"/>
        <v>0</v>
      </c>
      <c r="CI43" s="1160">
        <f t="shared" si="198"/>
        <v>0</v>
      </c>
      <c r="CJ43" s="1160">
        <f t="shared" si="198"/>
        <v>0</v>
      </c>
      <c r="CK43" s="1161">
        <f t="shared" si="198"/>
        <v>0</v>
      </c>
      <c r="CL43" s="1161">
        <f t="shared" si="198"/>
        <v>0</v>
      </c>
      <c r="CM43" s="1161">
        <f t="shared" si="198"/>
        <v>0</v>
      </c>
      <c r="CN43" s="1160">
        <f t="shared" si="198"/>
        <v>0</v>
      </c>
      <c r="CO43" s="1160">
        <f t="shared" si="198"/>
        <v>23.059999999999945</v>
      </c>
      <c r="CP43" s="1160">
        <f t="shared" si="198"/>
        <v>34.800000000000182</v>
      </c>
      <c r="CQ43" s="1160">
        <f t="shared" si="198"/>
        <v>39.599999999999909</v>
      </c>
      <c r="CR43" s="1160">
        <f t="shared" si="198"/>
        <v>45.079999999999927</v>
      </c>
      <c r="CS43" s="1159">
        <f t="shared" si="198"/>
        <v>49.75</v>
      </c>
      <c r="CT43" s="1162">
        <f t="shared" si="199"/>
        <v>60.25</v>
      </c>
      <c r="CU43" s="324">
        <f t="shared" si="16"/>
        <v>-0.27999999999974534</v>
      </c>
      <c r="CV43" s="325">
        <f t="shared" si="17"/>
        <v>0</v>
      </c>
      <c r="CW43" s="326">
        <f t="shared" si="18"/>
        <v>0</v>
      </c>
      <c r="CX43" s="326">
        <f t="shared" si="19"/>
        <v>0</v>
      </c>
      <c r="CY43" s="326">
        <f t="shared" si="20"/>
        <v>0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4.0000000000873115E-2</v>
      </c>
      <c r="DF43" s="326">
        <f t="shared" si="27"/>
        <v>7.999999999992724E-2</v>
      </c>
      <c r="DG43" s="326">
        <f t="shared" si="28"/>
        <v>0.5</v>
      </c>
      <c r="DH43" s="326">
        <f t="shared" si="29"/>
        <v>30.239999999999782</v>
      </c>
      <c r="DI43" s="326">
        <f t="shared" si="30"/>
        <v>105</v>
      </c>
      <c r="DJ43" s="325">
        <f t="shared" si="31"/>
        <v>108.40000000000009</v>
      </c>
      <c r="DK43" s="324">
        <f t="shared" si="32"/>
        <v>199.60000000000036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19"/>
      <c r="CE44" s="1120"/>
      <c r="CF44" s="1120"/>
      <c r="CG44" s="1120"/>
      <c r="CH44" s="1120"/>
      <c r="CI44" s="1120"/>
      <c r="CJ44" s="1120"/>
      <c r="CK44" s="1120"/>
      <c r="CL44" s="1120"/>
      <c r="CM44" s="1120"/>
      <c r="CN44" s="1120"/>
      <c r="CO44" s="1120"/>
      <c r="CP44" s="1120"/>
      <c r="CQ44" s="1120"/>
      <c r="CR44" s="1120"/>
      <c r="CS44" s="1120"/>
      <c r="CT44" s="1121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2"/>
      <c r="CE45" s="1123"/>
      <c r="CF45" s="1123"/>
      <c r="CG45" s="1123"/>
      <c r="CH45" s="1123"/>
      <c r="CI45" s="1123"/>
      <c r="CJ45" s="1123"/>
      <c r="CK45" s="1123"/>
      <c r="CL45" s="1123"/>
      <c r="CM45" s="1123"/>
      <c r="CN45" s="1123"/>
      <c r="CO45" s="1123"/>
      <c r="CP45" s="1123"/>
      <c r="CQ45" s="1123"/>
      <c r="CR45" s="1123"/>
      <c r="CS45" s="1123"/>
      <c r="CT45" s="1124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5"/>
      <c r="CE46" s="1126"/>
      <c r="CF46" s="1126"/>
      <c r="CG46" s="1126"/>
      <c r="CH46" s="1126"/>
      <c r="CI46" s="1126"/>
      <c r="CJ46" s="1126"/>
      <c r="CK46" s="1126"/>
      <c r="CL46" s="1126"/>
      <c r="CM46" s="1126"/>
      <c r="CN46" s="1126"/>
      <c r="CO46" s="1126"/>
      <c r="CP46" s="1126"/>
      <c r="CQ46" s="1126"/>
      <c r="CR46" s="1126"/>
      <c r="CS46" s="1126"/>
      <c r="CT46" s="1127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5"/>
      <c r="CE47" s="1126"/>
      <c r="CF47" s="1126"/>
      <c r="CG47" s="1126"/>
      <c r="CH47" s="1126"/>
      <c r="CI47" s="1126"/>
      <c r="CJ47" s="1126"/>
      <c r="CK47" s="1126"/>
      <c r="CL47" s="1126"/>
      <c r="CM47" s="1126"/>
      <c r="CN47" s="1126"/>
      <c r="CO47" s="1126"/>
      <c r="CP47" s="1126"/>
      <c r="CQ47" s="1126"/>
      <c r="CR47" s="1126"/>
      <c r="CS47" s="1126"/>
      <c r="CT47" s="1127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5"/>
      <c r="CE48" s="1126"/>
      <c r="CF48" s="1126"/>
      <c r="CG48" s="1126"/>
      <c r="CH48" s="1126"/>
      <c r="CI48" s="1126"/>
      <c r="CJ48" s="1126"/>
      <c r="CK48" s="1126"/>
      <c r="CL48" s="1126"/>
      <c r="CM48" s="1126"/>
      <c r="CN48" s="1126"/>
      <c r="CO48" s="1126"/>
      <c r="CP48" s="1126"/>
      <c r="CQ48" s="1126"/>
      <c r="CR48" s="1126"/>
      <c r="CS48" s="1126"/>
      <c r="CT48" s="1127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5"/>
      <c r="CE49" s="1126"/>
      <c r="CF49" s="1126"/>
      <c r="CG49" s="1126"/>
      <c r="CH49" s="1126"/>
      <c r="CI49" s="1126"/>
      <c r="CJ49" s="1126"/>
      <c r="CK49" s="1126"/>
      <c r="CL49" s="1126"/>
      <c r="CM49" s="1126"/>
      <c r="CN49" s="1126"/>
      <c r="CO49" s="1126"/>
      <c r="CP49" s="1126"/>
      <c r="CQ49" s="1126"/>
      <c r="CR49" s="1126"/>
      <c r="CS49" s="1126"/>
      <c r="CT49" s="1127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5"/>
      <c r="CE50" s="1126"/>
      <c r="CF50" s="1126"/>
      <c r="CG50" s="1126"/>
      <c r="CH50" s="1126"/>
      <c r="CI50" s="1126"/>
      <c r="CJ50" s="1126"/>
      <c r="CK50" s="1126"/>
      <c r="CL50" s="1126"/>
      <c r="CM50" s="1126"/>
      <c r="CN50" s="1126"/>
      <c r="CO50" s="1126"/>
      <c r="CP50" s="1126"/>
      <c r="CQ50" s="1126"/>
      <c r="CR50" s="1126"/>
      <c r="CS50" s="1126"/>
      <c r="CT50" s="1127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5"/>
      <c r="CE51" s="1126"/>
      <c r="CF51" s="1126"/>
      <c r="CG51" s="1126"/>
      <c r="CH51" s="1126"/>
      <c r="CI51" s="1126"/>
      <c r="CJ51" s="1126"/>
      <c r="CK51" s="1126"/>
      <c r="CL51" s="1126"/>
      <c r="CM51" s="1126"/>
      <c r="CN51" s="1126"/>
      <c r="CO51" s="1126"/>
      <c r="CP51" s="1126"/>
      <c r="CQ51" s="1126"/>
      <c r="CR51" s="1126"/>
      <c r="CS51" s="1126"/>
      <c r="CT51" s="1127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5"/>
      <c r="CE52" s="1126"/>
      <c r="CF52" s="1126"/>
      <c r="CG52" s="1126"/>
      <c r="CH52" s="1126"/>
      <c r="CI52" s="1126"/>
      <c r="CJ52" s="1126"/>
      <c r="CK52" s="1126"/>
      <c r="CL52" s="1126"/>
      <c r="CM52" s="1126"/>
      <c r="CN52" s="1126"/>
      <c r="CO52" s="1126"/>
      <c r="CP52" s="1126"/>
      <c r="CQ52" s="1126"/>
      <c r="CR52" s="1126"/>
      <c r="CS52" s="1126"/>
      <c r="CT52" s="1127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5"/>
      <c r="CE53" s="1126"/>
      <c r="CF53" s="1126"/>
      <c r="CG53" s="1126"/>
      <c r="CH53" s="1126"/>
      <c r="CI53" s="1126"/>
      <c r="CJ53" s="1126"/>
      <c r="CK53" s="1126"/>
      <c r="CL53" s="1126"/>
      <c r="CM53" s="1126"/>
      <c r="CN53" s="1126"/>
      <c r="CO53" s="1126"/>
      <c r="CP53" s="1126"/>
      <c r="CQ53" s="1126"/>
      <c r="CR53" s="1126"/>
      <c r="CS53" s="1126"/>
      <c r="CT53" s="1127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5"/>
      <c r="CE54" s="1126"/>
      <c r="CF54" s="1126"/>
      <c r="CG54" s="1126"/>
      <c r="CH54" s="1126"/>
      <c r="CI54" s="1126"/>
      <c r="CJ54" s="1126"/>
      <c r="CK54" s="1126"/>
      <c r="CL54" s="1126"/>
      <c r="CM54" s="1126"/>
      <c r="CN54" s="1126"/>
      <c r="CO54" s="1126"/>
      <c r="CP54" s="1126"/>
      <c r="CQ54" s="1126"/>
      <c r="CR54" s="1126"/>
      <c r="CS54" s="1126"/>
      <c r="CT54" s="1127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5"/>
      <c r="CE55" s="1126"/>
      <c r="CF55" s="1126"/>
      <c r="CG55" s="1126"/>
      <c r="CH55" s="1126"/>
      <c r="CI55" s="1126"/>
      <c r="CJ55" s="1126"/>
      <c r="CK55" s="1126"/>
      <c r="CL55" s="1126"/>
      <c r="CM55" s="1126"/>
      <c r="CN55" s="1126"/>
      <c r="CO55" s="1126"/>
      <c r="CP55" s="1126"/>
      <c r="CQ55" s="1126"/>
      <c r="CR55" s="1126"/>
      <c r="CS55" s="1126"/>
      <c r="CT55" s="1127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5"/>
      <c r="CE56" s="1126"/>
      <c r="CF56" s="1126"/>
      <c r="CG56" s="1126"/>
      <c r="CH56" s="1126"/>
      <c r="CI56" s="1126"/>
      <c r="CJ56" s="1126"/>
      <c r="CK56" s="1126"/>
      <c r="CL56" s="1126"/>
      <c r="CM56" s="1126"/>
      <c r="CN56" s="1126"/>
      <c r="CO56" s="1126"/>
      <c r="CP56" s="1126"/>
      <c r="CQ56" s="1126"/>
      <c r="CR56" s="1126"/>
      <c r="CS56" s="1126"/>
      <c r="CT56" s="1127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5"/>
      <c r="CE57" s="1126"/>
      <c r="CF57" s="1126"/>
      <c r="CG57" s="1126"/>
      <c r="CH57" s="1126"/>
      <c r="CI57" s="1126"/>
      <c r="CJ57" s="1126"/>
      <c r="CK57" s="1126"/>
      <c r="CL57" s="1126"/>
      <c r="CM57" s="1126"/>
      <c r="CN57" s="1126"/>
      <c r="CO57" s="1126"/>
      <c r="CP57" s="1126"/>
      <c r="CQ57" s="1126"/>
      <c r="CR57" s="1126"/>
      <c r="CS57" s="1126"/>
      <c r="CT57" s="1127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5"/>
      <c r="CE58" s="1126"/>
      <c r="CF58" s="1126"/>
      <c r="CG58" s="1126"/>
      <c r="CH58" s="1126"/>
      <c r="CI58" s="1126"/>
      <c r="CJ58" s="1126"/>
      <c r="CK58" s="1126"/>
      <c r="CL58" s="1126"/>
      <c r="CM58" s="1126"/>
      <c r="CN58" s="1126"/>
      <c r="CO58" s="1126"/>
      <c r="CP58" s="1126"/>
      <c r="CQ58" s="1126"/>
      <c r="CR58" s="1126"/>
      <c r="CS58" s="1126"/>
      <c r="CT58" s="1127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5"/>
      <c r="CE59" s="1126"/>
      <c r="CF59" s="1126"/>
      <c r="CG59" s="1126"/>
      <c r="CH59" s="1126"/>
      <c r="CI59" s="1126"/>
      <c r="CJ59" s="1126"/>
      <c r="CK59" s="1126"/>
      <c r="CL59" s="1126"/>
      <c r="CM59" s="1126"/>
      <c r="CN59" s="1126"/>
      <c r="CO59" s="1126"/>
      <c r="CP59" s="1126"/>
      <c r="CQ59" s="1126"/>
      <c r="CR59" s="1126"/>
      <c r="CS59" s="1126"/>
      <c r="CT59" s="1127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5"/>
      <c r="CE60" s="1126"/>
      <c r="CF60" s="1126"/>
      <c r="CG60" s="1126"/>
      <c r="CH60" s="1126"/>
      <c r="CI60" s="1126"/>
      <c r="CJ60" s="1126"/>
      <c r="CK60" s="1126"/>
      <c r="CL60" s="1126"/>
      <c r="CM60" s="1126"/>
      <c r="CN60" s="1126"/>
      <c r="CO60" s="1126"/>
      <c r="CP60" s="1126"/>
      <c r="CQ60" s="1126"/>
      <c r="CR60" s="1126"/>
      <c r="CS60" s="1126"/>
      <c r="CT60" s="1127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5"/>
      <c r="CE61" s="1126"/>
      <c r="CF61" s="1126"/>
      <c r="CG61" s="1126"/>
      <c r="CH61" s="1126"/>
      <c r="CI61" s="1126"/>
      <c r="CJ61" s="1126"/>
      <c r="CK61" s="1126"/>
      <c r="CL61" s="1126"/>
      <c r="CM61" s="1126"/>
      <c r="CN61" s="1126"/>
      <c r="CO61" s="1126"/>
      <c r="CP61" s="1126"/>
      <c r="CQ61" s="1126"/>
      <c r="CR61" s="1126"/>
      <c r="CS61" s="1126"/>
      <c r="CT61" s="1127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5"/>
      <c r="CE62" s="1126"/>
      <c r="CF62" s="1126"/>
      <c r="CG62" s="1126"/>
      <c r="CH62" s="1126"/>
      <c r="CI62" s="1126"/>
      <c r="CJ62" s="1126"/>
      <c r="CK62" s="1126"/>
      <c r="CL62" s="1126"/>
      <c r="CM62" s="1126"/>
      <c r="CN62" s="1126"/>
      <c r="CO62" s="1126"/>
      <c r="CP62" s="1126"/>
      <c r="CQ62" s="1126"/>
      <c r="CR62" s="1126"/>
      <c r="CS62" s="1126"/>
      <c r="CT62" s="1127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5"/>
      <c r="CE63" s="1126"/>
      <c r="CF63" s="1126"/>
      <c r="CG63" s="1126"/>
      <c r="CH63" s="1126"/>
      <c r="CI63" s="1126"/>
      <c r="CJ63" s="1126"/>
      <c r="CK63" s="1126"/>
      <c r="CL63" s="1126"/>
      <c r="CM63" s="1126"/>
      <c r="CN63" s="1126"/>
      <c r="CO63" s="1126"/>
      <c r="CP63" s="1126"/>
      <c r="CQ63" s="1126"/>
      <c r="CR63" s="1126"/>
      <c r="CS63" s="1126"/>
      <c r="CT63" s="1127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19"/>
      <c r="CE64" s="1120"/>
      <c r="CF64" s="1120"/>
      <c r="CG64" s="1120"/>
      <c r="CH64" s="1120"/>
      <c r="CI64" s="1120"/>
      <c r="CJ64" s="1120"/>
      <c r="CK64" s="1120"/>
      <c r="CL64" s="1120"/>
      <c r="CM64" s="1120"/>
      <c r="CN64" s="1120"/>
      <c r="CO64" s="1120"/>
      <c r="CP64" s="1120"/>
      <c r="CQ64" s="1120"/>
      <c r="CR64" s="1120"/>
      <c r="CS64" s="1120"/>
      <c r="CT64" s="1121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19"/>
      <c r="CE65" s="1120"/>
      <c r="CF65" s="1120"/>
      <c r="CG65" s="1120"/>
      <c r="CH65" s="1120"/>
      <c r="CI65" s="1120"/>
      <c r="CJ65" s="1120"/>
      <c r="CK65" s="1120"/>
      <c r="CL65" s="1120"/>
      <c r="CM65" s="1120"/>
      <c r="CN65" s="1120"/>
      <c r="CO65" s="1120"/>
      <c r="CP65" s="1120"/>
      <c r="CQ65" s="1120"/>
      <c r="CR65" s="1120"/>
      <c r="CS65" s="1120"/>
      <c r="CT65" s="1121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09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0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1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1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1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1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1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2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2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2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1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1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1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1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1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0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3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09" t="str">
        <f t="shared" si="323"/>
        <v/>
      </c>
      <c r="CE67" s="1110" t="str">
        <f t="shared" si="324"/>
        <v/>
      </c>
      <c r="CF67" s="1111" t="str">
        <f t="shared" si="325"/>
        <v/>
      </c>
      <c r="CG67" s="1111" t="str">
        <f t="shared" si="326"/>
        <v/>
      </c>
      <c r="CH67" s="1111" t="str">
        <f t="shared" si="327"/>
        <v/>
      </c>
      <c r="CI67" s="1111" t="str">
        <f t="shared" si="328"/>
        <v/>
      </c>
      <c r="CJ67" s="1111" t="str">
        <f t="shared" si="329"/>
        <v/>
      </c>
      <c r="CK67" s="1112" t="str">
        <f t="shared" si="330"/>
        <v/>
      </c>
      <c r="CL67" s="1112" t="str">
        <f t="shared" si="331"/>
        <v/>
      </c>
      <c r="CM67" s="1112" t="str">
        <f t="shared" si="332"/>
        <v/>
      </c>
      <c r="CN67" s="1111" t="str">
        <f t="shared" si="333"/>
        <v/>
      </c>
      <c r="CO67" s="1111" t="str">
        <f t="shared" si="334"/>
        <v/>
      </c>
      <c r="CP67" s="1111" t="str">
        <f t="shared" si="335"/>
        <v/>
      </c>
      <c r="CQ67" s="1111" t="str">
        <f t="shared" si="336"/>
        <v/>
      </c>
      <c r="CR67" s="1111" t="str">
        <f t="shared" si="337"/>
        <v/>
      </c>
      <c r="CS67" s="1110" t="str">
        <f t="shared" si="338"/>
        <v/>
      </c>
      <c r="CT67" s="1113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09" t="str">
        <f t="shared" si="323"/>
        <v/>
      </c>
      <c r="CE68" s="1110" t="str">
        <f t="shared" si="324"/>
        <v/>
      </c>
      <c r="CF68" s="1111" t="str">
        <f t="shared" si="325"/>
        <v/>
      </c>
      <c r="CG68" s="1111" t="str">
        <f t="shared" si="326"/>
        <v/>
      </c>
      <c r="CH68" s="1111" t="str">
        <f t="shared" si="327"/>
        <v/>
      </c>
      <c r="CI68" s="1111" t="str">
        <f t="shared" si="328"/>
        <v/>
      </c>
      <c r="CJ68" s="1111" t="str">
        <f t="shared" si="329"/>
        <v/>
      </c>
      <c r="CK68" s="1112" t="str">
        <f t="shared" si="330"/>
        <v/>
      </c>
      <c r="CL68" s="1112" t="str">
        <f t="shared" si="331"/>
        <v/>
      </c>
      <c r="CM68" s="1112" t="str">
        <f t="shared" si="332"/>
        <v/>
      </c>
      <c r="CN68" s="1111" t="str">
        <f t="shared" si="333"/>
        <v/>
      </c>
      <c r="CO68" s="1111" t="str">
        <f t="shared" si="334"/>
        <v/>
      </c>
      <c r="CP68" s="1111" t="str">
        <f t="shared" si="335"/>
        <v/>
      </c>
      <c r="CQ68" s="1111" t="str">
        <f t="shared" si="336"/>
        <v/>
      </c>
      <c r="CR68" s="1111" t="str">
        <f t="shared" si="337"/>
        <v/>
      </c>
      <c r="CS68" s="1110" t="str">
        <f t="shared" si="338"/>
        <v/>
      </c>
      <c r="CT68" s="1113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09" t="str">
        <f t="shared" si="323"/>
        <v/>
      </c>
      <c r="CE69" s="1110" t="str">
        <f t="shared" si="324"/>
        <v/>
      </c>
      <c r="CF69" s="1111" t="str">
        <f t="shared" si="325"/>
        <v/>
      </c>
      <c r="CG69" s="1111" t="str">
        <f t="shared" si="326"/>
        <v/>
      </c>
      <c r="CH69" s="1111" t="str">
        <f t="shared" si="327"/>
        <v/>
      </c>
      <c r="CI69" s="1111" t="str">
        <f t="shared" si="328"/>
        <v/>
      </c>
      <c r="CJ69" s="1111" t="str">
        <f t="shared" si="329"/>
        <v/>
      </c>
      <c r="CK69" s="1112" t="str">
        <f t="shared" si="330"/>
        <v/>
      </c>
      <c r="CL69" s="1112" t="str">
        <f t="shared" si="331"/>
        <v/>
      </c>
      <c r="CM69" s="1112" t="str">
        <f t="shared" si="332"/>
        <v/>
      </c>
      <c r="CN69" s="1111" t="str">
        <f t="shared" si="333"/>
        <v/>
      </c>
      <c r="CO69" s="1111" t="str">
        <f t="shared" si="334"/>
        <v/>
      </c>
      <c r="CP69" s="1111" t="str">
        <f t="shared" si="335"/>
        <v/>
      </c>
      <c r="CQ69" s="1111" t="str">
        <f t="shared" si="336"/>
        <v/>
      </c>
      <c r="CR69" s="1111" t="str">
        <f t="shared" si="337"/>
        <v/>
      </c>
      <c r="CS69" s="1110" t="str">
        <f t="shared" si="338"/>
        <v/>
      </c>
      <c r="CT69" s="1113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09" t="str">
        <f t="shared" si="323"/>
        <v/>
      </c>
      <c r="CE70" s="1110" t="str">
        <f t="shared" si="324"/>
        <v/>
      </c>
      <c r="CF70" s="1111" t="str">
        <f t="shared" si="325"/>
        <v/>
      </c>
      <c r="CG70" s="1111" t="str">
        <f t="shared" si="326"/>
        <v/>
      </c>
      <c r="CH70" s="1111" t="str">
        <f t="shared" si="327"/>
        <v/>
      </c>
      <c r="CI70" s="1111" t="str">
        <f t="shared" si="328"/>
        <v/>
      </c>
      <c r="CJ70" s="1111" t="str">
        <f t="shared" si="329"/>
        <v/>
      </c>
      <c r="CK70" s="1112" t="str">
        <f t="shared" si="330"/>
        <v/>
      </c>
      <c r="CL70" s="1112" t="str">
        <f t="shared" si="331"/>
        <v/>
      </c>
      <c r="CM70" s="1112" t="str">
        <f t="shared" si="332"/>
        <v/>
      </c>
      <c r="CN70" s="1111" t="str">
        <f t="shared" si="333"/>
        <v/>
      </c>
      <c r="CO70" s="1111" t="str">
        <f t="shared" si="334"/>
        <v/>
      </c>
      <c r="CP70" s="1111" t="str">
        <f t="shared" si="335"/>
        <v/>
      </c>
      <c r="CQ70" s="1111" t="str">
        <f t="shared" si="336"/>
        <v/>
      </c>
      <c r="CR70" s="1111" t="str">
        <f t="shared" si="337"/>
        <v/>
      </c>
      <c r="CS70" s="1110" t="str">
        <f t="shared" si="338"/>
        <v/>
      </c>
      <c r="CT70" s="1113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09" t="str">
        <f t="shared" si="323"/>
        <v/>
      </c>
      <c r="CE71" s="1110" t="str">
        <f t="shared" si="324"/>
        <v/>
      </c>
      <c r="CF71" s="1111" t="str">
        <f t="shared" si="325"/>
        <v/>
      </c>
      <c r="CG71" s="1111" t="str">
        <f t="shared" si="326"/>
        <v/>
      </c>
      <c r="CH71" s="1111" t="str">
        <f t="shared" si="327"/>
        <v/>
      </c>
      <c r="CI71" s="1111" t="str">
        <f t="shared" si="328"/>
        <v/>
      </c>
      <c r="CJ71" s="1111" t="str">
        <f t="shared" si="329"/>
        <v/>
      </c>
      <c r="CK71" s="1112" t="str">
        <f t="shared" si="330"/>
        <v/>
      </c>
      <c r="CL71" s="1112" t="str">
        <f t="shared" si="331"/>
        <v/>
      </c>
      <c r="CM71" s="1112" t="str">
        <f t="shared" si="332"/>
        <v/>
      </c>
      <c r="CN71" s="1111" t="str">
        <f t="shared" si="333"/>
        <v/>
      </c>
      <c r="CO71" s="1111" t="str">
        <f t="shared" si="334"/>
        <v/>
      </c>
      <c r="CP71" s="1111" t="str">
        <f t="shared" si="335"/>
        <v/>
      </c>
      <c r="CQ71" s="1111" t="str">
        <f t="shared" si="336"/>
        <v/>
      </c>
      <c r="CR71" s="1111" t="str">
        <f t="shared" si="337"/>
        <v/>
      </c>
      <c r="CS71" s="1110" t="str">
        <f t="shared" si="338"/>
        <v/>
      </c>
      <c r="CT71" s="1113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09" t="str">
        <f t="shared" si="323"/>
        <v/>
      </c>
      <c r="CE72" s="1110" t="str">
        <f t="shared" si="324"/>
        <v/>
      </c>
      <c r="CF72" s="1111" t="str">
        <f t="shared" si="325"/>
        <v/>
      </c>
      <c r="CG72" s="1111" t="str">
        <f t="shared" si="326"/>
        <v/>
      </c>
      <c r="CH72" s="1111" t="str">
        <f t="shared" si="327"/>
        <v/>
      </c>
      <c r="CI72" s="1111" t="str">
        <f t="shared" si="328"/>
        <v/>
      </c>
      <c r="CJ72" s="1111" t="str">
        <f t="shared" si="329"/>
        <v/>
      </c>
      <c r="CK72" s="1112" t="str">
        <f t="shared" si="330"/>
        <v/>
      </c>
      <c r="CL72" s="1112" t="str">
        <f t="shared" si="331"/>
        <v/>
      </c>
      <c r="CM72" s="1112" t="str">
        <f t="shared" si="332"/>
        <v/>
      </c>
      <c r="CN72" s="1111" t="str">
        <f t="shared" si="333"/>
        <v/>
      </c>
      <c r="CO72" s="1111" t="str">
        <f t="shared" si="334"/>
        <v/>
      </c>
      <c r="CP72" s="1111" t="str">
        <f t="shared" si="335"/>
        <v/>
      </c>
      <c r="CQ72" s="1111" t="str">
        <f t="shared" si="336"/>
        <v/>
      </c>
      <c r="CR72" s="1111" t="str">
        <f t="shared" si="337"/>
        <v/>
      </c>
      <c r="CS72" s="1110" t="str">
        <f t="shared" si="338"/>
        <v/>
      </c>
      <c r="CT72" s="1113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09" t="str">
        <f t="shared" si="323"/>
        <v/>
      </c>
      <c r="CE73" s="1110" t="str">
        <f t="shared" si="324"/>
        <v/>
      </c>
      <c r="CF73" s="1111" t="str">
        <f t="shared" si="325"/>
        <v/>
      </c>
      <c r="CG73" s="1111" t="str">
        <f t="shared" si="326"/>
        <v/>
      </c>
      <c r="CH73" s="1111" t="str">
        <f t="shared" si="327"/>
        <v/>
      </c>
      <c r="CI73" s="1111" t="str">
        <f t="shared" si="328"/>
        <v/>
      </c>
      <c r="CJ73" s="1111" t="str">
        <f t="shared" si="329"/>
        <v/>
      </c>
      <c r="CK73" s="1112" t="str">
        <f t="shared" si="330"/>
        <v/>
      </c>
      <c r="CL73" s="1112" t="str">
        <f t="shared" si="331"/>
        <v/>
      </c>
      <c r="CM73" s="1112" t="str">
        <f t="shared" si="332"/>
        <v/>
      </c>
      <c r="CN73" s="1111" t="str">
        <f t="shared" si="333"/>
        <v/>
      </c>
      <c r="CO73" s="1111" t="str">
        <f t="shared" si="334"/>
        <v/>
      </c>
      <c r="CP73" s="1111" t="str">
        <f t="shared" si="335"/>
        <v/>
      </c>
      <c r="CQ73" s="1111" t="str">
        <f t="shared" si="336"/>
        <v/>
      </c>
      <c r="CR73" s="1111" t="str">
        <f t="shared" si="337"/>
        <v/>
      </c>
      <c r="CS73" s="1110" t="str">
        <f t="shared" si="338"/>
        <v/>
      </c>
      <c r="CT73" s="1113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09" t="str">
        <f t="shared" si="323"/>
        <v/>
      </c>
      <c r="CE74" s="1110" t="str">
        <f t="shared" si="324"/>
        <v/>
      </c>
      <c r="CF74" s="1111" t="str">
        <f t="shared" si="325"/>
        <v/>
      </c>
      <c r="CG74" s="1111" t="str">
        <f t="shared" si="326"/>
        <v/>
      </c>
      <c r="CH74" s="1111" t="str">
        <f t="shared" si="327"/>
        <v/>
      </c>
      <c r="CI74" s="1111" t="str">
        <f t="shared" si="328"/>
        <v/>
      </c>
      <c r="CJ74" s="1111" t="str">
        <f t="shared" si="329"/>
        <v/>
      </c>
      <c r="CK74" s="1112" t="str">
        <f t="shared" si="330"/>
        <v/>
      </c>
      <c r="CL74" s="1112" t="str">
        <f t="shared" si="331"/>
        <v/>
      </c>
      <c r="CM74" s="1112" t="str">
        <f t="shared" si="332"/>
        <v/>
      </c>
      <c r="CN74" s="1111" t="str">
        <f t="shared" si="333"/>
        <v/>
      </c>
      <c r="CO74" s="1111" t="str">
        <f t="shared" si="334"/>
        <v/>
      </c>
      <c r="CP74" s="1111" t="str">
        <f t="shared" si="335"/>
        <v/>
      </c>
      <c r="CQ74" s="1111" t="str">
        <f t="shared" si="336"/>
        <v/>
      </c>
      <c r="CR74" s="1111" t="str">
        <f t="shared" si="337"/>
        <v/>
      </c>
      <c r="CS74" s="1110" t="str">
        <f t="shared" si="338"/>
        <v/>
      </c>
      <c r="CT74" s="1113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09" t="str">
        <f t="shared" si="323"/>
        <v/>
      </c>
      <c r="CE75" s="1110" t="str">
        <f t="shared" si="324"/>
        <v/>
      </c>
      <c r="CF75" s="1111" t="str">
        <f t="shared" si="325"/>
        <v/>
      </c>
      <c r="CG75" s="1111" t="str">
        <f t="shared" si="326"/>
        <v/>
      </c>
      <c r="CH75" s="1111" t="str">
        <f t="shared" si="327"/>
        <v/>
      </c>
      <c r="CI75" s="1111" t="str">
        <f t="shared" si="328"/>
        <v/>
      </c>
      <c r="CJ75" s="1111" t="str">
        <f t="shared" si="329"/>
        <v/>
      </c>
      <c r="CK75" s="1112" t="str">
        <f t="shared" si="330"/>
        <v/>
      </c>
      <c r="CL75" s="1112" t="str">
        <f t="shared" si="331"/>
        <v/>
      </c>
      <c r="CM75" s="1112" t="str">
        <f t="shared" si="332"/>
        <v/>
      </c>
      <c r="CN75" s="1111" t="str">
        <f t="shared" si="333"/>
        <v/>
      </c>
      <c r="CO75" s="1111" t="str">
        <f t="shared" si="334"/>
        <v/>
      </c>
      <c r="CP75" s="1111" t="str">
        <f t="shared" si="335"/>
        <v/>
      </c>
      <c r="CQ75" s="1111" t="str">
        <f t="shared" si="336"/>
        <v/>
      </c>
      <c r="CR75" s="1111" t="str">
        <f t="shared" si="337"/>
        <v/>
      </c>
      <c r="CS75" s="1110" t="str">
        <f t="shared" si="338"/>
        <v/>
      </c>
      <c r="CT75" s="1113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09" t="str">
        <f t="shared" si="323"/>
        <v/>
      </c>
      <c r="CE76" s="1110" t="str">
        <f t="shared" si="324"/>
        <v/>
      </c>
      <c r="CF76" s="1111" t="str">
        <f t="shared" si="325"/>
        <v/>
      </c>
      <c r="CG76" s="1111" t="str">
        <f t="shared" si="326"/>
        <v/>
      </c>
      <c r="CH76" s="1111" t="str">
        <f t="shared" si="327"/>
        <v/>
      </c>
      <c r="CI76" s="1111" t="str">
        <f t="shared" si="328"/>
        <v/>
      </c>
      <c r="CJ76" s="1111" t="str">
        <f t="shared" si="329"/>
        <v/>
      </c>
      <c r="CK76" s="1112" t="str">
        <f t="shared" si="330"/>
        <v/>
      </c>
      <c r="CL76" s="1112" t="str">
        <f t="shared" si="331"/>
        <v/>
      </c>
      <c r="CM76" s="1112" t="str">
        <f t="shared" si="332"/>
        <v/>
      </c>
      <c r="CN76" s="1111" t="str">
        <f t="shared" si="333"/>
        <v/>
      </c>
      <c r="CO76" s="1111" t="str">
        <f t="shared" si="334"/>
        <v/>
      </c>
      <c r="CP76" s="1111" t="str">
        <f t="shared" si="335"/>
        <v/>
      </c>
      <c r="CQ76" s="1111" t="str">
        <f t="shared" si="336"/>
        <v/>
      </c>
      <c r="CR76" s="1111" t="str">
        <f t="shared" si="337"/>
        <v/>
      </c>
      <c r="CS76" s="1110" t="str">
        <f t="shared" si="338"/>
        <v/>
      </c>
      <c r="CT76" s="1113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09" t="str">
        <f t="shared" si="323"/>
        <v/>
      </c>
      <c r="CE77" s="1110" t="str">
        <f t="shared" si="324"/>
        <v/>
      </c>
      <c r="CF77" s="1111" t="str">
        <f t="shared" si="325"/>
        <v/>
      </c>
      <c r="CG77" s="1111" t="str">
        <f t="shared" si="326"/>
        <v/>
      </c>
      <c r="CH77" s="1111" t="str">
        <f t="shared" si="327"/>
        <v/>
      </c>
      <c r="CI77" s="1111" t="str">
        <f t="shared" si="328"/>
        <v/>
      </c>
      <c r="CJ77" s="1111" t="str">
        <f t="shared" si="329"/>
        <v/>
      </c>
      <c r="CK77" s="1112" t="str">
        <f t="shared" si="330"/>
        <v/>
      </c>
      <c r="CL77" s="1112" t="str">
        <f t="shared" si="331"/>
        <v/>
      </c>
      <c r="CM77" s="1112" t="str">
        <f t="shared" si="332"/>
        <v/>
      </c>
      <c r="CN77" s="1111" t="str">
        <f t="shared" si="333"/>
        <v/>
      </c>
      <c r="CO77" s="1111" t="str">
        <f t="shared" si="334"/>
        <v/>
      </c>
      <c r="CP77" s="1111" t="str">
        <f t="shared" si="335"/>
        <v/>
      </c>
      <c r="CQ77" s="1111" t="str">
        <f t="shared" si="336"/>
        <v/>
      </c>
      <c r="CR77" s="1111" t="str">
        <f t="shared" si="337"/>
        <v/>
      </c>
      <c r="CS77" s="1110" t="str">
        <f t="shared" si="338"/>
        <v/>
      </c>
      <c r="CT77" s="1113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09" t="str">
        <f t="shared" si="323"/>
        <v/>
      </c>
      <c r="CE78" s="1110" t="str">
        <f t="shared" si="324"/>
        <v/>
      </c>
      <c r="CF78" s="1111" t="str">
        <f t="shared" si="325"/>
        <v/>
      </c>
      <c r="CG78" s="1111" t="str">
        <f t="shared" si="326"/>
        <v/>
      </c>
      <c r="CH78" s="1111" t="str">
        <f t="shared" si="327"/>
        <v/>
      </c>
      <c r="CI78" s="1111" t="str">
        <f t="shared" si="328"/>
        <v/>
      </c>
      <c r="CJ78" s="1111" t="str">
        <f t="shared" si="329"/>
        <v/>
      </c>
      <c r="CK78" s="1112" t="str">
        <f t="shared" si="330"/>
        <v/>
      </c>
      <c r="CL78" s="1112" t="str">
        <f t="shared" si="331"/>
        <v/>
      </c>
      <c r="CM78" s="1112" t="str">
        <f t="shared" si="332"/>
        <v/>
      </c>
      <c r="CN78" s="1111" t="str">
        <f t="shared" si="333"/>
        <v/>
      </c>
      <c r="CO78" s="1111" t="str">
        <f t="shared" si="334"/>
        <v/>
      </c>
      <c r="CP78" s="1111" t="str">
        <f t="shared" si="335"/>
        <v/>
      </c>
      <c r="CQ78" s="1111" t="str">
        <f t="shared" si="336"/>
        <v/>
      </c>
      <c r="CR78" s="1111" t="str">
        <f t="shared" si="337"/>
        <v/>
      </c>
      <c r="CS78" s="1110" t="str">
        <f t="shared" si="338"/>
        <v/>
      </c>
      <c r="CT78" s="1113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09" t="str">
        <f t="shared" si="323"/>
        <v/>
      </c>
      <c r="CE79" s="1110" t="str">
        <f t="shared" si="324"/>
        <v/>
      </c>
      <c r="CF79" s="1111" t="str">
        <f t="shared" si="325"/>
        <v/>
      </c>
      <c r="CG79" s="1111" t="str">
        <f t="shared" si="326"/>
        <v/>
      </c>
      <c r="CH79" s="1111" t="str">
        <f t="shared" si="327"/>
        <v/>
      </c>
      <c r="CI79" s="1111" t="str">
        <f t="shared" si="328"/>
        <v/>
      </c>
      <c r="CJ79" s="1111" t="str">
        <f t="shared" si="329"/>
        <v/>
      </c>
      <c r="CK79" s="1112" t="str">
        <f t="shared" si="330"/>
        <v/>
      </c>
      <c r="CL79" s="1112" t="str">
        <f t="shared" si="331"/>
        <v/>
      </c>
      <c r="CM79" s="1112" t="str">
        <f t="shared" si="332"/>
        <v/>
      </c>
      <c r="CN79" s="1111" t="str">
        <f t="shared" si="333"/>
        <v/>
      </c>
      <c r="CO79" s="1111" t="str">
        <f t="shared" si="334"/>
        <v/>
      </c>
      <c r="CP79" s="1111" t="str">
        <f t="shared" si="335"/>
        <v/>
      </c>
      <c r="CQ79" s="1111" t="str">
        <f t="shared" si="336"/>
        <v/>
      </c>
      <c r="CR79" s="1111" t="str">
        <f t="shared" si="337"/>
        <v/>
      </c>
      <c r="CS79" s="1110" t="str">
        <f t="shared" si="338"/>
        <v/>
      </c>
      <c r="CT79" s="1113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09" t="str">
        <f t="shared" si="323"/>
        <v/>
      </c>
      <c r="CE80" s="1110" t="str">
        <f t="shared" si="324"/>
        <v/>
      </c>
      <c r="CF80" s="1111" t="str">
        <f t="shared" si="325"/>
        <v/>
      </c>
      <c r="CG80" s="1111" t="str">
        <f t="shared" si="326"/>
        <v/>
      </c>
      <c r="CH80" s="1111" t="str">
        <f t="shared" si="327"/>
        <v/>
      </c>
      <c r="CI80" s="1111" t="str">
        <f t="shared" si="328"/>
        <v/>
      </c>
      <c r="CJ80" s="1111" t="str">
        <f t="shared" si="329"/>
        <v/>
      </c>
      <c r="CK80" s="1112" t="str">
        <f t="shared" si="330"/>
        <v/>
      </c>
      <c r="CL80" s="1112" t="str">
        <f t="shared" si="331"/>
        <v/>
      </c>
      <c r="CM80" s="1112" t="str">
        <f t="shared" si="332"/>
        <v/>
      </c>
      <c r="CN80" s="1111" t="str">
        <f t="shared" si="333"/>
        <v/>
      </c>
      <c r="CO80" s="1111" t="str">
        <f t="shared" si="334"/>
        <v/>
      </c>
      <c r="CP80" s="1111" t="str">
        <f t="shared" si="335"/>
        <v/>
      </c>
      <c r="CQ80" s="1111" t="str">
        <f t="shared" si="336"/>
        <v/>
      </c>
      <c r="CR80" s="1111" t="str">
        <f t="shared" si="337"/>
        <v/>
      </c>
      <c r="CS80" s="1110" t="str">
        <f t="shared" si="338"/>
        <v/>
      </c>
      <c r="CT80" s="1113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09" t="str">
        <f t="shared" si="323"/>
        <v/>
      </c>
      <c r="CE81" s="1110" t="str">
        <f t="shared" si="324"/>
        <v/>
      </c>
      <c r="CF81" s="1111" t="str">
        <f t="shared" si="325"/>
        <v/>
      </c>
      <c r="CG81" s="1111" t="str">
        <f t="shared" si="326"/>
        <v/>
      </c>
      <c r="CH81" s="1111">
        <f t="shared" si="327"/>
        <v>1</v>
      </c>
      <c r="CI81" s="1111">
        <f t="shared" si="328"/>
        <v>1</v>
      </c>
      <c r="CJ81" s="1111">
        <f t="shared" si="329"/>
        <v>1</v>
      </c>
      <c r="CK81" s="1112">
        <f t="shared" si="330"/>
        <v>1</v>
      </c>
      <c r="CL81" s="1112">
        <f t="shared" si="331"/>
        <v>1</v>
      </c>
      <c r="CM81" s="1112">
        <f t="shared" si="332"/>
        <v>1</v>
      </c>
      <c r="CN81" s="1111">
        <f t="shared" si="333"/>
        <v>1</v>
      </c>
      <c r="CO81" s="1111">
        <f t="shared" si="334"/>
        <v>1</v>
      </c>
      <c r="CP81" s="1111">
        <f t="shared" si="335"/>
        <v>1</v>
      </c>
      <c r="CQ81" s="1111" t="str">
        <f t="shared" si="336"/>
        <v/>
      </c>
      <c r="CR81" s="1111" t="str">
        <f t="shared" si="337"/>
        <v/>
      </c>
      <c r="CS81" s="1110" t="str">
        <f t="shared" si="338"/>
        <v/>
      </c>
      <c r="CT81" s="1113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09" t="str">
        <f t="shared" si="323"/>
        <v/>
      </c>
      <c r="CE82" s="1110" t="str">
        <f t="shared" si="324"/>
        <v/>
      </c>
      <c r="CF82" s="1111" t="str">
        <f t="shared" si="325"/>
        <v/>
      </c>
      <c r="CG82" s="1111" t="str">
        <f t="shared" si="326"/>
        <v/>
      </c>
      <c r="CH82" s="1111" t="str">
        <f t="shared" si="327"/>
        <v/>
      </c>
      <c r="CI82" s="1111" t="str">
        <f t="shared" si="328"/>
        <v/>
      </c>
      <c r="CJ82" s="1111" t="str">
        <f t="shared" si="329"/>
        <v/>
      </c>
      <c r="CK82" s="1112" t="str">
        <f t="shared" si="330"/>
        <v/>
      </c>
      <c r="CL82" s="1112" t="str">
        <f t="shared" si="331"/>
        <v/>
      </c>
      <c r="CM82" s="1112" t="str">
        <f t="shared" si="332"/>
        <v/>
      </c>
      <c r="CN82" s="1111" t="str">
        <f t="shared" si="333"/>
        <v/>
      </c>
      <c r="CO82" s="1111" t="str">
        <f t="shared" si="334"/>
        <v/>
      </c>
      <c r="CP82" s="1111" t="str">
        <f t="shared" si="335"/>
        <v/>
      </c>
      <c r="CQ82" s="1111" t="str">
        <f t="shared" si="336"/>
        <v/>
      </c>
      <c r="CR82" s="1111" t="str">
        <f t="shared" si="337"/>
        <v/>
      </c>
      <c r="CS82" s="1110" t="str">
        <f t="shared" si="338"/>
        <v/>
      </c>
      <c r="CT82" s="1113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28" t="str">
        <f t="shared" si="323"/>
        <v/>
      </c>
      <c r="CE83" s="1129" t="str">
        <f t="shared" si="324"/>
        <v/>
      </c>
      <c r="CF83" s="1130" t="str">
        <f t="shared" si="325"/>
        <v/>
      </c>
      <c r="CG83" s="1130" t="str">
        <f t="shared" si="326"/>
        <v/>
      </c>
      <c r="CH83" s="1130" t="str">
        <f t="shared" si="327"/>
        <v/>
      </c>
      <c r="CI83" s="1130" t="str">
        <f t="shared" si="328"/>
        <v/>
      </c>
      <c r="CJ83" s="1130" t="str">
        <f t="shared" si="329"/>
        <v/>
      </c>
      <c r="CK83" s="1131" t="str">
        <f t="shared" si="330"/>
        <v/>
      </c>
      <c r="CL83" s="1131" t="str">
        <f t="shared" si="331"/>
        <v/>
      </c>
      <c r="CM83" s="1131" t="str">
        <f t="shared" si="332"/>
        <v/>
      </c>
      <c r="CN83" s="1130" t="str">
        <f t="shared" si="333"/>
        <v/>
      </c>
      <c r="CO83" s="1130" t="str">
        <f t="shared" si="334"/>
        <v/>
      </c>
      <c r="CP83" s="1130" t="str">
        <f t="shared" si="335"/>
        <v/>
      </c>
      <c r="CQ83" s="1130" t="str">
        <f t="shared" si="336"/>
        <v/>
      </c>
      <c r="CR83" s="1130" t="str">
        <f t="shared" si="337"/>
        <v/>
      </c>
      <c r="CS83" s="1129" t="str">
        <f t="shared" si="338"/>
        <v/>
      </c>
      <c r="CT83" s="1132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09" t="str">
        <f t="shared" si="323"/>
        <v/>
      </c>
      <c r="CE84" s="1110" t="str">
        <f t="shared" si="324"/>
        <v/>
      </c>
      <c r="CF84" s="1111" t="str">
        <f t="shared" si="325"/>
        <v/>
      </c>
      <c r="CG84" s="1111" t="str">
        <f t="shared" si="326"/>
        <v/>
      </c>
      <c r="CH84" s="1111" t="str">
        <f t="shared" si="327"/>
        <v/>
      </c>
      <c r="CI84" s="1111" t="str">
        <f t="shared" si="328"/>
        <v/>
      </c>
      <c r="CJ84" s="1111" t="str">
        <f t="shared" si="329"/>
        <v/>
      </c>
      <c r="CK84" s="1112" t="str">
        <f t="shared" si="330"/>
        <v/>
      </c>
      <c r="CL84" s="1112" t="str">
        <f t="shared" si="331"/>
        <v/>
      </c>
      <c r="CM84" s="1112" t="str">
        <f t="shared" si="332"/>
        <v/>
      </c>
      <c r="CN84" s="1111" t="str">
        <f t="shared" si="333"/>
        <v/>
      </c>
      <c r="CO84" s="1111" t="str">
        <f t="shared" si="334"/>
        <v/>
      </c>
      <c r="CP84" s="1111" t="str">
        <f t="shared" si="335"/>
        <v/>
      </c>
      <c r="CQ84" s="1111" t="str">
        <f t="shared" si="336"/>
        <v/>
      </c>
      <c r="CR84" s="1111" t="str">
        <f t="shared" si="337"/>
        <v/>
      </c>
      <c r="CS84" s="1110" t="str">
        <f t="shared" si="338"/>
        <v/>
      </c>
      <c r="CT84" s="1113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09" t="str">
        <f t="shared" si="323"/>
        <v/>
      </c>
      <c r="CE85" s="1110" t="str">
        <f t="shared" si="324"/>
        <v/>
      </c>
      <c r="CF85" s="1111" t="str">
        <f t="shared" si="325"/>
        <v/>
      </c>
      <c r="CG85" s="1111" t="str">
        <f t="shared" si="326"/>
        <v/>
      </c>
      <c r="CH85" s="1111" t="str">
        <f t="shared" si="327"/>
        <v/>
      </c>
      <c r="CI85" s="1111" t="str">
        <f t="shared" si="328"/>
        <v/>
      </c>
      <c r="CJ85" s="1111" t="str">
        <f t="shared" si="329"/>
        <v/>
      </c>
      <c r="CK85" s="1112" t="str">
        <f t="shared" si="330"/>
        <v/>
      </c>
      <c r="CL85" s="1112" t="str">
        <f t="shared" si="331"/>
        <v/>
      </c>
      <c r="CM85" s="1112" t="str">
        <f t="shared" si="332"/>
        <v/>
      </c>
      <c r="CN85" s="1111" t="str">
        <f t="shared" si="333"/>
        <v/>
      </c>
      <c r="CO85" s="1111" t="str">
        <f t="shared" si="334"/>
        <v/>
      </c>
      <c r="CP85" s="1111" t="str">
        <f t="shared" si="335"/>
        <v/>
      </c>
      <c r="CQ85" s="1111" t="str">
        <f t="shared" si="336"/>
        <v/>
      </c>
      <c r="CR85" s="1111" t="str">
        <f t="shared" si="337"/>
        <v/>
      </c>
      <c r="CS85" s="1110" t="str">
        <f t="shared" si="338"/>
        <v/>
      </c>
      <c r="CT85" s="1113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09" t="str">
        <f t="shared" si="323"/>
        <v/>
      </c>
      <c r="CE86" s="1110" t="str">
        <f t="shared" si="324"/>
        <v/>
      </c>
      <c r="CF86" s="1111" t="str">
        <f t="shared" si="325"/>
        <v/>
      </c>
      <c r="CG86" s="1111" t="str">
        <f t="shared" si="326"/>
        <v/>
      </c>
      <c r="CH86" s="1111" t="str">
        <f t="shared" si="327"/>
        <v/>
      </c>
      <c r="CI86" s="1111" t="str">
        <f t="shared" si="328"/>
        <v/>
      </c>
      <c r="CJ86" s="1111" t="str">
        <f t="shared" si="329"/>
        <v/>
      </c>
      <c r="CK86" s="1112" t="str">
        <f t="shared" si="330"/>
        <v/>
      </c>
      <c r="CL86" s="1112" t="str">
        <f t="shared" si="331"/>
        <v/>
      </c>
      <c r="CM86" s="1112" t="str">
        <f t="shared" si="332"/>
        <v/>
      </c>
      <c r="CN86" s="1111" t="str">
        <f t="shared" si="333"/>
        <v/>
      </c>
      <c r="CO86" s="1111" t="str">
        <f t="shared" si="334"/>
        <v/>
      </c>
      <c r="CP86" s="1111" t="str">
        <f t="shared" si="335"/>
        <v/>
      </c>
      <c r="CQ86" s="1111" t="str">
        <f t="shared" si="336"/>
        <v/>
      </c>
      <c r="CR86" s="1111" t="str">
        <f t="shared" si="337"/>
        <v/>
      </c>
      <c r="CS86" s="1110" t="str">
        <f t="shared" si="338"/>
        <v/>
      </c>
      <c r="CT86" s="1113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09" t="str">
        <f t="shared" si="323"/>
        <v/>
      </c>
      <c r="CE87" s="1110" t="str">
        <f t="shared" si="324"/>
        <v/>
      </c>
      <c r="CF87" s="1111" t="str">
        <f t="shared" si="325"/>
        <v/>
      </c>
      <c r="CG87" s="1111" t="str">
        <f t="shared" si="326"/>
        <v/>
      </c>
      <c r="CH87" s="1111" t="str">
        <f t="shared" si="327"/>
        <v/>
      </c>
      <c r="CI87" s="1111" t="str">
        <f t="shared" si="328"/>
        <v/>
      </c>
      <c r="CJ87" s="1111" t="str">
        <f t="shared" si="329"/>
        <v/>
      </c>
      <c r="CK87" s="1112" t="str">
        <f t="shared" si="330"/>
        <v/>
      </c>
      <c r="CL87" s="1112" t="str">
        <f t="shared" si="331"/>
        <v/>
      </c>
      <c r="CM87" s="1112" t="str">
        <f t="shared" si="332"/>
        <v/>
      </c>
      <c r="CN87" s="1111" t="str">
        <f t="shared" si="333"/>
        <v/>
      </c>
      <c r="CO87" s="1111" t="str">
        <f t="shared" si="334"/>
        <v/>
      </c>
      <c r="CP87" s="1111" t="str">
        <f t="shared" si="335"/>
        <v/>
      </c>
      <c r="CQ87" s="1111" t="str">
        <f t="shared" si="336"/>
        <v/>
      </c>
      <c r="CR87" s="1111" t="str">
        <f t="shared" si="337"/>
        <v/>
      </c>
      <c r="CS87" s="1110" t="str">
        <f t="shared" si="338"/>
        <v/>
      </c>
      <c r="CT87" s="1113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09" t="str">
        <f t="shared" si="323"/>
        <v/>
      </c>
      <c r="CE88" s="1110" t="str">
        <f t="shared" si="324"/>
        <v/>
      </c>
      <c r="CF88" s="1111" t="str">
        <f t="shared" si="325"/>
        <v/>
      </c>
      <c r="CG88" s="1111" t="str">
        <f t="shared" si="326"/>
        <v/>
      </c>
      <c r="CH88" s="1111" t="str">
        <f t="shared" si="327"/>
        <v/>
      </c>
      <c r="CI88" s="1111" t="str">
        <f t="shared" si="328"/>
        <v/>
      </c>
      <c r="CJ88" s="1111" t="str">
        <f t="shared" si="329"/>
        <v/>
      </c>
      <c r="CK88" s="1112" t="str">
        <f t="shared" si="330"/>
        <v/>
      </c>
      <c r="CL88" s="1112" t="str">
        <f t="shared" si="331"/>
        <v/>
      </c>
      <c r="CM88" s="1112" t="str">
        <f t="shared" si="332"/>
        <v/>
      </c>
      <c r="CN88" s="1111" t="str">
        <f t="shared" si="333"/>
        <v/>
      </c>
      <c r="CO88" s="1111" t="str">
        <f t="shared" si="334"/>
        <v/>
      </c>
      <c r="CP88" s="1111" t="str">
        <f t="shared" si="335"/>
        <v/>
      </c>
      <c r="CQ88" s="1111" t="str">
        <f t="shared" si="336"/>
        <v/>
      </c>
      <c r="CR88" s="1111" t="str">
        <f t="shared" si="337"/>
        <v/>
      </c>
      <c r="CS88" s="1110" t="str">
        <f t="shared" si="338"/>
        <v/>
      </c>
      <c r="CT88" s="1113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28" t="str">
        <f t="shared" si="323"/>
        <v/>
      </c>
      <c r="CE89" s="1129" t="str">
        <f t="shared" si="324"/>
        <v/>
      </c>
      <c r="CF89" s="1130" t="str">
        <f t="shared" si="325"/>
        <v/>
      </c>
      <c r="CG89" s="1130" t="str">
        <f t="shared" si="326"/>
        <v/>
      </c>
      <c r="CH89" s="1130" t="str">
        <f t="shared" si="327"/>
        <v/>
      </c>
      <c r="CI89" s="1130" t="str">
        <f t="shared" si="328"/>
        <v/>
      </c>
      <c r="CJ89" s="1130" t="str">
        <f t="shared" si="329"/>
        <v/>
      </c>
      <c r="CK89" s="1131" t="str">
        <f t="shared" si="330"/>
        <v/>
      </c>
      <c r="CL89" s="1131" t="str">
        <f t="shared" si="331"/>
        <v/>
      </c>
      <c r="CM89" s="1131" t="str">
        <f t="shared" si="332"/>
        <v/>
      </c>
      <c r="CN89" s="1130" t="str">
        <f t="shared" si="333"/>
        <v/>
      </c>
      <c r="CO89" s="1130" t="str">
        <f t="shared" si="334"/>
        <v/>
      </c>
      <c r="CP89" s="1130" t="str">
        <f t="shared" si="335"/>
        <v/>
      </c>
      <c r="CQ89" s="1130" t="str">
        <f t="shared" si="336"/>
        <v/>
      </c>
      <c r="CR89" s="1130" t="str">
        <f t="shared" si="337"/>
        <v/>
      </c>
      <c r="CS89" s="1129" t="str">
        <f t="shared" si="338"/>
        <v/>
      </c>
      <c r="CT89" s="1132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28" t="str">
        <f t="shared" si="323"/>
        <v/>
      </c>
      <c r="CE90" s="1129" t="str">
        <f t="shared" si="324"/>
        <v/>
      </c>
      <c r="CF90" s="1130" t="str">
        <f t="shared" si="325"/>
        <v/>
      </c>
      <c r="CG90" s="1130" t="str">
        <f t="shared" si="326"/>
        <v/>
      </c>
      <c r="CH90" s="1130" t="str">
        <f t="shared" si="327"/>
        <v/>
      </c>
      <c r="CI90" s="1130" t="str">
        <f t="shared" si="328"/>
        <v/>
      </c>
      <c r="CJ90" s="1130" t="str">
        <f t="shared" si="329"/>
        <v/>
      </c>
      <c r="CK90" s="1131" t="str">
        <f t="shared" si="330"/>
        <v/>
      </c>
      <c r="CL90" s="1131" t="str">
        <f t="shared" si="331"/>
        <v/>
      </c>
      <c r="CM90" s="1131" t="str">
        <f t="shared" si="332"/>
        <v/>
      </c>
      <c r="CN90" s="1130" t="str">
        <f t="shared" si="333"/>
        <v/>
      </c>
      <c r="CO90" s="1130" t="str">
        <f t="shared" si="334"/>
        <v/>
      </c>
      <c r="CP90" s="1130" t="str">
        <f t="shared" si="335"/>
        <v/>
      </c>
      <c r="CQ90" s="1130" t="str">
        <f t="shared" si="336"/>
        <v/>
      </c>
      <c r="CR90" s="1130" t="str">
        <f t="shared" si="337"/>
        <v/>
      </c>
      <c r="CS90" s="1129" t="str">
        <f t="shared" si="338"/>
        <v/>
      </c>
      <c r="CT90" s="1132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28" t="str">
        <f t="shared" si="323"/>
        <v/>
      </c>
      <c r="CE91" s="1129" t="str">
        <f t="shared" si="324"/>
        <v/>
      </c>
      <c r="CF91" s="1130" t="str">
        <f t="shared" si="325"/>
        <v/>
      </c>
      <c r="CG91" s="1130" t="str">
        <f t="shared" si="326"/>
        <v/>
      </c>
      <c r="CH91" s="1130" t="str">
        <f t="shared" si="327"/>
        <v/>
      </c>
      <c r="CI91" s="1130" t="str">
        <f t="shared" si="328"/>
        <v/>
      </c>
      <c r="CJ91" s="1130" t="str">
        <f t="shared" si="329"/>
        <v/>
      </c>
      <c r="CK91" s="1131" t="str">
        <f t="shared" si="330"/>
        <v/>
      </c>
      <c r="CL91" s="1131" t="str">
        <f t="shared" si="331"/>
        <v/>
      </c>
      <c r="CM91" s="1131" t="str">
        <f t="shared" si="332"/>
        <v/>
      </c>
      <c r="CN91" s="1130" t="str">
        <f t="shared" si="333"/>
        <v/>
      </c>
      <c r="CO91" s="1130" t="str">
        <f t="shared" si="334"/>
        <v/>
      </c>
      <c r="CP91" s="1130" t="str">
        <f t="shared" si="335"/>
        <v/>
      </c>
      <c r="CQ91" s="1130" t="str">
        <f t="shared" si="336"/>
        <v/>
      </c>
      <c r="CR91" s="1130" t="str">
        <f t="shared" si="337"/>
        <v/>
      </c>
      <c r="CS91" s="1129" t="str">
        <f t="shared" si="338"/>
        <v/>
      </c>
      <c r="CT91" s="1132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5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3"/>
      <c r="CE92" s="1134"/>
      <c r="CF92" s="1134"/>
      <c r="CG92" s="1134"/>
      <c r="CH92" s="1134"/>
      <c r="CI92" s="1134"/>
      <c r="CJ92" s="1134"/>
      <c r="CK92" s="1134"/>
      <c r="CL92" s="1134"/>
      <c r="CM92" s="1134"/>
      <c r="CN92" s="1134"/>
      <c r="CO92" s="1134"/>
      <c r="CP92" s="1134"/>
      <c r="CQ92" s="1134"/>
      <c r="CR92" s="1134"/>
      <c r="CS92" s="1134"/>
      <c r="CT92" s="1135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09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0">
        <f t="shared" si="401"/>
        <v>0</v>
      </c>
      <c r="CF93" s="1111">
        <f t="shared" si="401"/>
        <v>0</v>
      </c>
      <c r="CG93" s="1111">
        <f t="shared" si="401"/>
        <v>0</v>
      </c>
      <c r="CH93" s="1111">
        <f t="shared" si="401"/>
        <v>0</v>
      </c>
      <c r="CI93" s="1111">
        <f t="shared" si="401"/>
        <v>0</v>
      </c>
      <c r="CJ93" s="1111">
        <f t="shared" si="401"/>
        <v>0</v>
      </c>
      <c r="CK93" s="1112">
        <f t="shared" si="401"/>
        <v>0</v>
      </c>
      <c r="CL93" s="1112">
        <f t="shared" si="401"/>
        <v>0</v>
      </c>
      <c r="CM93" s="1112">
        <f t="shared" si="401"/>
        <v>0</v>
      </c>
      <c r="CN93" s="1111">
        <f t="shared" si="401"/>
        <v>0</v>
      </c>
      <c r="CO93" s="1111">
        <f t="shared" si="401"/>
        <v>0</v>
      </c>
      <c r="CP93" s="1111">
        <f t="shared" si="401"/>
        <v>0</v>
      </c>
      <c r="CQ93" s="1111">
        <f t="shared" si="401"/>
        <v>0</v>
      </c>
      <c r="CR93" s="1111">
        <f t="shared" si="401"/>
        <v>0</v>
      </c>
      <c r="CS93" s="1110">
        <f t="shared" si="401"/>
        <v>0</v>
      </c>
      <c r="CT93" s="1113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202</v>
      </c>
      <c r="CC94" s="373">
        <f t="shared" ref="CC94:CC157" si="427">IF(DO94&lt;3,"",(SUM(BD94:BT94)-MIN(BD94:BT94)-MAX(BD94:BT94))/(DO94-2))</f>
        <v>54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401"/>
        <v>90</v>
      </c>
      <c r="CF94" s="1111">
        <f t="shared" si="401"/>
        <v>90</v>
      </c>
      <c r="CG94" s="1111">
        <f t="shared" si="401"/>
        <v>90</v>
      </c>
      <c r="CH94" s="1111">
        <f t="shared" si="401"/>
        <v>90</v>
      </c>
      <c r="CI94" s="1111">
        <f t="shared" si="401"/>
        <v>90</v>
      </c>
      <c r="CJ94" s="1111">
        <f t="shared" si="401"/>
        <v>90</v>
      </c>
      <c r="CK94" s="1112">
        <f t="shared" si="401"/>
        <v>90</v>
      </c>
      <c r="CL94" s="1112">
        <f t="shared" si="401"/>
        <v>90</v>
      </c>
      <c r="CM94" s="1112">
        <f t="shared" si="401"/>
        <v>90</v>
      </c>
      <c r="CN94" s="1111">
        <f t="shared" si="401"/>
        <v>90</v>
      </c>
      <c r="CO94" s="1111">
        <f t="shared" si="401"/>
        <v>90</v>
      </c>
      <c r="CP94" s="1111">
        <f t="shared" si="401"/>
        <v>90</v>
      </c>
      <c r="CQ94" s="1111">
        <f t="shared" si="401"/>
        <v>90</v>
      </c>
      <c r="CR94" s="1111">
        <f t="shared" si="401"/>
        <v>90</v>
      </c>
      <c r="CS94" s="1110">
        <f t="shared" si="401"/>
        <v>90</v>
      </c>
      <c r="CT94" s="1113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17</v>
      </c>
      <c r="DO94" s="68">
        <f t="shared" si="423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3.4333333333333331</v>
      </c>
      <c r="CC95" s="373">
        <f t="shared" si="427"/>
        <v>2.5</v>
      </c>
      <c r="CD95" s="1109" t="str">
        <f t="shared" si="401"/>
        <v/>
      </c>
      <c r="CE95" s="1110" t="str">
        <f t="shared" si="401"/>
        <v/>
      </c>
      <c r="CF95" s="1111" t="str">
        <f t="shared" si="401"/>
        <v/>
      </c>
      <c r="CG95" s="1111" t="str">
        <f t="shared" si="401"/>
        <v/>
      </c>
      <c r="CH95" s="1111" t="str">
        <f t="shared" si="401"/>
        <v/>
      </c>
      <c r="CI95" s="1111" t="str">
        <f t="shared" si="401"/>
        <v/>
      </c>
      <c r="CJ95" s="1111" t="str">
        <f t="shared" si="401"/>
        <v/>
      </c>
      <c r="CK95" s="1112" t="str">
        <f t="shared" si="401"/>
        <v/>
      </c>
      <c r="CL95" s="1112" t="str">
        <f t="shared" si="401"/>
        <v/>
      </c>
      <c r="CM95" s="1112" t="str">
        <f t="shared" si="401"/>
        <v/>
      </c>
      <c r="CN95" s="1111" t="str">
        <f t="shared" si="401"/>
        <v/>
      </c>
      <c r="CO95" s="1111" t="str">
        <f t="shared" si="401"/>
        <v/>
      </c>
      <c r="CP95" s="1111" t="str">
        <f t="shared" si="401"/>
        <v/>
      </c>
      <c r="CQ95" s="1111" t="str">
        <f t="shared" si="401"/>
        <v/>
      </c>
      <c r="CR95" s="1111" t="str">
        <f t="shared" si="401"/>
        <v/>
      </c>
      <c r="CS95" s="1110" t="str">
        <f t="shared" si="401"/>
        <v/>
      </c>
      <c r="CT95" s="1113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17</v>
      </c>
      <c r="DO95" s="68">
        <f t="shared" si="423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>
        <f t="shared" ref="AU96:BB96" si="433">IF(AU95="","",AU93*AU94*AU95)</f>
        <v>0</v>
      </c>
      <c r="AV96" s="382">
        <f t="shared" si="433"/>
        <v>0</v>
      </c>
      <c r="AW96" s="382">
        <f t="shared" si="433"/>
        <v>0</v>
      </c>
      <c r="AX96" s="382">
        <f t="shared" si="433"/>
        <v>0</v>
      </c>
      <c r="AY96" s="382">
        <f t="shared" si="433"/>
        <v>0</v>
      </c>
      <c r="AZ96" s="382">
        <f t="shared" si="433"/>
        <v>0</v>
      </c>
      <c r="BA96" s="382">
        <f t="shared" si="433"/>
        <v>0</v>
      </c>
      <c r="BB96" s="382">
        <f t="shared" si="433"/>
        <v>0</v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>
        <f t="shared" ref="BM96:BT96" si="435">IF(BM95="","",BM93*BM94*BM95)</f>
        <v>0</v>
      </c>
      <c r="BN96" s="382">
        <f t="shared" si="435"/>
        <v>0</v>
      </c>
      <c r="BO96" s="382">
        <f t="shared" si="435"/>
        <v>0</v>
      </c>
      <c r="BP96" s="382">
        <f t="shared" si="435"/>
        <v>0</v>
      </c>
      <c r="BQ96" s="382">
        <f t="shared" si="435"/>
        <v>0</v>
      </c>
      <c r="BR96" s="382">
        <f t="shared" si="435"/>
        <v>0</v>
      </c>
      <c r="BS96" s="382">
        <f t="shared" si="435"/>
        <v>0</v>
      </c>
      <c r="BT96" s="382">
        <f t="shared" si="435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278</v>
      </c>
      <c r="CC96" s="373">
        <f t="shared" si="427"/>
        <v>447</v>
      </c>
      <c r="CD96" s="1109" t="str">
        <f t="shared" si="401"/>
        <v/>
      </c>
      <c r="CE96" s="1110" t="str">
        <f t="shared" si="401"/>
        <v/>
      </c>
      <c r="CF96" s="1111" t="str">
        <f t="shared" si="401"/>
        <v/>
      </c>
      <c r="CG96" s="1111" t="str">
        <f t="shared" si="401"/>
        <v/>
      </c>
      <c r="CH96" s="1111" t="str">
        <f t="shared" si="401"/>
        <v/>
      </c>
      <c r="CI96" s="1111" t="str">
        <f t="shared" si="401"/>
        <v/>
      </c>
      <c r="CJ96" s="1111" t="str">
        <f t="shared" si="401"/>
        <v/>
      </c>
      <c r="CK96" s="1112" t="str">
        <f t="shared" si="401"/>
        <v/>
      </c>
      <c r="CL96" s="1112" t="str">
        <f t="shared" si="401"/>
        <v/>
      </c>
      <c r="CM96" s="1112" t="str">
        <f t="shared" si="401"/>
        <v/>
      </c>
      <c r="CN96" s="1111" t="str">
        <f t="shared" si="401"/>
        <v/>
      </c>
      <c r="CO96" s="1111" t="str">
        <f t="shared" si="401"/>
        <v/>
      </c>
      <c r="CP96" s="1111" t="str">
        <f t="shared" si="401"/>
        <v/>
      </c>
      <c r="CQ96" s="1111" t="str">
        <f t="shared" si="401"/>
        <v/>
      </c>
      <c r="CR96" s="1111" t="str">
        <f t="shared" si="401"/>
        <v/>
      </c>
      <c r="CS96" s="1110" t="str">
        <f t="shared" si="401"/>
        <v/>
      </c>
      <c r="CT96" s="1113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17</v>
      </c>
      <c r="DO96" s="68">
        <f t="shared" si="423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183.61111111111111</v>
      </c>
      <c r="CC97" s="373">
        <f t="shared" si="427"/>
        <v>1888.5714285714287</v>
      </c>
      <c r="CD97" s="1109" t="str">
        <f t="shared" si="401"/>
        <v/>
      </c>
      <c r="CE97" s="1110" t="str">
        <f t="shared" si="401"/>
        <v/>
      </c>
      <c r="CF97" s="1111" t="str">
        <f t="shared" si="401"/>
        <v/>
      </c>
      <c r="CG97" s="1111" t="str">
        <f t="shared" si="401"/>
        <v/>
      </c>
      <c r="CH97" s="1111" t="str">
        <f t="shared" si="401"/>
        <v/>
      </c>
      <c r="CI97" s="1111" t="str">
        <f t="shared" si="401"/>
        <v/>
      </c>
      <c r="CJ97" s="1111" t="str">
        <f t="shared" si="401"/>
        <v/>
      </c>
      <c r="CK97" s="1112" t="str">
        <f t="shared" si="401"/>
        <v/>
      </c>
      <c r="CL97" s="1112" t="str">
        <f t="shared" si="401"/>
        <v/>
      </c>
      <c r="CM97" s="1112" t="str">
        <f t="shared" si="401"/>
        <v/>
      </c>
      <c r="CN97" s="1111" t="str">
        <f t="shared" si="401"/>
        <v/>
      </c>
      <c r="CO97" s="1111" t="str">
        <f t="shared" si="401"/>
        <v/>
      </c>
      <c r="CP97" s="1111" t="str">
        <f t="shared" si="401"/>
        <v/>
      </c>
      <c r="CQ97" s="1111" t="str">
        <f t="shared" si="401"/>
        <v/>
      </c>
      <c r="CR97" s="1111" t="str">
        <f t="shared" si="401"/>
        <v/>
      </c>
      <c r="CS97" s="1110" t="str">
        <f t="shared" si="401"/>
        <v/>
      </c>
      <c r="CT97" s="1113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11</v>
      </c>
      <c r="DO97" s="68">
        <f t="shared" si="423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6.333333333333333</v>
      </c>
      <c r="CC98" s="373">
        <f t="shared" si="427"/>
        <v>2.0285714285714285</v>
      </c>
      <c r="CD98" s="1109" t="str">
        <f t="shared" si="401"/>
        <v/>
      </c>
      <c r="CE98" s="1110" t="str">
        <f t="shared" si="401"/>
        <v/>
      </c>
      <c r="CF98" s="1111" t="str">
        <f t="shared" si="401"/>
        <v/>
      </c>
      <c r="CG98" s="1111" t="str">
        <f t="shared" si="401"/>
        <v/>
      </c>
      <c r="CH98" s="1111" t="str">
        <f t="shared" si="401"/>
        <v/>
      </c>
      <c r="CI98" s="1111" t="str">
        <f t="shared" si="401"/>
        <v/>
      </c>
      <c r="CJ98" s="1111" t="str">
        <f t="shared" si="401"/>
        <v/>
      </c>
      <c r="CK98" s="1112" t="str">
        <f t="shared" si="401"/>
        <v/>
      </c>
      <c r="CL98" s="1112" t="str">
        <f t="shared" si="401"/>
        <v/>
      </c>
      <c r="CM98" s="1112" t="str">
        <f t="shared" si="401"/>
        <v/>
      </c>
      <c r="CN98" s="1111" t="str">
        <f t="shared" si="401"/>
        <v/>
      </c>
      <c r="CO98" s="1111" t="str">
        <f t="shared" si="401"/>
        <v/>
      </c>
      <c r="CP98" s="1111" t="str">
        <f t="shared" si="401"/>
        <v/>
      </c>
      <c r="CQ98" s="1111" t="str">
        <f t="shared" si="401"/>
        <v/>
      </c>
      <c r="CR98" s="1111" t="str">
        <f t="shared" si="401"/>
        <v/>
      </c>
      <c r="CS98" s="1110" t="str">
        <f t="shared" si="401"/>
        <v/>
      </c>
      <c r="CT98" s="1113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11</v>
      </c>
      <c r="DO98" s="68">
        <f t="shared" si="423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>
        <f t="shared" ref="AU99:BB99" si="441">IF(AU97="","",AU97*AU98)</f>
        <v>360</v>
      </c>
      <c r="AV99" s="383" t="str">
        <f t="shared" si="441"/>
        <v/>
      </c>
      <c r="AW99" s="383">
        <f t="shared" si="441"/>
        <v>360</v>
      </c>
      <c r="AX99" s="383" t="str">
        <f t="shared" si="441"/>
        <v/>
      </c>
      <c r="AY99" s="383">
        <f t="shared" si="441"/>
        <v>360</v>
      </c>
      <c r="AZ99" s="383" t="str">
        <f t="shared" si="441"/>
        <v/>
      </c>
      <c r="BA99" s="383">
        <f t="shared" si="441"/>
        <v>360</v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>
        <f t="shared" ref="BM99:BT99" si="443">IF(BM97="","",BM97*BM98)</f>
        <v>2700</v>
      </c>
      <c r="BN99" s="383">
        <f t="shared" si="443"/>
        <v>3900</v>
      </c>
      <c r="BO99" s="383">
        <f t="shared" si="443"/>
        <v>5100</v>
      </c>
      <c r="BP99" s="383">
        <f t="shared" si="443"/>
        <v>6300</v>
      </c>
      <c r="BQ99" s="383">
        <f t="shared" si="443"/>
        <v>7500</v>
      </c>
      <c r="BR99" s="383">
        <f t="shared" si="443"/>
        <v>8700</v>
      </c>
      <c r="BS99" s="383">
        <f t="shared" si="443"/>
        <v>9900</v>
      </c>
      <c r="BT99" s="383">
        <f t="shared" si="443"/>
        <v>11100</v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1097.5</v>
      </c>
      <c r="CC99" s="373">
        <f t="shared" si="427"/>
        <v>3791.4642857142858</v>
      </c>
      <c r="CD99" s="1109" t="str">
        <f t="shared" si="401"/>
        <v/>
      </c>
      <c r="CE99" s="1110" t="str">
        <f t="shared" si="401"/>
        <v/>
      </c>
      <c r="CF99" s="1111" t="str">
        <f t="shared" si="401"/>
        <v/>
      </c>
      <c r="CG99" s="1111" t="str">
        <f t="shared" si="401"/>
        <v/>
      </c>
      <c r="CH99" s="1111" t="str">
        <f t="shared" si="401"/>
        <v/>
      </c>
      <c r="CI99" s="1111" t="str">
        <f t="shared" si="401"/>
        <v/>
      </c>
      <c r="CJ99" s="1111" t="str">
        <f t="shared" si="401"/>
        <v/>
      </c>
      <c r="CK99" s="1112" t="str">
        <f t="shared" si="401"/>
        <v/>
      </c>
      <c r="CL99" s="1112" t="str">
        <f t="shared" si="401"/>
        <v/>
      </c>
      <c r="CM99" s="1112" t="str">
        <f t="shared" si="401"/>
        <v/>
      </c>
      <c r="CN99" s="1111" t="str">
        <f t="shared" si="401"/>
        <v/>
      </c>
      <c r="CO99" s="1111" t="str">
        <f t="shared" si="401"/>
        <v/>
      </c>
      <c r="CP99" s="1111" t="str">
        <f t="shared" si="401"/>
        <v/>
      </c>
      <c r="CQ99" s="1111" t="str">
        <f t="shared" si="401"/>
        <v/>
      </c>
      <c r="CR99" s="1111" t="str">
        <f t="shared" si="401"/>
        <v/>
      </c>
      <c r="CS99" s="1110" t="str">
        <f t="shared" si="401"/>
        <v/>
      </c>
      <c r="CT99" s="1113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11</v>
      </c>
      <c r="DO99" s="68">
        <f t="shared" si="423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09">
        <f t="shared" si="401"/>
        <v>1</v>
      </c>
      <c r="CE100" s="1110">
        <f t="shared" si="401"/>
        <v>1</v>
      </c>
      <c r="CF100" s="1111">
        <f t="shared" si="401"/>
        <v>1</v>
      </c>
      <c r="CG100" s="1111">
        <f t="shared" si="401"/>
        <v>1</v>
      </c>
      <c r="CH100" s="1111">
        <f t="shared" si="401"/>
        <v>1</v>
      </c>
      <c r="CI100" s="1111">
        <f t="shared" si="401"/>
        <v>1</v>
      </c>
      <c r="CJ100" s="1111">
        <f t="shared" si="401"/>
        <v>1</v>
      </c>
      <c r="CK100" s="1112">
        <f t="shared" si="401"/>
        <v>1</v>
      </c>
      <c r="CL100" s="1112">
        <f t="shared" si="401"/>
        <v>1</v>
      </c>
      <c r="CM100" s="1112">
        <f t="shared" si="401"/>
        <v>1</v>
      </c>
      <c r="CN100" s="1111">
        <f t="shared" si="401"/>
        <v>1</v>
      </c>
      <c r="CO100" s="1111">
        <f t="shared" si="401"/>
        <v>1</v>
      </c>
      <c r="CP100" s="1111">
        <f t="shared" si="401"/>
        <v>1</v>
      </c>
      <c r="CQ100" s="1111">
        <f t="shared" si="401"/>
        <v>1</v>
      </c>
      <c r="CR100" s="1111">
        <f t="shared" si="401"/>
        <v>1</v>
      </c>
      <c r="CS100" s="1110">
        <f t="shared" si="401"/>
        <v>1</v>
      </c>
      <c r="CT100" s="1113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09" t="str">
        <f t="shared" si="401"/>
        <v/>
      </c>
      <c r="CE101" s="1110" t="str">
        <f t="shared" si="401"/>
        <v/>
      </c>
      <c r="CF101" s="1111" t="str">
        <f t="shared" si="401"/>
        <v/>
      </c>
      <c r="CG101" s="1111" t="str">
        <f t="shared" si="401"/>
        <v/>
      </c>
      <c r="CH101" s="1111" t="str">
        <f t="shared" si="401"/>
        <v/>
      </c>
      <c r="CI101" s="1111" t="str">
        <f t="shared" si="401"/>
        <v/>
      </c>
      <c r="CJ101" s="1111" t="str">
        <f t="shared" si="401"/>
        <v/>
      </c>
      <c r="CK101" s="1112" t="str">
        <f t="shared" si="401"/>
        <v/>
      </c>
      <c r="CL101" s="1112" t="str">
        <f t="shared" si="401"/>
        <v/>
      </c>
      <c r="CM101" s="1112" t="str">
        <f t="shared" si="401"/>
        <v/>
      </c>
      <c r="CN101" s="1111" t="str">
        <f t="shared" si="401"/>
        <v/>
      </c>
      <c r="CO101" s="1111" t="str">
        <f t="shared" si="401"/>
        <v/>
      </c>
      <c r="CP101" s="1111" t="str">
        <f t="shared" si="401"/>
        <v/>
      </c>
      <c r="CQ101" s="1111" t="str">
        <f t="shared" si="401"/>
        <v/>
      </c>
      <c r="CR101" s="1111" t="str">
        <f t="shared" si="401"/>
        <v/>
      </c>
      <c r="CS101" s="1110" t="str">
        <f t="shared" si="401"/>
        <v/>
      </c>
      <c r="CT101" s="1113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09">
        <f t="shared" si="401"/>
        <v>90</v>
      </c>
      <c r="CE102" s="1110">
        <f t="shared" si="401"/>
        <v>90</v>
      </c>
      <c r="CF102" s="1111">
        <f t="shared" si="401"/>
        <v>90</v>
      </c>
      <c r="CG102" s="1111">
        <f t="shared" si="401"/>
        <v>90</v>
      </c>
      <c r="CH102" s="1111">
        <f t="shared" si="401"/>
        <v>90</v>
      </c>
      <c r="CI102" s="1111">
        <f t="shared" si="401"/>
        <v>90</v>
      </c>
      <c r="CJ102" s="1111">
        <f t="shared" si="401"/>
        <v>90</v>
      </c>
      <c r="CK102" s="1112">
        <f t="shared" si="401"/>
        <v>90</v>
      </c>
      <c r="CL102" s="1112">
        <f t="shared" si="401"/>
        <v>90</v>
      </c>
      <c r="CM102" s="1112">
        <f t="shared" si="401"/>
        <v>90</v>
      </c>
      <c r="CN102" s="1111">
        <f t="shared" si="401"/>
        <v>90</v>
      </c>
      <c r="CO102" s="1111">
        <f t="shared" si="401"/>
        <v>90</v>
      </c>
      <c r="CP102" s="1111">
        <f t="shared" si="401"/>
        <v>90</v>
      </c>
      <c r="CQ102" s="1111">
        <f t="shared" si="401"/>
        <v>90</v>
      </c>
      <c r="CR102" s="1111">
        <f t="shared" si="401"/>
        <v>90</v>
      </c>
      <c r="CS102" s="1110">
        <f t="shared" si="401"/>
        <v>90</v>
      </c>
      <c r="CT102" s="1113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09" t="str">
        <f t="shared" si="401"/>
        <v/>
      </c>
      <c r="CE103" s="1110" t="str">
        <f t="shared" si="401"/>
        <v/>
      </c>
      <c r="CF103" s="1111" t="str">
        <f t="shared" si="401"/>
        <v/>
      </c>
      <c r="CG103" s="1111" t="str">
        <f t="shared" si="401"/>
        <v/>
      </c>
      <c r="CH103" s="1111" t="str">
        <f t="shared" si="401"/>
        <v/>
      </c>
      <c r="CI103" s="1111" t="str">
        <f t="shared" si="401"/>
        <v/>
      </c>
      <c r="CJ103" s="1111" t="str">
        <f t="shared" si="401"/>
        <v/>
      </c>
      <c r="CK103" s="1112" t="str">
        <f t="shared" si="401"/>
        <v/>
      </c>
      <c r="CL103" s="1112" t="str">
        <f t="shared" si="401"/>
        <v/>
      </c>
      <c r="CM103" s="1112" t="str">
        <f t="shared" si="401"/>
        <v/>
      </c>
      <c r="CN103" s="1111" t="str">
        <f t="shared" si="401"/>
        <v/>
      </c>
      <c r="CO103" s="1111" t="str">
        <f t="shared" si="401"/>
        <v/>
      </c>
      <c r="CP103" s="1111" t="str">
        <f t="shared" si="401"/>
        <v/>
      </c>
      <c r="CQ103" s="1111" t="str">
        <f t="shared" si="401"/>
        <v/>
      </c>
      <c r="CR103" s="1111" t="str">
        <f t="shared" si="401"/>
        <v/>
      </c>
      <c r="CS103" s="1110" t="str">
        <f t="shared" si="401"/>
        <v/>
      </c>
      <c r="CT103" s="1113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09" t="str">
        <f t="shared" si="401"/>
        <v/>
      </c>
      <c r="CE104" s="1110" t="str">
        <f t="shared" si="401"/>
        <v/>
      </c>
      <c r="CF104" s="1111" t="str">
        <f t="shared" si="401"/>
        <v/>
      </c>
      <c r="CG104" s="1111" t="str">
        <f t="shared" si="401"/>
        <v/>
      </c>
      <c r="CH104" s="1111" t="str">
        <f t="shared" si="401"/>
        <v/>
      </c>
      <c r="CI104" s="1111" t="str">
        <f t="shared" si="401"/>
        <v/>
      </c>
      <c r="CJ104" s="1111" t="str">
        <f t="shared" si="401"/>
        <v/>
      </c>
      <c r="CK104" s="1112" t="str">
        <f t="shared" si="401"/>
        <v/>
      </c>
      <c r="CL104" s="1112" t="str">
        <f t="shared" si="401"/>
        <v/>
      </c>
      <c r="CM104" s="1112" t="str">
        <f t="shared" si="401"/>
        <v/>
      </c>
      <c r="CN104" s="1111" t="str">
        <f t="shared" si="401"/>
        <v/>
      </c>
      <c r="CO104" s="1111" t="str">
        <f t="shared" si="401"/>
        <v/>
      </c>
      <c r="CP104" s="1111" t="str">
        <f t="shared" si="401"/>
        <v/>
      </c>
      <c r="CQ104" s="1111" t="str">
        <f t="shared" si="401"/>
        <v/>
      </c>
      <c r="CR104" s="1111" t="str">
        <f t="shared" si="401"/>
        <v/>
      </c>
      <c r="CS104" s="1110" t="str">
        <f t="shared" si="401"/>
        <v/>
      </c>
      <c r="CT104" s="1113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09" t="str">
        <f t="shared" si="401"/>
        <v/>
      </c>
      <c r="CE105" s="1110" t="str">
        <f t="shared" si="401"/>
        <v/>
      </c>
      <c r="CF105" s="1111" t="str">
        <f t="shared" si="401"/>
        <v/>
      </c>
      <c r="CG105" s="1111" t="str">
        <f t="shared" si="401"/>
        <v/>
      </c>
      <c r="CH105" s="1111" t="str">
        <f t="shared" si="401"/>
        <v/>
      </c>
      <c r="CI105" s="1111" t="str">
        <f t="shared" si="401"/>
        <v/>
      </c>
      <c r="CJ105" s="1111" t="str">
        <f t="shared" si="401"/>
        <v/>
      </c>
      <c r="CK105" s="1112" t="str">
        <f t="shared" si="401"/>
        <v/>
      </c>
      <c r="CL105" s="1112" t="str">
        <f t="shared" si="401"/>
        <v/>
      </c>
      <c r="CM105" s="1112" t="str">
        <f t="shared" si="401"/>
        <v/>
      </c>
      <c r="CN105" s="1111" t="str">
        <f t="shared" si="401"/>
        <v/>
      </c>
      <c r="CO105" s="1111" t="str">
        <f t="shared" si="401"/>
        <v/>
      </c>
      <c r="CP105" s="1111" t="str">
        <f t="shared" si="401"/>
        <v/>
      </c>
      <c r="CQ105" s="1111" t="str">
        <f t="shared" si="401"/>
        <v/>
      </c>
      <c r="CR105" s="1111" t="str">
        <f t="shared" si="401"/>
        <v/>
      </c>
      <c r="CS105" s="1110" t="str">
        <f t="shared" si="401"/>
        <v/>
      </c>
      <c r="CT105" s="1113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09" t="str">
        <f t="shared" si="401"/>
        <v/>
      </c>
      <c r="CE106" s="1110" t="str">
        <f t="shared" si="401"/>
        <v/>
      </c>
      <c r="CF106" s="1111" t="str">
        <f t="shared" si="401"/>
        <v/>
      </c>
      <c r="CG106" s="1111" t="str">
        <f t="shared" si="401"/>
        <v/>
      </c>
      <c r="CH106" s="1111" t="str">
        <f t="shared" si="401"/>
        <v/>
      </c>
      <c r="CI106" s="1111" t="str">
        <f t="shared" si="401"/>
        <v/>
      </c>
      <c r="CJ106" s="1111" t="str">
        <f t="shared" si="401"/>
        <v/>
      </c>
      <c r="CK106" s="1112" t="str">
        <f t="shared" si="401"/>
        <v/>
      </c>
      <c r="CL106" s="1112" t="str">
        <f t="shared" si="401"/>
        <v/>
      </c>
      <c r="CM106" s="1112" t="str">
        <f t="shared" si="401"/>
        <v/>
      </c>
      <c r="CN106" s="1111" t="str">
        <f t="shared" si="401"/>
        <v/>
      </c>
      <c r="CO106" s="1111" t="str">
        <f t="shared" si="401"/>
        <v/>
      </c>
      <c r="CP106" s="1111" t="str">
        <f t="shared" si="401"/>
        <v/>
      </c>
      <c r="CQ106" s="1111" t="str">
        <f t="shared" si="401"/>
        <v/>
      </c>
      <c r="CR106" s="1111" t="str">
        <f t="shared" si="401"/>
        <v/>
      </c>
      <c r="CS106" s="1110" t="str">
        <f t="shared" si="401"/>
        <v/>
      </c>
      <c r="CT106" s="1113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09" t="str">
        <f t="shared" si="401"/>
        <v/>
      </c>
      <c r="CE107" s="1110" t="str">
        <f t="shared" si="401"/>
        <v/>
      </c>
      <c r="CF107" s="1111" t="str">
        <f t="shared" si="401"/>
        <v/>
      </c>
      <c r="CG107" s="1111" t="str">
        <f t="shared" si="401"/>
        <v/>
      </c>
      <c r="CH107" s="1111" t="str">
        <f t="shared" si="401"/>
        <v/>
      </c>
      <c r="CI107" s="1111" t="str">
        <f t="shared" si="401"/>
        <v/>
      </c>
      <c r="CJ107" s="1111" t="str">
        <f t="shared" si="401"/>
        <v/>
      </c>
      <c r="CK107" s="1112" t="str">
        <f t="shared" si="401"/>
        <v/>
      </c>
      <c r="CL107" s="1112" t="str">
        <f t="shared" si="401"/>
        <v/>
      </c>
      <c r="CM107" s="1112" t="str">
        <f t="shared" si="401"/>
        <v/>
      </c>
      <c r="CN107" s="1111" t="str">
        <f t="shared" si="401"/>
        <v/>
      </c>
      <c r="CO107" s="1111" t="str">
        <f t="shared" si="401"/>
        <v/>
      </c>
      <c r="CP107" s="1111" t="str">
        <f t="shared" si="401"/>
        <v/>
      </c>
      <c r="CQ107" s="1111" t="str">
        <f t="shared" si="401"/>
        <v/>
      </c>
      <c r="CR107" s="1111" t="str">
        <f t="shared" si="401"/>
        <v/>
      </c>
      <c r="CS107" s="1110" t="str">
        <f t="shared" si="401"/>
        <v/>
      </c>
      <c r="CT107" s="1113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09">
        <f t="shared" si="401"/>
        <v>1</v>
      </c>
      <c r="CE108" s="1110">
        <f t="shared" si="401"/>
        <v>1</v>
      </c>
      <c r="CF108" s="1111">
        <f t="shared" si="401"/>
        <v>1</v>
      </c>
      <c r="CG108" s="1111">
        <f t="shared" si="401"/>
        <v>1</v>
      </c>
      <c r="CH108" s="1111">
        <f t="shared" si="401"/>
        <v>1</v>
      </c>
      <c r="CI108" s="1111">
        <f t="shared" si="401"/>
        <v>1</v>
      </c>
      <c r="CJ108" s="1111">
        <f t="shared" si="401"/>
        <v>1</v>
      </c>
      <c r="CK108" s="1112">
        <f t="shared" si="401"/>
        <v>1</v>
      </c>
      <c r="CL108" s="1112">
        <f t="shared" si="401"/>
        <v>1</v>
      </c>
      <c r="CM108" s="1112">
        <f t="shared" si="401"/>
        <v>1</v>
      </c>
      <c r="CN108" s="1111">
        <f t="shared" si="401"/>
        <v>1</v>
      </c>
      <c r="CO108" s="1111">
        <f t="shared" si="401"/>
        <v>1</v>
      </c>
      <c r="CP108" s="1111">
        <f t="shared" si="401"/>
        <v>1</v>
      </c>
      <c r="CQ108" s="1111">
        <f t="shared" si="401"/>
        <v>1</v>
      </c>
      <c r="CR108" s="1111">
        <f t="shared" si="401"/>
        <v>1</v>
      </c>
      <c r="CS108" s="1110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3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09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si="461"/>
        <v/>
      </c>
      <c r="CF109" s="1111" t="str">
        <f t="shared" si="461"/>
        <v/>
      </c>
      <c r="CG109" s="1111" t="str">
        <f t="shared" si="461"/>
        <v/>
      </c>
      <c r="CH109" s="1111" t="str">
        <f t="shared" si="461"/>
        <v/>
      </c>
      <c r="CI109" s="1111" t="str">
        <f t="shared" si="461"/>
        <v/>
      </c>
      <c r="CJ109" s="1111" t="str">
        <f t="shared" si="461"/>
        <v/>
      </c>
      <c r="CK109" s="1112" t="str">
        <f t="shared" si="461"/>
        <v/>
      </c>
      <c r="CL109" s="1112" t="str">
        <f t="shared" si="461"/>
        <v/>
      </c>
      <c r="CM109" s="1112" t="str">
        <f t="shared" si="461"/>
        <v/>
      </c>
      <c r="CN109" s="1111" t="str">
        <f t="shared" si="461"/>
        <v/>
      </c>
      <c r="CO109" s="1111" t="str">
        <f t="shared" si="461"/>
        <v/>
      </c>
      <c r="CP109" s="1111" t="str">
        <f t="shared" si="461"/>
        <v/>
      </c>
      <c r="CQ109" s="1111" t="str">
        <f t="shared" si="461"/>
        <v/>
      </c>
      <c r="CR109" s="1111" t="str">
        <f t="shared" si="461"/>
        <v/>
      </c>
      <c r="CS109" s="1110" t="str">
        <f t="shared" si="461"/>
        <v/>
      </c>
      <c r="CT109" s="1113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4" t="str">
        <f t="shared" si="462"/>
        <v/>
      </c>
      <c r="CE110" s="1115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6" t="str">
        <f t="shared" si="471"/>
        <v/>
      </c>
      <c r="CG110" s="1116" t="str">
        <f t="shared" si="471"/>
        <v/>
      </c>
      <c r="CH110" s="1116" t="str">
        <f t="shared" si="471"/>
        <v/>
      </c>
      <c r="CI110" s="1116" t="str">
        <f t="shared" si="471"/>
        <v/>
      </c>
      <c r="CJ110" s="1116" t="str">
        <f t="shared" si="471"/>
        <v/>
      </c>
      <c r="CK110" s="1117" t="str">
        <f t="shared" si="471"/>
        <v/>
      </c>
      <c r="CL110" s="1117" t="str">
        <f t="shared" si="471"/>
        <v/>
      </c>
      <c r="CM110" s="1117" t="str">
        <f t="shared" si="471"/>
        <v/>
      </c>
      <c r="CN110" s="1116" t="str">
        <f t="shared" si="471"/>
        <v/>
      </c>
      <c r="CO110" s="1116" t="str">
        <f t="shared" si="471"/>
        <v/>
      </c>
      <c r="CP110" s="1116" t="str">
        <f t="shared" si="471"/>
        <v/>
      </c>
      <c r="CQ110" s="1116" t="str">
        <f t="shared" si="471"/>
        <v/>
      </c>
      <c r="CR110" s="1116" t="str">
        <f t="shared" si="471"/>
        <v/>
      </c>
      <c r="CS110" s="1115" t="str">
        <f t="shared" si="471"/>
        <v/>
      </c>
      <c r="CT110" s="1118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4" t="str">
        <f t="shared" si="462"/>
        <v/>
      </c>
      <c r="CE111" s="1115" t="str">
        <f t="shared" si="472"/>
        <v/>
      </c>
      <c r="CF111" s="1116" t="str">
        <f t="shared" si="472"/>
        <v/>
      </c>
      <c r="CG111" s="1116" t="str">
        <f t="shared" si="472"/>
        <v/>
      </c>
      <c r="CH111" s="1116" t="str">
        <f t="shared" si="472"/>
        <v/>
      </c>
      <c r="CI111" s="1116" t="str">
        <f t="shared" si="472"/>
        <v/>
      </c>
      <c r="CJ111" s="1116" t="str">
        <f t="shared" si="472"/>
        <v/>
      </c>
      <c r="CK111" s="1117" t="str">
        <f t="shared" si="472"/>
        <v/>
      </c>
      <c r="CL111" s="1117" t="str">
        <f t="shared" si="472"/>
        <v/>
      </c>
      <c r="CM111" s="1117" t="str">
        <f t="shared" si="472"/>
        <v/>
      </c>
      <c r="CN111" s="1116" t="str">
        <f t="shared" si="472"/>
        <v/>
      </c>
      <c r="CO111" s="1116" t="str">
        <f t="shared" si="472"/>
        <v/>
      </c>
      <c r="CP111" s="1116" t="str">
        <f t="shared" si="472"/>
        <v/>
      </c>
      <c r="CQ111" s="1116" t="str">
        <f t="shared" si="472"/>
        <v/>
      </c>
      <c r="CR111" s="1116" t="str">
        <f t="shared" si="472"/>
        <v/>
      </c>
      <c r="CS111" s="1115" t="str">
        <f t="shared" si="472"/>
        <v/>
      </c>
      <c r="CT111" s="1118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4" t="str">
        <f t="shared" si="462"/>
        <v/>
      </c>
      <c r="CE112" s="1115" t="str">
        <f t="shared" si="472"/>
        <v/>
      </c>
      <c r="CF112" s="1116" t="str">
        <f t="shared" si="472"/>
        <v/>
      </c>
      <c r="CG112" s="1116" t="str">
        <f t="shared" si="472"/>
        <v/>
      </c>
      <c r="CH112" s="1116" t="str">
        <f t="shared" si="472"/>
        <v/>
      </c>
      <c r="CI112" s="1116" t="str">
        <f t="shared" si="472"/>
        <v/>
      </c>
      <c r="CJ112" s="1116" t="str">
        <f t="shared" si="472"/>
        <v/>
      </c>
      <c r="CK112" s="1117" t="str">
        <f t="shared" si="472"/>
        <v/>
      </c>
      <c r="CL112" s="1117" t="str">
        <f t="shared" si="472"/>
        <v/>
      </c>
      <c r="CM112" s="1117" t="str">
        <f t="shared" si="472"/>
        <v/>
      </c>
      <c r="CN112" s="1116" t="str">
        <f t="shared" si="472"/>
        <v/>
      </c>
      <c r="CO112" s="1116" t="str">
        <f t="shared" si="472"/>
        <v/>
      </c>
      <c r="CP112" s="1116" t="str">
        <f t="shared" si="472"/>
        <v/>
      </c>
      <c r="CQ112" s="1116" t="str">
        <f t="shared" si="472"/>
        <v/>
      </c>
      <c r="CR112" s="1116" t="str">
        <f t="shared" si="472"/>
        <v/>
      </c>
      <c r="CS112" s="1115" t="str">
        <f t="shared" si="472"/>
        <v/>
      </c>
      <c r="CT112" s="1118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4" t="str">
        <f t="shared" si="462"/>
        <v/>
      </c>
      <c r="CE113" s="1115" t="str">
        <f t="shared" si="472"/>
        <v/>
      </c>
      <c r="CF113" s="1116" t="str">
        <f t="shared" si="472"/>
        <v/>
      </c>
      <c r="CG113" s="1116" t="str">
        <f t="shared" si="472"/>
        <v/>
      </c>
      <c r="CH113" s="1116" t="str">
        <f t="shared" si="472"/>
        <v/>
      </c>
      <c r="CI113" s="1116" t="str">
        <f t="shared" si="472"/>
        <v/>
      </c>
      <c r="CJ113" s="1116" t="str">
        <f t="shared" si="472"/>
        <v/>
      </c>
      <c r="CK113" s="1117" t="str">
        <f t="shared" si="472"/>
        <v/>
      </c>
      <c r="CL113" s="1117" t="str">
        <f t="shared" si="472"/>
        <v/>
      </c>
      <c r="CM113" s="1117" t="str">
        <f t="shared" si="472"/>
        <v/>
      </c>
      <c r="CN113" s="1116" t="str">
        <f t="shared" si="472"/>
        <v/>
      </c>
      <c r="CO113" s="1116" t="str">
        <f t="shared" si="472"/>
        <v/>
      </c>
      <c r="CP113" s="1116" t="str">
        <f t="shared" si="472"/>
        <v/>
      </c>
      <c r="CQ113" s="1116" t="str">
        <f t="shared" si="472"/>
        <v/>
      </c>
      <c r="CR113" s="1116" t="str">
        <f t="shared" si="472"/>
        <v/>
      </c>
      <c r="CS113" s="1115" t="str">
        <f t="shared" si="472"/>
        <v/>
      </c>
      <c r="CT113" s="1118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4" t="str">
        <f t="shared" si="462"/>
        <v/>
      </c>
      <c r="CE114" s="1115" t="str">
        <f t="shared" si="472"/>
        <v/>
      </c>
      <c r="CF114" s="1116" t="str">
        <f t="shared" si="472"/>
        <v/>
      </c>
      <c r="CG114" s="1116" t="str">
        <f t="shared" si="472"/>
        <v/>
      </c>
      <c r="CH114" s="1116" t="str">
        <f t="shared" si="472"/>
        <v/>
      </c>
      <c r="CI114" s="1116" t="str">
        <f t="shared" si="472"/>
        <v/>
      </c>
      <c r="CJ114" s="1116" t="str">
        <f t="shared" si="472"/>
        <v/>
      </c>
      <c r="CK114" s="1117" t="str">
        <f t="shared" si="472"/>
        <v/>
      </c>
      <c r="CL114" s="1117" t="str">
        <f t="shared" si="472"/>
        <v/>
      </c>
      <c r="CM114" s="1117" t="str">
        <f t="shared" si="472"/>
        <v/>
      </c>
      <c r="CN114" s="1116" t="str">
        <f t="shared" si="472"/>
        <v/>
      </c>
      <c r="CO114" s="1116" t="str">
        <f t="shared" si="472"/>
        <v/>
      </c>
      <c r="CP114" s="1116" t="str">
        <f t="shared" si="472"/>
        <v/>
      </c>
      <c r="CQ114" s="1116" t="str">
        <f t="shared" si="472"/>
        <v/>
      </c>
      <c r="CR114" s="1116" t="str">
        <f t="shared" si="472"/>
        <v/>
      </c>
      <c r="CS114" s="1115" t="str">
        <f t="shared" si="472"/>
        <v/>
      </c>
      <c r="CT114" s="1118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4" t="str">
        <f t="shared" si="462"/>
        <v/>
      </c>
      <c r="CE115" s="1115" t="str">
        <f t="shared" si="472"/>
        <v/>
      </c>
      <c r="CF115" s="1116" t="str">
        <f t="shared" si="472"/>
        <v/>
      </c>
      <c r="CG115" s="1116" t="str">
        <f t="shared" si="472"/>
        <v/>
      </c>
      <c r="CH115" s="1116" t="str">
        <f t="shared" si="472"/>
        <v/>
      </c>
      <c r="CI115" s="1116" t="str">
        <f t="shared" si="472"/>
        <v/>
      </c>
      <c r="CJ115" s="1116" t="str">
        <f t="shared" si="472"/>
        <v/>
      </c>
      <c r="CK115" s="1117" t="str">
        <f t="shared" si="472"/>
        <v/>
      </c>
      <c r="CL115" s="1117" t="str">
        <f t="shared" si="472"/>
        <v/>
      </c>
      <c r="CM115" s="1117" t="str">
        <f t="shared" si="472"/>
        <v/>
      </c>
      <c r="CN115" s="1116" t="str">
        <f t="shared" si="472"/>
        <v/>
      </c>
      <c r="CO115" s="1116" t="str">
        <f t="shared" si="472"/>
        <v/>
      </c>
      <c r="CP115" s="1116" t="str">
        <f t="shared" si="472"/>
        <v/>
      </c>
      <c r="CQ115" s="1116" t="str">
        <f t="shared" si="472"/>
        <v/>
      </c>
      <c r="CR115" s="1116" t="str">
        <f t="shared" si="472"/>
        <v/>
      </c>
      <c r="CS115" s="1115" t="str">
        <f t="shared" si="472"/>
        <v/>
      </c>
      <c r="CT115" s="1118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4" t="str">
        <f t="shared" si="462"/>
        <v/>
      </c>
      <c r="CE116" s="1115" t="str">
        <f t="shared" si="472"/>
        <v/>
      </c>
      <c r="CF116" s="1116" t="str">
        <f t="shared" si="472"/>
        <v/>
      </c>
      <c r="CG116" s="1116" t="str">
        <f t="shared" si="472"/>
        <v/>
      </c>
      <c r="CH116" s="1116" t="str">
        <f t="shared" si="472"/>
        <v/>
      </c>
      <c r="CI116" s="1116" t="str">
        <f t="shared" si="472"/>
        <v/>
      </c>
      <c r="CJ116" s="1116" t="str">
        <f t="shared" si="472"/>
        <v/>
      </c>
      <c r="CK116" s="1117" t="str">
        <f t="shared" si="472"/>
        <v/>
      </c>
      <c r="CL116" s="1117" t="str">
        <f t="shared" si="472"/>
        <v/>
      </c>
      <c r="CM116" s="1117" t="str">
        <f t="shared" si="472"/>
        <v/>
      </c>
      <c r="CN116" s="1116" t="str">
        <f t="shared" si="472"/>
        <v/>
      </c>
      <c r="CO116" s="1116" t="str">
        <f t="shared" si="472"/>
        <v/>
      </c>
      <c r="CP116" s="1116" t="str">
        <f t="shared" si="472"/>
        <v/>
      </c>
      <c r="CQ116" s="1116" t="str">
        <f t="shared" si="472"/>
        <v/>
      </c>
      <c r="CR116" s="1116" t="str">
        <f t="shared" si="472"/>
        <v/>
      </c>
      <c r="CS116" s="1115" t="str">
        <f t="shared" si="472"/>
        <v/>
      </c>
      <c r="CT116" s="1118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4" t="str">
        <f t="shared" si="462"/>
        <v/>
      </c>
      <c r="CE117" s="1115" t="str">
        <f t="shared" si="472"/>
        <v/>
      </c>
      <c r="CF117" s="1116" t="str">
        <f t="shared" si="472"/>
        <v/>
      </c>
      <c r="CG117" s="1116" t="str">
        <f t="shared" si="472"/>
        <v/>
      </c>
      <c r="CH117" s="1116" t="str">
        <f t="shared" si="472"/>
        <v/>
      </c>
      <c r="CI117" s="1116" t="str">
        <f t="shared" si="472"/>
        <v/>
      </c>
      <c r="CJ117" s="1116" t="str">
        <f t="shared" si="472"/>
        <v/>
      </c>
      <c r="CK117" s="1117" t="str">
        <f t="shared" si="472"/>
        <v/>
      </c>
      <c r="CL117" s="1117" t="str">
        <f t="shared" si="472"/>
        <v/>
      </c>
      <c r="CM117" s="1117" t="str">
        <f t="shared" si="472"/>
        <v/>
      </c>
      <c r="CN117" s="1116" t="str">
        <f t="shared" si="472"/>
        <v/>
      </c>
      <c r="CO117" s="1116" t="str">
        <f t="shared" si="472"/>
        <v/>
      </c>
      <c r="CP117" s="1116" t="str">
        <f t="shared" si="472"/>
        <v/>
      </c>
      <c r="CQ117" s="1116" t="str">
        <f t="shared" si="472"/>
        <v/>
      </c>
      <c r="CR117" s="1116" t="str">
        <f t="shared" si="472"/>
        <v/>
      </c>
      <c r="CS117" s="1115" t="str">
        <f t="shared" si="472"/>
        <v/>
      </c>
      <c r="CT117" s="1118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4" t="str">
        <f t="shared" si="462"/>
        <v/>
      </c>
      <c r="CE118" s="1115" t="str">
        <f t="shared" si="472"/>
        <v/>
      </c>
      <c r="CF118" s="1116" t="str">
        <f t="shared" si="472"/>
        <v/>
      </c>
      <c r="CG118" s="1116" t="str">
        <f t="shared" si="472"/>
        <v/>
      </c>
      <c r="CH118" s="1116" t="str">
        <f t="shared" si="472"/>
        <v/>
      </c>
      <c r="CI118" s="1116" t="str">
        <f t="shared" si="472"/>
        <v/>
      </c>
      <c r="CJ118" s="1116" t="str">
        <f t="shared" si="472"/>
        <v/>
      </c>
      <c r="CK118" s="1117" t="str">
        <f t="shared" si="472"/>
        <v/>
      </c>
      <c r="CL118" s="1117" t="str">
        <f t="shared" si="472"/>
        <v/>
      </c>
      <c r="CM118" s="1117" t="str">
        <f t="shared" si="472"/>
        <v/>
      </c>
      <c r="CN118" s="1116" t="str">
        <f t="shared" si="472"/>
        <v/>
      </c>
      <c r="CO118" s="1116" t="str">
        <f t="shared" si="472"/>
        <v/>
      </c>
      <c r="CP118" s="1116" t="str">
        <f t="shared" si="472"/>
        <v/>
      </c>
      <c r="CQ118" s="1116" t="str">
        <f t="shared" si="472"/>
        <v/>
      </c>
      <c r="CR118" s="1116" t="str">
        <f t="shared" si="472"/>
        <v/>
      </c>
      <c r="CS118" s="1115" t="str">
        <f t="shared" si="472"/>
        <v/>
      </c>
      <c r="CT118" s="1118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6"/>
      <c r="CE119" s="1137"/>
      <c r="CF119" s="1138"/>
      <c r="CG119" s="1138"/>
      <c r="CH119" s="1138"/>
      <c r="CI119" s="1138"/>
      <c r="CJ119" s="1138"/>
      <c r="CK119" s="1138"/>
      <c r="CL119" s="1138"/>
      <c r="CM119" s="1138"/>
      <c r="CN119" s="1138"/>
      <c r="CO119" s="1138"/>
      <c r="CP119" s="1138"/>
      <c r="CQ119" s="1138"/>
      <c r="CR119" s="1138"/>
      <c r="CS119" s="1138"/>
      <c r="CT119" s="1139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40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1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2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2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2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2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2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3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3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3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2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2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2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2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2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1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4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40">
        <f t="shared" si="513"/>
        <v>45</v>
      </c>
      <c r="CE121" s="1141">
        <f t="shared" si="514"/>
        <v>45</v>
      </c>
      <c r="CF121" s="1142">
        <f t="shared" si="515"/>
        <v>45</v>
      </c>
      <c r="CG121" s="1142">
        <f t="shared" si="516"/>
        <v>45</v>
      </c>
      <c r="CH121" s="1142">
        <f t="shared" si="517"/>
        <v>45</v>
      </c>
      <c r="CI121" s="1142">
        <f t="shared" si="518"/>
        <v>45</v>
      </c>
      <c r="CJ121" s="1142">
        <f t="shared" si="519"/>
        <v>45</v>
      </c>
      <c r="CK121" s="1143">
        <f t="shared" si="520"/>
        <v>45</v>
      </c>
      <c r="CL121" s="1143">
        <f t="shared" si="521"/>
        <v>45</v>
      </c>
      <c r="CM121" s="1143">
        <f t="shared" si="522"/>
        <v>45</v>
      </c>
      <c r="CN121" s="1142">
        <f t="shared" si="523"/>
        <v>45</v>
      </c>
      <c r="CO121" s="1142">
        <f t="shared" si="524"/>
        <v>45</v>
      </c>
      <c r="CP121" s="1142">
        <f t="shared" si="525"/>
        <v>45</v>
      </c>
      <c r="CQ121" s="1142">
        <f t="shared" si="526"/>
        <v>45</v>
      </c>
      <c r="CR121" s="1142">
        <f t="shared" si="527"/>
        <v>45</v>
      </c>
      <c r="CS121" s="1141">
        <f t="shared" si="528"/>
        <v>45</v>
      </c>
      <c r="CT121" s="1144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40" t="str">
        <f t="shared" si="513"/>
        <v/>
      </c>
      <c r="CE122" s="1141" t="str">
        <f t="shared" si="514"/>
        <v/>
      </c>
      <c r="CF122" s="1142" t="str">
        <f t="shared" si="515"/>
        <v/>
      </c>
      <c r="CG122" s="1142" t="str">
        <f t="shared" si="516"/>
        <v/>
      </c>
      <c r="CH122" s="1142" t="str">
        <f t="shared" si="517"/>
        <v/>
      </c>
      <c r="CI122" s="1142" t="str">
        <f t="shared" si="518"/>
        <v/>
      </c>
      <c r="CJ122" s="1142" t="str">
        <f t="shared" si="519"/>
        <v/>
      </c>
      <c r="CK122" s="1143" t="str">
        <f t="shared" si="520"/>
        <v/>
      </c>
      <c r="CL122" s="1143">
        <f t="shared" si="521"/>
        <v>0</v>
      </c>
      <c r="CM122" s="1143">
        <f t="shared" si="522"/>
        <v>0</v>
      </c>
      <c r="CN122" s="1142" t="str">
        <f t="shared" si="523"/>
        <v/>
      </c>
      <c r="CO122" s="1142" t="str">
        <f t="shared" si="524"/>
        <v/>
      </c>
      <c r="CP122" s="1142" t="str">
        <f t="shared" si="525"/>
        <v/>
      </c>
      <c r="CQ122" s="1142" t="str">
        <f t="shared" si="526"/>
        <v/>
      </c>
      <c r="CR122" s="1142" t="str">
        <f t="shared" si="527"/>
        <v/>
      </c>
      <c r="CS122" s="1141" t="str">
        <f t="shared" si="528"/>
        <v/>
      </c>
      <c r="CT122" s="1144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40" t="str">
        <f t="shared" si="513"/>
        <v/>
      </c>
      <c r="CE123" s="1141" t="str">
        <f t="shared" si="514"/>
        <v/>
      </c>
      <c r="CF123" s="1142" t="str">
        <f t="shared" si="515"/>
        <v/>
      </c>
      <c r="CG123" s="1142" t="str">
        <f t="shared" si="516"/>
        <v/>
      </c>
      <c r="CH123" s="1142" t="str">
        <f t="shared" si="517"/>
        <v/>
      </c>
      <c r="CI123" s="1142" t="str">
        <f t="shared" si="518"/>
        <v/>
      </c>
      <c r="CJ123" s="1142" t="str">
        <f t="shared" si="519"/>
        <v/>
      </c>
      <c r="CK123" s="1143" t="str">
        <f t="shared" si="520"/>
        <v/>
      </c>
      <c r="CL123" s="1143">
        <f t="shared" si="521"/>
        <v>0</v>
      </c>
      <c r="CM123" s="1143">
        <f t="shared" si="522"/>
        <v>0</v>
      </c>
      <c r="CN123" s="1142" t="str">
        <f t="shared" si="523"/>
        <v/>
      </c>
      <c r="CO123" s="1142" t="str">
        <f t="shared" si="524"/>
        <v/>
      </c>
      <c r="CP123" s="1142" t="str">
        <f t="shared" si="525"/>
        <v/>
      </c>
      <c r="CQ123" s="1142" t="str">
        <f t="shared" si="526"/>
        <v/>
      </c>
      <c r="CR123" s="1142" t="str">
        <f t="shared" si="527"/>
        <v/>
      </c>
      <c r="CS123" s="1141" t="str">
        <f t="shared" si="528"/>
        <v/>
      </c>
      <c r="CT123" s="1144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40" t="str">
        <f t="shared" si="513"/>
        <v/>
      </c>
      <c r="CE124" s="1141" t="str">
        <f t="shared" si="514"/>
        <v/>
      </c>
      <c r="CF124" s="1142" t="str">
        <f t="shared" si="515"/>
        <v/>
      </c>
      <c r="CG124" s="1142" t="str">
        <f t="shared" si="516"/>
        <v/>
      </c>
      <c r="CH124" s="1142" t="str">
        <f t="shared" si="517"/>
        <v/>
      </c>
      <c r="CI124" s="1142" t="str">
        <f t="shared" si="518"/>
        <v/>
      </c>
      <c r="CJ124" s="1142" t="str">
        <f t="shared" si="519"/>
        <v/>
      </c>
      <c r="CK124" s="1143" t="str">
        <f t="shared" si="520"/>
        <v/>
      </c>
      <c r="CL124" s="1143" t="str">
        <f t="shared" si="521"/>
        <v/>
      </c>
      <c r="CM124" s="1143" t="str">
        <f t="shared" si="522"/>
        <v/>
      </c>
      <c r="CN124" s="1142" t="str">
        <f t="shared" si="523"/>
        <v/>
      </c>
      <c r="CO124" s="1142" t="str">
        <f t="shared" si="524"/>
        <v/>
      </c>
      <c r="CP124" s="1142" t="str">
        <f t="shared" si="525"/>
        <v/>
      </c>
      <c r="CQ124" s="1142" t="str">
        <f t="shared" si="526"/>
        <v/>
      </c>
      <c r="CR124" s="1142" t="str">
        <f t="shared" si="527"/>
        <v/>
      </c>
      <c r="CS124" s="1141" t="str">
        <f t="shared" si="528"/>
        <v/>
      </c>
      <c r="CT124" s="1144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40" t="str">
        <f t="shared" si="513"/>
        <v/>
      </c>
      <c r="CE125" s="1141" t="str">
        <f t="shared" si="514"/>
        <v/>
      </c>
      <c r="CF125" s="1142" t="str">
        <f t="shared" si="515"/>
        <v/>
      </c>
      <c r="CG125" s="1142" t="str">
        <f t="shared" si="516"/>
        <v/>
      </c>
      <c r="CH125" s="1142" t="str">
        <f t="shared" si="517"/>
        <v/>
      </c>
      <c r="CI125" s="1142" t="str">
        <f t="shared" si="518"/>
        <v/>
      </c>
      <c r="CJ125" s="1142" t="str">
        <f t="shared" si="519"/>
        <v/>
      </c>
      <c r="CK125" s="1143" t="str">
        <f t="shared" si="520"/>
        <v/>
      </c>
      <c r="CL125" s="1143" t="str">
        <f t="shared" si="521"/>
        <v/>
      </c>
      <c r="CM125" s="1143" t="str">
        <f t="shared" si="522"/>
        <v/>
      </c>
      <c r="CN125" s="1142" t="str">
        <f t="shared" si="523"/>
        <v/>
      </c>
      <c r="CO125" s="1142" t="str">
        <f t="shared" si="524"/>
        <v/>
      </c>
      <c r="CP125" s="1142" t="str">
        <f t="shared" si="525"/>
        <v/>
      </c>
      <c r="CQ125" s="1142" t="str">
        <f t="shared" si="526"/>
        <v/>
      </c>
      <c r="CR125" s="1142" t="str">
        <f t="shared" si="527"/>
        <v/>
      </c>
      <c r="CS125" s="1141" t="str">
        <f t="shared" si="528"/>
        <v/>
      </c>
      <c r="CT125" s="1144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40" t="str">
        <f t="shared" si="513"/>
        <v/>
      </c>
      <c r="CE126" s="1141" t="str">
        <f t="shared" si="514"/>
        <v/>
      </c>
      <c r="CF126" s="1142" t="str">
        <f t="shared" si="515"/>
        <v/>
      </c>
      <c r="CG126" s="1142" t="str">
        <f t="shared" si="516"/>
        <v/>
      </c>
      <c r="CH126" s="1142" t="str">
        <f t="shared" si="517"/>
        <v/>
      </c>
      <c r="CI126" s="1142" t="str">
        <f t="shared" si="518"/>
        <v/>
      </c>
      <c r="CJ126" s="1142" t="str">
        <f t="shared" si="519"/>
        <v/>
      </c>
      <c r="CK126" s="1143" t="str">
        <f t="shared" si="520"/>
        <v/>
      </c>
      <c r="CL126" s="1143" t="str">
        <f t="shared" si="521"/>
        <v/>
      </c>
      <c r="CM126" s="1143" t="str">
        <f t="shared" si="522"/>
        <v/>
      </c>
      <c r="CN126" s="1142" t="str">
        <f t="shared" si="523"/>
        <v/>
      </c>
      <c r="CO126" s="1142" t="str">
        <f t="shared" si="524"/>
        <v/>
      </c>
      <c r="CP126" s="1142" t="str">
        <f t="shared" si="525"/>
        <v/>
      </c>
      <c r="CQ126" s="1142" t="str">
        <f t="shared" si="526"/>
        <v/>
      </c>
      <c r="CR126" s="1142" t="str">
        <f t="shared" si="527"/>
        <v/>
      </c>
      <c r="CS126" s="1141" t="str">
        <f t="shared" si="528"/>
        <v/>
      </c>
      <c r="CT126" s="1144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40">
        <f t="shared" si="513"/>
        <v>1</v>
      </c>
      <c r="CE127" s="1141">
        <f t="shared" si="514"/>
        <v>1</v>
      </c>
      <c r="CF127" s="1142">
        <f t="shared" si="515"/>
        <v>1</v>
      </c>
      <c r="CG127" s="1142">
        <f t="shared" si="516"/>
        <v>1</v>
      </c>
      <c r="CH127" s="1142">
        <f t="shared" si="517"/>
        <v>1</v>
      </c>
      <c r="CI127" s="1142">
        <f t="shared" si="518"/>
        <v>1</v>
      </c>
      <c r="CJ127" s="1142">
        <f t="shared" si="519"/>
        <v>1</v>
      </c>
      <c r="CK127" s="1143">
        <f t="shared" si="520"/>
        <v>1</v>
      </c>
      <c r="CL127" s="1143">
        <f t="shared" si="521"/>
        <v>1</v>
      </c>
      <c r="CM127" s="1143">
        <f t="shared" si="522"/>
        <v>1</v>
      </c>
      <c r="CN127" s="1142">
        <f t="shared" si="523"/>
        <v>1</v>
      </c>
      <c r="CO127" s="1142">
        <f t="shared" si="524"/>
        <v>1</v>
      </c>
      <c r="CP127" s="1142">
        <f t="shared" si="525"/>
        <v>1</v>
      </c>
      <c r="CQ127" s="1142">
        <f t="shared" si="526"/>
        <v>1</v>
      </c>
      <c r="CR127" s="1142">
        <f t="shared" si="527"/>
        <v>1</v>
      </c>
      <c r="CS127" s="1141">
        <f t="shared" si="528"/>
        <v>1</v>
      </c>
      <c r="CT127" s="1144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40" t="str">
        <f t="shared" si="513"/>
        <v/>
      </c>
      <c r="CE128" s="1141" t="str">
        <f t="shared" si="514"/>
        <v/>
      </c>
      <c r="CF128" s="1142" t="str">
        <f t="shared" si="515"/>
        <v/>
      </c>
      <c r="CG128" s="1142" t="str">
        <f t="shared" si="516"/>
        <v/>
      </c>
      <c r="CH128" s="1142" t="str">
        <f t="shared" si="517"/>
        <v/>
      </c>
      <c r="CI128" s="1142" t="str">
        <f t="shared" si="518"/>
        <v/>
      </c>
      <c r="CJ128" s="1142" t="str">
        <f t="shared" si="519"/>
        <v/>
      </c>
      <c r="CK128" s="1143" t="str">
        <f t="shared" si="520"/>
        <v/>
      </c>
      <c r="CL128" s="1143" t="str">
        <f t="shared" si="521"/>
        <v/>
      </c>
      <c r="CM128" s="1143" t="str">
        <f t="shared" si="522"/>
        <v/>
      </c>
      <c r="CN128" s="1142" t="str">
        <f t="shared" si="523"/>
        <v/>
      </c>
      <c r="CO128" s="1142" t="str">
        <f t="shared" si="524"/>
        <v/>
      </c>
      <c r="CP128" s="1142" t="str">
        <f t="shared" si="525"/>
        <v/>
      </c>
      <c r="CQ128" s="1142" t="str">
        <f t="shared" si="526"/>
        <v/>
      </c>
      <c r="CR128" s="1142" t="str">
        <f t="shared" si="527"/>
        <v/>
      </c>
      <c r="CS128" s="1141" t="str">
        <f t="shared" si="528"/>
        <v/>
      </c>
      <c r="CT128" s="1144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40" t="str">
        <f t="shared" si="513"/>
        <v/>
      </c>
      <c r="CE129" s="1141" t="str">
        <f t="shared" si="514"/>
        <v/>
      </c>
      <c r="CF129" s="1142" t="str">
        <f t="shared" si="515"/>
        <v/>
      </c>
      <c r="CG129" s="1142" t="str">
        <f t="shared" si="516"/>
        <v/>
      </c>
      <c r="CH129" s="1142" t="str">
        <f t="shared" si="517"/>
        <v/>
      </c>
      <c r="CI129" s="1142" t="str">
        <f t="shared" si="518"/>
        <v/>
      </c>
      <c r="CJ129" s="1142" t="str">
        <f t="shared" si="519"/>
        <v/>
      </c>
      <c r="CK129" s="1143" t="str">
        <f t="shared" si="520"/>
        <v/>
      </c>
      <c r="CL129" s="1143" t="str">
        <f t="shared" si="521"/>
        <v/>
      </c>
      <c r="CM129" s="1143" t="str">
        <f t="shared" si="522"/>
        <v/>
      </c>
      <c r="CN129" s="1142" t="str">
        <f t="shared" si="523"/>
        <v/>
      </c>
      <c r="CO129" s="1142" t="str">
        <f t="shared" si="524"/>
        <v/>
      </c>
      <c r="CP129" s="1142" t="str">
        <f t="shared" si="525"/>
        <v/>
      </c>
      <c r="CQ129" s="1142" t="str">
        <f t="shared" si="526"/>
        <v/>
      </c>
      <c r="CR129" s="1142" t="str">
        <f t="shared" si="527"/>
        <v/>
      </c>
      <c r="CS129" s="1141" t="str">
        <f t="shared" si="528"/>
        <v/>
      </c>
      <c r="CT129" s="1144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40">
        <f t="shared" si="513"/>
        <v>45</v>
      </c>
      <c r="CE130" s="1141">
        <f t="shared" si="514"/>
        <v>45</v>
      </c>
      <c r="CF130" s="1142">
        <f t="shared" si="515"/>
        <v>45</v>
      </c>
      <c r="CG130" s="1142">
        <f t="shared" si="516"/>
        <v>45</v>
      </c>
      <c r="CH130" s="1142">
        <f t="shared" si="517"/>
        <v>45</v>
      </c>
      <c r="CI130" s="1142">
        <f t="shared" si="518"/>
        <v>45</v>
      </c>
      <c r="CJ130" s="1142">
        <f t="shared" si="519"/>
        <v>45</v>
      </c>
      <c r="CK130" s="1143">
        <f t="shared" si="520"/>
        <v>45</v>
      </c>
      <c r="CL130" s="1143">
        <f t="shared" si="521"/>
        <v>45</v>
      </c>
      <c r="CM130" s="1143">
        <f t="shared" si="522"/>
        <v>45</v>
      </c>
      <c r="CN130" s="1142">
        <f t="shared" si="523"/>
        <v>45</v>
      </c>
      <c r="CO130" s="1142">
        <f t="shared" si="524"/>
        <v>45</v>
      </c>
      <c r="CP130" s="1142">
        <f t="shared" si="525"/>
        <v>45</v>
      </c>
      <c r="CQ130" s="1142">
        <f t="shared" si="526"/>
        <v>45</v>
      </c>
      <c r="CR130" s="1142">
        <f t="shared" si="527"/>
        <v>45</v>
      </c>
      <c r="CS130" s="1141">
        <f t="shared" si="528"/>
        <v>45</v>
      </c>
      <c r="CT130" s="1144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40" t="str">
        <f t="shared" si="513"/>
        <v/>
      </c>
      <c r="CE131" s="1141" t="str">
        <f t="shared" si="514"/>
        <v/>
      </c>
      <c r="CF131" s="1142" t="str">
        <f t="shared" si="515"/>
        <v/>
      </c>
      <c r="CG131" s="1142" t="str">
        <f t="shared" si="516"/>
        <v/>
      </c>
      <c r="CH131" s="1142" t="str">
        <f t="shared" si="517"/>
        <v/>
      </c>
      <c r="CI131" s="1142" t="str">
        <f t="shared" si="518"/>
        <v/>
      </c>
      <c r="CJ131" s="1142" t="str">
        <f t="shared" si="519"/>
        <v/>
      </c>
      <c r="CK131" s="1143" t="str">
        <f t="shared" si="520"/>
        <v/>
      </c>
      <c r="CL131" s="1143" t="str">
        <f t="shared" si="521"/>
        <v/>
      </c>
      <c r="CM131" s="1143" t="str">
        <f t="shared" si="522"/>
        <v/>
      </c>
      <c r="CN131" s="1142" t="str">
        <f t="shared" si="523"/>
        <v/>
      </c>
      <c r="CO131" s="1142" t="str">
        <f t="shared" si="524"/>
        <v/>
      </c>
      <c r="CP131" s="1142" t="str">
        <f t="shared" si="525"/>
        <v/>
      </c>
      <c r="CQ131" s="1142" t="str">
        <f t="shared" si="526"/>
        <v/>
      </c>
      <c r="CR131" s="1142" t="str">
        <f t="shared" si="527"/>
        <v/>
      </c>
      <c r="CS131" s="1141" t="str">
        <f t="shared" si="528"/>
        <v/>
      </c>
      <c r="CT131" s="1144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40" t="str">
        <f t="shared" si="513"/>
        <v/>
      </c>
      <c r="CE132" s="1141" t="str">
        <f t="shared" si="514"/>
        <v/>
      </c>
      <c r="CF132" s="1142" t="str">
        <f t="shared" si="515"/>
        <v/>
      </c>
      <c r="CG132" s="1142" t="str">
        <f t="shared" si="516"/>
        <v/>
      </c>
      <c r="CH132" s="1142" t="str">
        <f t="shared" si="517"/>
        <v/>
      </c>
      <c r="CI132" s="1142" t="str">
        <f t="shared" si="518"/>
        <v/>
      </c>
      <c r="CJ132" s="1142" t="str">
        <f t="shared" si="519"/>
        <v/>
      </c>
      <c r="CK132" s="1143" t="str">
        <f t="shared" si="520"/>
        <v/>
      </c>
      <c r="CL132" s="1143" t="str">
        <f t="shared" si="521"/>
        <v/>
      </c>
      <c r="CM132" s="1143" t="str">
        <f t="shared" si="522"/>
        <v/>
      </c>
      <c r="CN132" s="1142" t="str">
        <f t="shared" si="523"/>
        <v/>
      </c>
      <c r="CO132" s="1142" t="str">
        <f t="shared" si="524"/>
        <v/>
      </c>
      <c r="CP132" s="1142" t="str">
        <f t="shared" si="525"/>
        <v/>
      </c>
      <c r="CQ132" s="1142" t="str">
        <f t="shared" si="526"/>
        <v/>
      </c>
      <c r="CR132" s="1142" t="str">
        <f t="shared" si="527"/>
        <v/>
      </c>
      <c r="CS132" s="1141" t="str">
        <f t="shared" si="528"/>
        <v/>
      </c>
      <c r="CT132" s="1144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40" t="str">
        <f t="shared" si="513"/>
        <v/>
      </c>
      <c r="CE133" s="1141" t="str">
        <f t="shared" si="514"/>
        <v/>
      </c>
      <c r="CF133" s="1142" t="str">
        <f t="shared" si="515"/>
        <v/>
      </c>
      <c r="CG133" s="1142" t="str">
        <f t="shared" si="516"/>
        <v/>
      </c>
      <c r="CH133" s="1142" t="str">
        <f t="shared" si="517"/>
        <v/>
      </c>
      <c r="CI133" s="1142" t="str">
        <f t="shared" si="518"/>
        <v/>
      </c>
      <c r="CJ133" s="1142" t="str">
        <f t="shared" si="519"/>
        <v/>
      </c>
      <c r="CK133" s="1143" t="str">
        <f t="shared" si="520"/>
        <v/>
      </c>
      <c r="CL133" s="1143" t="str">
        <f t="shared" si="521"/>
        <v/>
      </c>
      <c r="CM133" s="1143" t="str">
        <f t="shared" si="522"/>
        <v/>
      </c>
      <c r="CN133" s="1142" t="str">
        <f t="shared" si="523"/>
        <v/>
      </c>
      <c r="CO133" s="1142" t="str">
        <f t="shared" si="524"/>
        <v/>
      </c>
      <c r="CP133" s="1142" t="str">
        <f t="shared" si="525"/>
        <v/>
      </c>
      <c r="CQ133" s="1142" t="str">
        <f t="shared" si="526"/>
        <v/>
      </c>
      <c r="CR133" s="1142" t="str">
        <f t="shared" si="527"/>
        <v/>
      </c>
      <c r="CS133" s="1141" t="str">
        <f t="shared" si="528"/>
        <v/>
      </c>
      <c r="CT133" s="1144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40" t="str">
        <f t="shared" si="513"/>
        <v/>
      </c>
      <c r="CE134" s="1141" t="str">
        <f t="shared" si="514"/>
        <v/>
      </c>
      <c r="CF134" s="1142" t="str">
        <f t="shared" si="515"/>
        <v/>
      </c>
      <c r="CG134" s="1142" t="str">
        <f t="shared" si="516"/>
        <v/>
      </c>
      <c r="CH134" s="1142" t="str">
        <f t="shared" si="517"/>
        <v/>
      </c>
      <c r="CI134" s="1142" t="str">
        <f t="shared" si="518"/>
        <v/>
      </c>
      <c r="CJ134" s="1142" t="str">
        <f t="shared" si="519"/>
        <v/>
      </c>
      <c r="CK134" s="1143" t="str">
        <f t="shared" si="520"/>
        <v/>
      </c>
      <c r="CL134" s="1143" t="str">
        <f t="shared" si="521"/>
        <v/>
      </c>
      <c r="CM134" s="1143" t="str">
        <f t="shared" si="522"/>
        <v/>
      </c>
      <c r="CN134" s="1142" t="str">
        <f t="shared" si="523"/>
        <v/>
      </c>
      <c r="CO134" s="1142" t="str">
        <f t="shared" si="524"/>
        <v/>
      </c>
      <c r="CP134" s="1142" t="str">
        <f t="shared" si="525"/>
        <v/>
      </c>
      <c r="CQ134" s="1142" t="str">
        <f t="shared" si="526"/>
        <v/>
      </c>
      <c r="CR134" s="1142" t="str">
        <f t="shared" si="527"/>
        <v/>
      </c>
      <c r="CS134" s="1141" t="str">
        <f t="shared" si="528"/>
        <v/>
      </c>
      <c r="CT134" s="1144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40" t="str">
        <f t="shared" si="513"/>
        <v/>
      </c>
      <c r="CE135" s="1141" t="str">
        <f t="shared" si="514"/>
        <v/>
      </c>
      <c r="CF135" s="1142" t="str">
        <f t="shared" si="515"/>
        <v/>
      </c>
      <c r="CG135" s="1142" t="str">
        <f t="shared" si="516"/>
        <v/>
      </c>
      <c r="CH135" s="1142" t="str">
        <f t="shared" si="517"/>
        <v/>
      </c>
      <c r="CI135" s="1142" t="str">
        <f t="shared" si="518"/>
        <v/>
      </c>
      <c r="CJ135" s="1142" t="str">
        <f t="shared" si="519"/>
        <v/>
      </c>
      <c r="CK135" s="1143" t="str">
        <f t="shared" si="520"/>
        <v/>
      </c>
      <c r="CL135" s="1143" t="str">
        <f t="shared" si="521"/>
        <v/>
      </c>
      <c r="CM135" s="1143" t="str">
        <f t="shared" si="522"/>
        <v/>
      </c>
      <c r="CN135" s="1142" t="str">
        <f t="shared" si="523"/>
        <v/>
      </c>
      <c r="CO135" s="1142" t="str">
        <f t="shared" si="524"/>
        <v/>
      </c>
      <c r="CP135" s="1142" t="str">
        <f t="shared" si="525"/>
        <v/>
      </c>
      <c r="CQ135" s="1142" t="str">
        <f t="shared" si="526"/>
        <v/>
      </c>
      <c r="CR135" s="1142" t="str">
        <f t="shared" si="527"/>
        <v/>
      </c>
      <c r="CS135" s="1141" t="str">
        <f t="shared" si="528"/>
        <v/>
      </c>
      <c r="CT135" s="1144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40">
        <f t="shared" si="513"/>
        <v>1</v>
      </c>
      <c r="CE136" s="1141">
        <f t="shared" si="514"/>
        <v>1</v>
      </c>
      <c r="CF136" s="1142">
        <f t="shared" si="515"/>
        <v>1</v>
      </c>
      <c r="CG136" s="1142">
        <f t="shared" si="516"/>
        <v>1</v>
      </c>
      <c r="CH136" s="1142">
        <f t="shared" si="517"/>
        <v>1</v>
      </c>
      <c r="CI136" s="1142">
        <f t="shared" si="518"/>
        <v>1</v>
      </c>
      <c r="CJ136" s="1142">
        <f t="shared" si="519"/>
        <v>1</v>
      </c>
      <c r="CK136" s="1143">
        <f t="shared" si="520"/>
        <v>1</v>
      </c>
      <c r="CL136" s="1143">
        <f t="shared" si="521"/>
        <v>1</v>
      </c>
      <c r="CM136" s="1143">
        <f t="shared" si="522"/>
        <v>1</v>
      </c>
      <c r="CN136" s="1142">
        <f t="shared" si="523"/>
        <v>1</v>
      </c>
      <c r="CO136" s="1142">
        <f t="shared" si="524"/>
        <v>1</v>
      </c>
      <c r="CP136" s="1142">
        <f t="shared" si="525"/>
        <v>1</v>
      </c>
      <c r="CQ136" s="1142">
        <f t="shared" si="526"/>
        <v>1</v>
      </c>
      <c r="CR136" s="1142">
        <f t="shared" si="527"/>
        <v>1</v>
      </c>
      <c r="CS136" s="1141">
        <f t="shared" si="528"/>
        <v>1</v>
      </c>
      <c r="CT136" s="1144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40" t="str">
        <f t="shared" si="513"/>
        <v/>
      </c>
      <c r="CE137" s="1141" t="str">
        <f t="shared" si="514"/>
        <v/>
      </c>
      <c r="CF137" s="1142" t="str">
        <f t="shared" si="515"/>
        <v/>
      </c>
      <c r="CG137" s="1142" t="str">
        <f t="shared" si="516"/>
        <v/>
      </c>
      <c r="CH137" s="1142" t="str">
        <f t="shared" si="517"/>
        <v/>
      </c>
      <c r="CI137" s="1142" t="str">
        <f t="shared" si="518"/>
        <v/>
      </c>
      <c r="CJ137" s="1142" t="str">
        <f t="shared" si="519"/>
        <v/>
      </c>
      <c r="CK137" s="1143" t="str">
        <f t="shared" si="520"/>
        <v/>
      </c>
      <c r="CL137" s="1143" t="str">
        <f t="shared" si="521"/>
        <v/>
      </c>
      <c r="CM137" s="1143" t="str">
        <f t="shared" si="522"/>
        <v/>
      </c>
      <c r="CN137" s="1142" t="str">
        <f t="shared" si="523"/>
        <v/>
      </c>
      <c r="CO137" s="1142" t="str">
        <f t="shared" si="524"/>
        <v/>
      </c>
      <c r="CP137" s="1142" t="str">
        <f t="shared" si="525"/>
        <v/>
      </c>
      <c r="CQ137" s="1142" t="str">
        <f t="shared" si="526"/>
        <v/>
      </c>
      <c r="CR137" s="1142" t="str">
        <f t="shared" si="527"/>
        <v/>
      </c>
      <c r="CS137" s="1141" t="str">
        <f t="shared" si="528"/>
        <v/>
      </c>
      <c r="CT137" s="1144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28" t="str">
        <f t="shared" si="513"/>
        <v/>
      </c>
      <c r="CE138" s="1129" t="str">
        <f t="shared" si="514"/>
        <v/>
      </c>
      <c r="CF138" s="1130" t="str">
        <f t="shared" si="515"/>
        <v/>
      </c>
      <c r="CG138" s="1130" t="str">
        <f t="shared" si="516"/>
        <v/>
      </c>
      <c r="CH138" s="1130" t="str">
        <f t="shared" si="517"/>
        <v/>
      </c>
      <c r="CI138" s="1130" t="str">
        <f t="shared" si="518"/>
        <v/>
      </c>
      <c r="CJ138" s="1130" t="str">
        <f t="shared" si="519"/>
        <v/>
      </c>
      <c r="CK138" s="1131" t="str">
        <f t="shared" si="520"/>
        <v/>
      </c>
      <c r="CL138" s="1131" t="str">
        <f t="shared" si="521"/>
        <v/>
      </c>
      <c r="CM138" s="1131" t="str">
        <f t="shared" si="522"/>
        <v/>
      </c>
      <c r="CN138" s="1130" t="str">
        <f t="shared" si="523"/>
        <v/>
      </c>
      <c r="CO138" s="1130" t="str">
        <f t="shared" si="524"/>
        <v/>
      </c>
      <c r="CP138" s="1130" t="str">
        <f t="shared" si="525"/>
        <v/>
      </c>
      <c r="CQ138" s="1130" t="str">
        <f t="shared" si="526"/>
        <v/>
      </c>
      <c r="CR138" s="1130" t="str">
        <f t="shared" si="527"/>
        <v/>
      </c>
      <c r="CS138" s="1129" t="str">
        <f t="shared" si="528"/>
        <v/>
      </c>
      <c r="CT138" s="1132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40" t="str">
        <f t="shared" si="513"/>
        <v/>
      </c>
      <c r="CE139" s="1141" t="str">
        <f t="shared" si="514"/>
        <v/>
      </c>
      <c r="CF139" s="1142" t="str">
        <f t="shared" si="515"/>
        <v/>
      </c>
      <c r="CG139" s="1142" t="str">
        <f t="shared" si="516"/>
        <v/>
      </c>
      <c r="CH139" s="1142" t="str">
        <f t="shared" si="517"/>
        <v/>
      </c>
      <c r="CI139" s="1142" t="str">
        <f t="shared" si="518"/>
        <v/>
      </c>
      <c r="CJ139" s="1142" t="str">
        <f t="shared" si="519"/>
        <v/>
      </c>
      <c r="CK139" s="1143" t="str">
        <f t="shared" si="520"/>
        <v/>
      </c>
      <c r="CL139" s="1143" t="str">
        <f t="shared" si="521"/>
        <v/>
      </c>
      <c r="CM139" s="1143" t="str">
        <f t="shared" si="522"/>
        <v/>
      </c>
      <c r="CN139" s="1142" t="str">
        <f t="shared" si="523"/>
        <v/>
      </c>
      <c r="CO139" s="1142" t="str">
        <f t="shared" si="524"/>
        <v/>
      </c>
      <c r="CP139" s="1142" t="str">
        <f t="shared" si="525"/>
        <v/>
      </c>
      <c r="CQ139" s="1142" t="str">
        <f t="shared" si="526"/>
        <v/>
      </c>
      <c r="CR139" s="1142" t="str">
        <f t="shared" si="527"/>
        <v/>
      </c>
      <c r="CS139" s="1141" t="str">
        <f t="shared" si="528"/>
        <v/>
      </c>
      <c r="CT139" s="1144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40" t="str">
        <f t="shared" si="513"/>
        <v/>
      </c>
      <c r="CE140" s="1141" t="str">
        <f t="shared" si="514"/>
        <v/>
      </c>
      <c r="CF140" s="1142" t="str">
        <f t="shared" si="515"/>
        <v/>
      </c>
      <c r="CG140" s="1142" t="str">
        <f t="shared" si="516"/>
        <v/>
      </c>
      <c r="CH140" s="1142" t="str">
        <f t="shared" si="517"/>
        <v/>
      </c>
      <c r="CI140" s="1142" t="str">
        <f t="shared" si="518"/>
        <v/>
      </c>
      <c r="CJ140" s="1142" t="str">
        <f t="shared" si="519"/>
        <v/>
      </c>
      <c r="CK140" s="1143" t="str">
        <f t="shared" si="520"/>
        <v/>
      </c>
      <c r="CL140" s="1143" t="str">
        <f t="shared" si="521"/>
        <v/>
      </c>
      <c r="CM140" s="1143" t="str">
        <f t="shared" si="522"/>
        <v/>
      </c>
      <c r="CN140" s="1142" t="str">
        <f t="shared" si="523"/>
        <v/>
      </c>
      <c r="CO140" s="1142" t="str">
        <f t="shared" si="524"/>
        <v/>
      </c>
      <c r="CP140" s="1142" t="str">
        <f t="shared" si="525"/>
        <v/>
      </c>
      <c r="CQ140" s="1142" t="str">
        <f t="shared" si="526"/>
        <v/>
      </c>
      <c r="CR140" s="1142" t="str">
        <f t="shared" si="527"/>
        <v/>
      </c>
      <c r="CS140" s="1141" t="str">
        <f t="shared" si="528"/>
        <v/>
      </c>
      <c r="CT140" s="1144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40" t="str">
        <f t="shared" si="513"/>
        <v/>
      </c>
      <c r="CE141" s="1141" t="str">
        <f t="shared" si="514"/>
        <v/>
      </c>
      <c r="CF141" s="1142" t="str">
        <f t="shared" si="515"/>
        <v/>
      </c>
      <c r="CG141" s="1142" t="str">
        <f t="shared" si="516"/>
        <v/>
      </c>
      <c r="CH141" s="1142" t="str">
        <f t="shared" si="517"/>
        <v/>
      </c>
      <c r="CI141" s="1142" t="str">
        <f t="shared" si="518"/>
        <v/>
      </c>
      <c r="CJ141" s="1142" t="str">
        <f t="shared" si="519"/>
        <v/>
      </c>
      <c r="CK141" s="1143" t="str">
        <f t="shared" si="520"/>
        <v/>
      </c>
      <c r="CL141" s="1143" t="str">
        <f t="shared" si="521"/>
        <v/>
      </c>
      <c r="CM141" s="1143" t="str">
        <f t="shared" si="522"/>
        <v/>
      </c>
      <c r="CN141" s="1142" t="str">
        <f t="shared" si="523"/>
        <v/>
      </c>
      <c r="CO141" s="1142" t="str">
        <f t="shared" si="524"/>
        <v/>
      </c>
      <c r="CP141" s="1142" t="str">
        <f t="shared" si="525"/>
        <v/>
      </c>
      <c r="CQ141" s="1142" t="str">
        <f t="shared" si="526"/>
        <v/>
      </c>
      <c r="CR141" s="1142" t="str">
        <f t="shared" si="527"/>
        <v/>
      </c>
      <c r="CS141" s="1141" t="str">
        <f t="shared" si="528"/>
        <v/>
      </c>
      <c r="CT141" s="1144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40" t="str">
        <f t="shared" si="513"/>
        <v/>
      </c>
      <c r="CE142" s="1141" t="str">
        <f t="shared" si="514"/>
        <v/>
      </c>
      <c r="CF142" s="1142" t="str">
        <f t="shared" si="515"/>
        <v/>
      </c>
      <c r="CG142" s="1142" t="str">
        <f t="shared" si="516"/>
        <v/>
      </c>
      <c r="CH142" s="1142" t="str">
        <f t="shared" si="517"/>
        <v/>
      </c>
      <c r="CI142" s="1142" t="str">
        <f t="shared" si="518"/>
        <v/>
      </c>
      <c r="CJ142" s="1142" t="str">
        <f t="shared" si="519"/>
        <v/>
      </c>
      <c r="CK142" s="1143" t="str">
        <f t="shared" si="520"/>
        <v/>
      </c>
      <c r="CL142" s="1143" t="str">
        <f t="shared" si="521"/>
        <v/>
      </c>
      <c r="CM142" s="1143" t="str">
        <f t="shared" si="522"/>
        <v/>
      </c>
      <c r="CN142" s="1142" t="str">
        <f t="shared" si="523"/>
        <v/>
      </c>
      <c r="CO142" s="1142" t="str">
        <f t="shared" si="524"/>
        <v/>
      </c>
      <c r="CP142" s="1142" t="str">
        <f t="shared" si="525"/>
        <v/>
      </c>
      <c r="CQ142" s="1142" t="str">
        <f t="shared" si="526"/>
        <v/>
      </c>
      <c r="CR142" s="1142" t="str">
        <f t="shared" si="527"/>
        <v/>
      </c>
      <c r="CS142" s="1141" t="str">
        <f t="shared" si="528"/>
        <v/>
      </c>
      <c r="CT142" s="1144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40" t="str">
        <f t="shared" si="513"/>
        <v/>
      </c>
      <c r="CE143" s="1141" t="str">
        <f t="shared" si="514"/>
        <v/>
      </c>
      <c r="CF143" s="1142" t="str">
        <f t="shared" si="515"/>
        <v/>
      </c>
      <c r="CG143" s="1142" t="str">
        <f t="shared" si="516"/>
        <v/>
      </c>
      <c r="CH143" s="1142" t="str">
        <f t="shared" si="517"/>
        <v/>
      </c>
      <c r="CI143" s="1142" t="str">
        <f t="shared" si="518"/>
        <v/>
      </c>
      <c r="CJ143" s="1142" t="str">
        <f t="shared" si="519"/>
        <v/>
      </c>
      <c r="CK143" s="1143" t="str">
        <f t="shared" si="520"/>
        <v/>
      </c>
      <c r="CL143" s="1143" t="str">
        <f t="shared" si="521"/>
        <v/>
      </c>
      <c r="CM143" s="1143" t="str">
        <f t="shared" si="522"/>
        <v/>
      </c>
      <c r="CN143" s="1142" t="str">
        <f t="shared" si="523"/>
        <v/>
      </c>
      <c r="CO143" s="1142" t="str">
        <f t="shared" si="524"/>
        <v/>
      </c>
      <c r="CP143" s="1142" t="str">
        <f t="shared" si="525"/>
        <v/>
      </c>
      <c r="CQ143" s="1142" t="str">
        <f t="shared" si="526"/>
        <v/>
      </c>
      <c r="CR143" s="1142" t="str">
        <f t="shared" si="527"/>
        <v/>
      </c>
      <c r="CS143" s="1141" t="str">
        <f t="shared" si="528"/>
        <v/>
      </c>
      <c r="CT143" s="1144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28" t="str">
        <f t="shared" si="513"/>
        <v/>
      </c>
      <c r="CE144" s="1129" t="str">
        <f t="shared" si="514"/>
        <v/>
      </c>
      <c r="CF144" s="1130" t="str">
        <f t="shared" si="515"/>
        <v/>
      </c>
      <c r="CG144" s="1130" t="str">
        <f t="shared" si="516"/>
        <v/>
      </c>
      <c r="CH144" s="1130" t="str">
        <f t="shared" si="517"/>
        <v/>
      </c>
      <c r="CI144" s="1130" t="str">
        <f t="shared" si="518"/>
        <v/>
      </c>
      <c r="CJ144" s="1130" t="str">
        <f t="shared" si="519"/>
        <v/>
      </c>
      <c r="CK144" s="1131" t="str">
        <f t="shared" si="520"/>
        <v/>
      </c>
      <c r="CL144" s="1131" t="str">
        <f t="shared" si="521"/>
        <v/>
      </c>
      <c r="CM144" s="1131" t="str">
        <f t="shared" si="522"/>
        <v/>
      </c>
      <c r="CN144" s="1130" t="str">
        <f t="shared" si="523"/>
        <v/>
      </c>
      <c r="CO144" s="1130" t="str">
        <f t="shared" si="524"/>
        <v/>
      </c>
      <c r="CP144" s="1130" t="str">
        <f t="shared" si="525"/>
        <v/>
      </c>
      <c r="CQ144" s="1130" t="str">
        <f t="shared" si="526"/>
        <v/>
      </c>
      <c r="CR144" s="1130" t="str">
        <f t="shared" si="527"/>
        <v/>
      </c>
      <c r="CS144" s="1129" t="str">
        <f t="shared" si="528"/>
        <v/>
      </c>
      <c r="CT144" s="1132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28" t="str">
        <f t="shared" si="513"/>
        <v/>
      </c>
      <c r="CE145" s="1129" t="str">
        <f t="shared" si="514"/>
        <v/>
      </c>
      <c r="CF145" s="1130" t="str">
        <f t="shared" si="515"/>
        <v/>
      </c>
      <c r="CG145" s="1130" t="str">
        <f t="shared" si="516"/>
        <v/>
      </c>
      <c r="CH145" s="1130" t="str">
        <f t="shared" si="517"/>
        <v/>
      </c>
      <c r="CI145" s="1130" t="str">
        <f t="shared" si="518"/>
        <v/>
      </c>
      <c r="CJ145" s="1130" t="str">
        <f t="shared" si="519"/>
        <v/>
      </c>
      <c r="CK145" s="1131" t="str">
        <f t="shared" si="520"/>
        <v/>
      </c>
      <c r="CL145" s="1131" t="str">
        <f t="shared" si="521"/>
        <v/>
      </c>
      <c r="CM145" s="1131" t="str">
        <f t="shared" si="522"/>
        <v/>
      </c>
      <c r="CN145" s="1130" t="str">
        <f t="shared" si="523"/>
        <v/>
      </c>
      <c r="CO145" s="1130" t="str">
        <f t="shared" si="524"/>
        <v/>
      </c>
      <c r="CP145" s="1130" t="str">
        <f t="shared" si="525"/>
        <v/>
      </c>
      <c r="CQ145" s="1130" t="str">
        <f t="shared" si="526"/>
        <v/>
      </c>
      <c r="CR145" s="1130" t="str">
        <f t="shared" si="527"/>
        <v/>
      </c>
      <c r="CS145" s="1129" t="str">
        <f t="shared" si="528"/>
        <v/>
      </c>
      <c r="CT145" s="1132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28" t="str">
        <f t="shared" si="513"/>
        <v/>
      </c>
      <c r="CE146" s="1129" t="str">
        <f t="shared" si="514"/>
        <v/>
      </c>
      <c r="CF146" s="1130" t="str">
        <f t="shared" si="515"/>
        <v/>
      </c>
      <c r="CG146" s="1130" t="str">
        <f t="shared" si="516"/>
        <v/>
      </c>
      <c r="CH146" s="1130" t="str">
        <f t="shared" si="517"/>
        <v/>
      </c>
      <c r="CI146" s="1130" t="str">
        <f t="shared" si="518"/>
        <v/>
      </c>
      <c r="CJ146" s="1130" t="str">
        <f t="shared" si="519"/>
        <v/>
      </c>
      <c r="CK146" s="1131" t="str">
        <f t="shared" si="520"/>
        <v/>
      </c>
      <c r="CL146" s="1131" t="str">
        <f t="shared" si="521"/>
        <v/>
      </c>
      <c r="CM146" s="1131" t="str">
        <f t="shared" si="522"/>
        <v/>
      </c>
      <c r="CN146" s="1130" t="str">
        <f t="shared" si="523"/>
        <v/>
      </c>
      <c r="CO146" s="1130" t="str">
        <f t="shared" si="524"/>
        <v/>
      </c>
      <c r="CP146" s="1130" t="str">
        <f t="shared" si="525"/>
        <v/>
      </c>
      <c r="CQ146" s="1130" t="str">
        <f t="shared" si="526"/>
        <v/>
      </c>
      <c r="CR146" s="1130" t="str">
        <f t="shared" si="527"/>
        <v/>
      </c>
      <c r="CS146" s="1129" t="str">
        <f t="shared" si="528"/>
        <v/>
      </c>
      <c r="CT146" s="1132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19"/>
      <c r="CE147" s="1145"/>
      <c r="CF147" s="1120"/>
      <c r="CG147" s="1120"/>
      <c r="CH147" s="1120"/>
      <c r="CI147" s="1120"/>
      <c r="CJ147" s="1120"/>
      <c r="CK147" s="1120"/>
      <c r="CL147" s="1120"/>
      <c r="CM147" s="1120"/>
      <c r="CN147" s="1120"/>
      <c r="CO147" s="1120"/>
      <c r="CP147" s="1120"/>
      <c r="CQ147" s="1120"/>
      <c r="CR147" s="1120"/>
      <c r="CS147" s="1120"/>
      <c r="CT147" s="1121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40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1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2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2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2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2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2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3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3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3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2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2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2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2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2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1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4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40">
        <f t="shared" si="631"/>
        <v>45</v>
      </c>
      <c r="CE149" s="1141">
        <f t="shared" si="632"/>
        <v>45</v>
      </c>
      <c r="CF149" s="1142">
        <f t="shared" si="633"/>
        <v>45</v>
      </c>
      <c r="CG149" s="1142">
        <f t="shared" si="634"/>
        <v>45</v>
      </c>
      <c r="CH149" s="1142">
        <f t="shared" si="635"/>
        <v>45</v>
      </c>
      <c r="CI149" s="1142">
        <f t="shared" si="636"/>
        <v>45</v>
      </c>
      <c r="CJ149" s="1142">
        <f t="shared" si="637"/>
        <v>45</v>
      </c>
      <c r="CK149" s="1143">
        <f t="shared" si="638"/>
        <v>45</v>
      </c>
      <c r="CL149" s="1143">
        <f t="shared" si="639"/>
        <v>45</v>
      </c>
      <c r="CM149" s="1143">
        <f t="shared" si="640"/>
        <v>45</v>
      </c>
      <c r="CN149" s="1142">
        <f t="shared" si="641"/>
        <v>45</v>
      </c>
      <c r="CO149" s="1142">
        <f t="shared" si="642"/>
        <v>45</v>
      </c>
      <c r="CP149" s="1142">
        <f t="shared" si="643"/>
        <v>45</v>
      </c>
      <c r="CQ149" s="1142">
        <f t="shared" si="644"/>
        <v>45</v>
      </c>
      <c r="CR149" s="1142">
        <f t="shared" si="645"/>
        <v>45</v>
      </c>
      <c r="CS149" s="1141">
        <f t="shared" si="646"/>
        <v>45</v>
      </c>
      <c r="CT149" s="1144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40" t="str">
        <f t="shared" si="631"/>
        <v/>
      </c>
      <c r="CE150" s="1141" t="str">
        <f t="shared" si="632"/>
        <v/>
      </c>
      <c r="CF150" s="1142" t="str">
        <f t="shared" si="633"/>
        <v/>
      </c>
      <c r="CG150" s="1142" t="str">
        <f t="shared" si="634"/>
        <v/>
      </c>
      <c r="CH150" s="1142" t="str">
        <f t="shared" si="635"/>
        <v/>
      </c>
      <c r="CI150" s="1142" t="str">
        <f t="shared" si="636"/>
        <v/>
      </c>
      <c r="CJ150" s="1142" t="str">
        <f t="shared" si="637"/>
        <v/>
      </c>
      <c r="CK150" s="1143" t="str">
        <f t="shared" si="638"/>
        <v/>
      </c>
      <c r="CL150" s="1143" t="str">
        <f t="shared" si="639"/>
        <v/>
      </c>
      <c r="CM150" s="1143" t="str">
        <f t="shared" si="640"/>
        <v/>
      </c>
      <c r="CN150" s="1142" t="str">
        <f t="shared" si="641"/>
        <v/>
      </c>
      <c r="CO150" s="1142" t="str">
        <f t="shared" si="642"/>
        <v/>
      </c>
      <c r="CP150" s="1142" t="str">
        <f t="shared" si="643"/>
        <v/>
      </c>
      <c r="CQ150" s="1142" t="str">
        <f t="shared" si="644"/>
        <v/>
      </c>
      <c r="CR150" s="1142" t="str">
        <f t="shared" si="645"/>
        <v/>
      </c>
      <c r="CS150" s="1141" t="str">
        <f t="shared" si="646"/>
        <v/>
      </c>
      <c r="CT150" s="1144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40" t="str">
        <f t="shared" si="631"/>
        <v/>
      </c>
      <c r="CE151" s="1141" t="str">
        <f t="shared" si="632"/>
        <v/>
      </c>
      <c r="CF151" s="1142" t="str">
        <f t="shared" si="633"/>
        <v/>
      </c>
      <c r="CG151" s="1142" t="str">
        <f t="shared" si="634"/>
        <v/>
      </c>
      <c r="CH151" s="1142" t="str">
        <f t="shared" si="635"/>
        <v/>
      </c>
      <c r="CI151" s="1142" t="str">
        <f t="shared" si="636"/>
        <v/>
      </c>
      <c r="CJ151" s="1142" t="str">
        <f t="shared" si="637"/>
        <v/>
      </c>
      <c r="CK151" s="1143" t="str">
        <f t="shared" si="638"/>
        <v/>
      </c>
      <c r="CL151" s="1143" t="str">
        <f t="shared" si="639"/>
        <v/>
      </c>
      <c r="CM151" s="1143" t="str">
        <f t="shared" si="640"/>
        <v/>
      </c>
      <c r="CN151" s="1142" t="str">
        <f t="shared" si="641"/>
        <v/>
      </c>
      <c r="CO151" s="1142" t="str">
        <f t="shared" si="642"/>
        <v/>
      </c>
      <c r="CP151" s="1142" t="str">
        <f t="shared" si="643"/>
        <v/>
      </c>
      <c r="CQ151" s="1142" t="str">
        <f t="shared" si="644"/>
        <v/>
      </c>
      <c r="CR151" s="1142" t="str">
        <f t="shared" si="645"/>
        <v/>
      </c>
      <c r="CS151" s="1141" t="str">
        <f t="shared" si="646"/>
        <v/>
      </c>
      <c r="CT151" s="1144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40" t="str">
        <f t="shared" si="631"/>
        <v/>
      </c>
      <c r="CE152" s="1141" t="str">
        <f t="shared" si="632"/>
        <v/>
      </c>
      <c r="CF152" s="1142" t="str">
        <f t="shared" si="633"/>
        <v/>
      </c>
      <c r="CG152" s="1142" t="str">
        <f t="shared" si="634"/>
        <v/>
      </c>
      <c r="CH152" s="1142" t="str">
        <f t="shared" si="635"/>
        <v/>
      </c>
      <c r="CI152" s="1142" t="str">
        <f t="shared" si="636"/>
        <v/>
      </c>
      <c r="CJ152" s="1142" t="str">
        <f t="shared" si="637"/>
        <v/>
      </c>
      <c r="CK152" s="1143" t="str">
        <f t="shared" si="638"/>
        <v/>
      </c>
      <c r="CL152" s="1143" t="str">
        <f t="shared" si="639"/>
        <v/>
      </c>
      <c r="CM152" s="1143" t="str">
        <f t="shared" si="640"/>
        <v/>
      </c>
      <c r="CN152" s="1142" t="str">
        <f t="shared" si="641"/>
        <v/>
      </c>
      <c r="CO152" s="1142" t="str">
        <f t="shared" si="642"/>
        <v/>
      </c>
      <c r="CP152" s="1142" t="str">
        <f t="shared" si="643"/>
        <v/>
      </c>
      <c r="CQ152" s="1142" t="str">
        <f t="shared" si="644"/>
        <v/>
      </c>
      <c r="CR152" s="1142" t="str">
        <f t="shared" si="645"/>
        <v/>
      </c>
      <c r="CS152" s="1141" t="str">
        <f t="shared" si="646"/>
        <v/>
      </c>
      <c r="CT152" s="1144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40" t="str">
        <f t="shared" si="631"/>
        <v/>
      </c>
      <c r="CE153" s="1141" t="str">
        <f t="shared" si="632"/>
        <v/>
      </c>
      <c r="CF153" s="1142" t="str">
        <f t="shared" si="633"/>
        <v/>
      </c>
      <c r="CG153" s="1142" t="str">
        <f t="shared" si="634"/>
        <v/>
      </c>
      <c r="CH153" s="1142" t="str">
        <f t="shared" si="635"/>
        <v/>
      </c>
      <c r="CI153" s="1142" t="str">
        <f t="shared" si="636"/>
        <v/>
      </c>
      <c r="CJ153" s="1142" t="str">
        <f t="shared" si="637"/>
        <v/>
      </c>
      <c r="CK153" s="1143" t="str">
        <f t="shared" si="638"/>
        <v/>
      </c>
      <c r="CL153" s="1143" t="str">
        <f t="shared" si="639"/>
        <v/>
      </c>
      <c r="CM153" s="1143" t="str">
        <f t="shared" si="640"/>
        <v/>
      </c>
      <c r="CN153" s="1142" t="str">
        <f t="shared" si="641"/>
        <v/>
      </c>
      <c r="CO153" s="1142" t="str">
        <f t="shared" si="642"/>
        <v/>
      </c>
      <c r="CP153" s="1142" t="str">
        <f t="shared" si="643"/>
        <v/>
      </c>
      <c r="CQ153" s="1142" t="str">
        <f t="shared" si="644"/>
        <v/>
      </c>
      <c r="CR153" s="1142" t="str">
        <f t="shared" si="645"/>
        <v/>
      </c>
      <c r="CS153" s="1141" t="str">
        <f t="shared" si="646"/>
        <v/>
      </c>
      <c r="CT153" s="1144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40" t="str">
        <f t="shared" si="631"/>
        <v/>
      </c>
      <c r="CE154" s="1141" t="str">
        <f t="shared" si="632"/>
        <v/>
      </c>
      <c r="CF154" s="1142" t="str">
        <f t="shared" si="633"/>
        <v/>
      </c>
      <c r="CG154" s="1142" t="str">
        <f t="shared" si="634"/>
        <v/>
      </c>
      <c r="CH154" s="1142" t="str">
        <f t="shared" si="635"/>
        <v/>
      </c>
      <c r="CI154" s="1142" t="str">
        <f t="shared" si="636"/>
        <v/>
      </c>
      <c r="CJ154" s="1142" t="str">
        <f t="shared" si="637"/>
        <v/>
      </c>
      <c r="CK154" s="1143" t="str">
        <f t="shared" si="638"/>
        <v/>
      </c>
      <c r="CL154" s="1143" t="str">
        <f t="shared" si="639"/>
        <v/>
      </c>
      <c r="CM154" s="1143" t="str">
        <f t="shared" si="640"/>
        <v/>
      </c>
      <c r="CN154" s="1142" t="str">
        <f t="shared" si="641"/>
        <v/>
      </c>
      <c r="CO154" s="1142" t="str">
        <f t="shared" si="642"/>
        <v/>
      </c>
      <c r="CP154" s="1142" t="str">
        <f t="shared" si="643"/>
        <v/>
      </c>
      <c r="CQ154" s="1142" t="str">
        <f t="shared" si="644"/>
        <v/>
      </c>
      <c r="CR154" s="1142" t="str">
        <f t="shared" si="645"/>
        <v/>
      </c>
      <c r="CS154" s="1141" t="str">
        <f t="shared" si="646"/>
        <v/>
      </c>
      <c r="CT154" s="1144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40">
        <f t="shared" si="631"/>
        <v>1</v>
      </c>
      <c r="CE155" s="1141">
        <f t="shared" si="632"/>
        <v>1</v>
      </c>
      <c r="CF155" s="1142">
        <f t="shared" si="633"/>
        <v>1</v>
      </c>
      <c r="CG155" s="1142">
        <f t="shared" si="634"/>
        <v>1</v>
      </c>
      <c r="CH155" s="1142">
        <f t="shared" si="635"/>
        <v>1</v>
      </c>
      <c r="CI155" s="1142">
        <f t="shared" si="636"/>
        <v>1</v>
      </c>
      <c r="CJ155" s="1142">
        <f t="shared" si="637"/>
        <v>1</v>
      </c>
      <c r="CK155" s="1143">
        <f t="shared" si="638"/>
        <v>1</v>
      </c>
      <c r="CL155" s="1143">
        <f t="shared" si="639"/>
        <v>1</v>
      </c>
      <c r="CM155" s="1143">
        <f t="shared" si="640"/>
        <v>1</v>
      </c>
      <c r="CN155" s="1142">
        <f t="shared" si="641"/>
        <v>1</v>
      </c>
      <c r="CO155" s="1142">
        <f t="shared" si="642"/>
        <v>1</v>
      </c>
      <c r="CP155" s="1142">
        <f t="shared" si="643"/>
        <v>1</v>
      </c>
      <c r="CQ155" s="1142">
        <f t="shared" si="644"/>
        <v>1</v>
      </c>
      <c r="CR155" s="1142">
        <f t="shared" si="645"/>
        <v>1</v>
      </c>
      <c r="CS155" s="1141">
        <f t="shared" si="646"/>
        <v>1</v>
      </c>
      <c r="CT155" s="1144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40" t="str">
        <f t="shared" si="631"/>
        <v/>
      </c>
      <c r="CE156" s="1141" t="str">
        <f t="shared" si="632"/>
        <v/>
      </c>
      <c r="CF156" s="1142" t="str">
        <f t="shared" si="633"/>
        <v/>
      </c>
      <c r="CG156" s="1142" t="str">
        <f t="shared" si="634"/>
        <v/>
      </c>
      <c r="CH156" s="1142" t="str">
        <f t="shared" si="635"/>
        <v/>
      </c>
      <c r="CI156" s="1142" t="str">
        <f t="shared" si="636"/>
        <v/>
      </c>
      <c r="CJ156" s="1142" t="str">
        <f t="shared" si="637"/>
        <v/>
      </c>
      <c r="CK156" s="1143" t="str">
        <f t="shared" si="638"/>
        <v/>
      </c>
      <c r="CL156" s="1143" t="str">
        <f t="shared" si="639"/>
        <v/>
      </c>
      <c r="CM156" s="1143" t="str">
        <f t="shared" si="640"/>
        <v/>
      </c>
      <c r="CN156" s="1142" t="str">
        <f t="shared" si="641"/>
        <v/>
      </c>
      <c r="CO156" s="1142" t="str">
        <f t="shared" si="642"/>
        <v/>
      </c>
      <c r="CP156" s="1142" t="str">
        <f t="shared" si="643"/>
        <v/>
      </c>
      <c r="CQ156" s="1142" t="str">
        <f t="shared" si="644"/>
        <v/>
      </c>
      <c r="CR156" s="1142" t="str">
        <f t="shared" si="645"/>
        <v/>
      </c>
      <c r="CS156" s="1141" t="str">
        <f t="shared" si="646"/>
        <v/>
      </c>
      <c r="CT156" s="1144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40" t="str">
        <f t="shared" si="631"/>
        <v/>
      </c>
      <c r="CE157" s="1141" t="str">
        <f t="shared" si="632"/>
        <v/>
      </c>
      <c r="CF157" s="1142" t="str">
        <f t="shared" si="633"/>
        <v/>
      </c>
      <c r="CG157" s="1142" t="str">
        <f t="shared" si="634"/>
        <v/>
      </c>
      <c r="CH157" s="1142" t="str">
        <f t="shared" si="635"/>
        <v/>
      </c>
      <c r="CI157" s="1142" t="str">
        <f t="shared" si="636"/>
        <v/>
      </c>
      <c r="CJ157" s="1142" t="str">
        <f t="shared" si="637"/>
        <v/>
      </c>
      <c r="CK157" s="1143" t="str">
        <f t="shared" si="638"/>
        <v/>
      </c>
      <c r="CL157" s="1143" t="str">
        <f t="shared" si="639"/>
        <v/>
      </c>
      <c r="CM157" s="1143" t="str">
        <f t="shared" si="640"/>
        <v/>
      </c>
      <c r="CN157" s="1142" t="str">
        <f t="shared" si="641"/>
        <v/>
      </c>
      <c r="CO157" s="1142" t="str">
        <f t="shared" si="642"/>
        <v/>
      </c>
      <c r="CP157" s="1142" t="str">
        <f t="shared" si="643"/>
        <v/>
      </c>
      <c r="CQ157" s="1142" t="str">
        <f t="shared" si="644"/>
        <v/>
      </c>
      <c r="CR157" s="1142" t="str">
        <f t="shared" si="645"/>
        <v/>
      </c>
      <c r="CS157" s="1141" t="str">
        <f t="shared" si="646"/>
        <v/>
      </c>
      <c r="CT157" s="1144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40">
        <f t="shared" si="631"/>
        <v>45</v>
      </c>
      <c r="CE158" s="1141">
        <f t="shared" si="632"/>
        <v>45</v>
      </c>
      <c r="CF158" s="1142">
        <f t="shared" si="633"/>
        <v>45</v>
      </c>
      <c r="CG158" s="1142">
        <f t="shared" si="634"/>
        <v>45</v>
      </c>
      <c r="CH158" s="1142">
        <f t="shared" si="635"/>
        <v>45</v>
      </c>
      <c r="CI158" s="1142">
        <f t="shared" si="636"/>
        <v>45</v>
      </c>
      <c r="CJ158" s="1142">
        <f t="shared" si="637"/>
        <v>45</v>
      </c>
      <c r="CK158" s="1143">
        <f t="shared" si="638"/>
        <v>45</v>
      </c>
      <c r="CL158" s="1143">
        <f t="shared" si="639"/>
        <v>45</v>
      </c>
      <c r="CM158" s="1143">
        <f t="shared" si="640"/>
        <v>45</v>
      </c>
      <c r="CN158" s="1142">
        <f t="shared" si="641"/>
        <v>45</v>
      </c>
      <c r="CO158" s="1142">
        <f t="shared" si="642"/>
        <v>45</v>
      </c>
      <c r="CP158" s="1142">
        <f t="shared" si="643"/>
        <v>45</v>
      </c>
      <c r="CQ158" s="1142">
        <f t="shared" si="644"/>
        <v>45</v>
      </c>
      <c r="CR158" s="1142">
        <f t="shared" si="645"/>
        <v>45</v>
      </c>
      <c r="CS158" s="1141">
        <f t="shared" si="646"/>
        <v>45</v>
      </c>
      <c r="CT158" s="1144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40" t="str">
        <f t="shared" si="631"/>
        <v/>
      </c>
      <c r="CE159" s="1141" t="str">
        <f t="shared" si="632"/>
        <v/>
      </c>
      <c r="CF159" s="1142" t="str">
        <f t="shared" si="633"/>
        <v/>
      </c>
      <c r="CG159" s="1142" t="str">
        <f t="shared" si="634"/>
        <v/>
      </c>
      <c r="CH159" s="1142" t="str">
        <f t="shared" si="635"/>
        <v/>
      </c>
      <c r="CI159" s="1142" t="str">
        <f t="shared" si="636"/>
        <v/>
      </c>
      <c r="CJ159" s="1142" t="str">
        <f t="shared" si="637"/>
        <v/>
      </c>
      <c r="CK159" s="1143" t="str">
        <f t="shared" si="638"/>
        <v/>
      </c>
      <c r="CL159" s="1143" t="str">
        <f t="shared" si="639"/>
        <v/>
      </c>
      <c r="CM159" s="1143" t="str">
        <f t="shared" si="640"/>
        <v/>
      </c>
      <c r="CN159" s="1142" t="str">
        <f t="shared" si="641"/>
        <v/>
      </c>
      <c r="CO159" s="1142" t="str">
        <f t="shared" si="642"/>
        <v/>
      </c>
      <c r="CP159" s="1142" t="str">
        <f t="shared" si="643"/>
        <v/>
      </c>
      <c r="CQ159" s="1142" t="str">
        <f t="shared" si="644"/>
        <v/>
      </c>
      <c r="CR159" s="1142" t="str">
        <f t="shared" si="645"/>
        <v/>
      </c>
      <c r="CS159" s="1141" t="str">
        <f t="shared" si="646"/>
        <v/>
      </c>
      <c r="CT159" s="1144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40" t="str">
        <f t="shared" si="631"/>
        <v/>
      </c>
      <c r="CE160" s="1141" t="str">
        <f t="shared" si="632"/>
        <v/>
      </c>
      <c r="CF160" s="1142" t="str">
        <f t="shared" si="633"/>
        <v/>
      </c>
      <c r="CG160" s="1142" t="str">
        <f t="shared" si="634"/>
        <v/>
      </c>
      <c r="CH160" s="1142" t="str">
        <f t="shared" si="635"/>
        <v/>
      </c>
      <c r="CI160" s="1142" t="str">
        <f t="shared" si="636"/>
        <v/>
      </c>
      <c r="CJ160" s="1142" t="str">
        <f t="shared" si="637"/>
        <v/>
      </c>
      <c r="CK160" s="1143" t="str">
        <f t="shared" si="638"/>
        <v/>
      </c>
      <c r="CL160" s="1143" t="str">
        <f t="shared" si="639"/>
        <v/>
      </c>
      <c r="CM160" s="1143" t="str">
        <f t="shared" si="640"/>
        <v/>
      </c>
      <c r="CN160" s="1142" t="str">
        <f t="shared" si="641"/>
        <v/>
      </c>
      <c r="CO160" s="1142" t="str">
        <f t="shared" si="642"/>
        <v/>
      </c>
      <c r="CP160" s="1142" t="str">
        <f t="shared" si="643"/>
        <v/>
      </c>
      <c r="CQ160" s="1142" t="str">
        <f t="shared" si="644"/>
        <v/>
      </c>
      <c r="CR160" s="1142" t="str">
        <f t="shared" si="645"/>
        <v/>
      </c>
      <c r="CS160" s="1141" t="str">
        <f t="shared" si="646"/>
        <v/>
      </c>
      <c r="CT160" s="1144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40" t="str">
        <f t="shared" si="631"/>
        <v/>
      </c>
      <c r="CE161" s="1141" t="str">
        <f t="shared" si="632"/>
        <v/>
      </c>
      <c r="CF161" s="1142" t="str">
        <f t="shared" si="633"/>
        <v/>
      </c>
      <c r="CG161" s="1142" t="str">
        <f t="shared" si="634"/>
        <v/>
      </c>
      <c r="CH161" s="1142" t="str">
        <f t="shared" si="635"/>
        <v/>
      </c>
      <c r="CI161" s="1142" t="str">
        <f t="shared" si="636"/>
        <v/>
      </c>
      <c r="CJ161" s="1142" t="str">
        <f t="shared" si="637"/>
        <v/>
      </c>
      <c r="CK161" s="1143" t="str">
        <f t="shared" si="638"/>
        <v/>
      </c>
      <c r="CL161" s="1143" t="str">
        <f t="shared" si="639"/>
        <v/>
      </c>
      <c r="CM161" s="1143" t="str">
        <f t="shared" si="640"/>
        <v/>
      </c>
      <c r="CN161" s="1142" t="str">
        <f t="shared" si="641"/>
        <v/>
      </c>
      <c r="CO161" s="1142" t="str">
        <f t="shared" si="642"/>
        <v/>
      </c>
      <c r="CP161" s="1142" t="str">
        <f t="shared" si="643"/>
        <v/>
      </c>
      <c r="CQ161" s="1142" t="str">
        <f t="shared" si="644"/>
        <v/>
      </c>
      <c r="CR161" s="1142" t="str">
        <f t="shared" si="645"/>
        <v/>
      </c>
      <c r="CS161" s="1141" t="str">
        <f t="shared" si="646"/>
        <v/>
      </c>
      <c r="CT161" s="1144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40" t="str">
        <f t="shared" si="631"/>
        <v/>
      </c>
      <c r="CE162" s="1141" t="str">
        <f t="shared" si="632"/>
        <v/>
      </c>
      <c r="CF162" s="1142" t="str">
        <f t="shared" si="633"/>
        <v/>
      </c>
      <c r="CG162" s="1142" t="str">
        <f t="shared" si="634"/>
        <v/>
      </c>
      <c r="CH162" s="1142" t="str">
        <f t="shared" si="635"/>
        <v/>
      </c>
      <c r="CI162" s="1142" t="str">
        <f t="shared" si="636"/>
        <v/>
      </c>
      <c r="CJ162" s="1142" t="str">
        <f t="shared" si="637"/>
        <v/>
      </c>
      <c r="CK162" s="1143" t="str">
        <f t="shared" si="638"/>
        <v/>
      </c>
      <c r="CL162" s="1143" t="str">
        <f t="shared" si="639"/>
        <v/>
      </c>
      <c r="CM162" s="1143" t="str">
        <f t="shared" si="640"/>
        <v/>
      </c>
      <c r="CN162" s="1142" t="str">
        <f t="shared" si="641"/>
        <v/>
      </c>
      <c r="CO162" s="1142" t="str">
        <f t="shared" si="642"/>
        <v/>
      </c>
      <c r="CP162" s="1142" t="str">
        <f t="shared" si="643"/>
        <v/>
      </c>
      <c r="CQ162" s="1142" t="str">
        <f t="shared" si="644"/>
        <v/>
      </c>
      <c r="CR162" s="1142" t="str">
        <f t="shared" si="645"/>
        <v/>
      </c>
      <c r="CS162" s="1141" t="str">
        <f t="shared" si="646"/>
        <v/>
      </c>
      <c r="CT162" s="1144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40" t="str">
        <f t="shared" si="631"/>
        <v/>
      </c>
      <c r="CE163" s="1141" t="str">
        <f t="shared" si="632"/>
        <v/>
      </c>
      <c r="CF163" s="1142" t="str">
        <f t="shared" si="633"/>
        <v/>
      </c>
      <c r="CG163" s="1142" t="str">
        <f t="shared" si="634"/>
        <v/>
      </c>
      <c r="CH163" s="1142" t="str">
        <f t="shared" si="635"/>
        <v/>
      </c>
      <c r="CI163" s="1142" t="str">
        <f t="shared" si="636"/>
        <v/>
      </c>
      <c r="CJ163" s="1142" t="str">
        <f t="shared" si="637"/>
        <v/>
      </c>
      <c r="CK163" s="1143" t="str">
        <f t="shared" si="638"/>
        <v/>
      </c>
      <c r="CL163" s="1143" t="str">
        <f t="shared" si="639"/>
        <v/>
      </c>
      <c r="CM163" s="1143" t="str">
        <f t="shared" si="640"/>
        <v/>
      </c>
      <c r="CN163" s="1142" t="str">
        <f t="shared" si="641"/>
        <v/>
      </c>
      <c r="CO163" s="1142" t="str">
        <f t="shared" si="642"/>
        <v/>
      </c>
      <c r="CP163" s="1142" t="str">
        <f t="shared" si="643"/>
        <v/>
      </c>
      <c r="CQ163" s="1142" t="str">
        <f t="shared" si="644"/>
        <v/>
      </c>
      <c r="CR163" s="1142" t="str">
        <f t="shared" si="645"/>
        <v/>
      </c>
      <c r="CS163" s="1141" t="str">
        <f t="shared" si="646"/>
        <v/>
      </c>
      <c r="CT163" s="1144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40">
        <f t="shared" si="631"/>
        <v>1</v>
      </c>
      <c r="CE164" s="1141">
        <f t="shared" si="632"/>
        <v>1</v>
      </c>
      <c r="CF164" s="1142">
        <f t="shared" si="633"/>
        <v>1</v>
      </c>
      <c r="CG164" s="1142">
        <f t="shared" si="634"/>
        <v>1</v>
      </c>
      <c r="CH164" s="1142">
        <f t="shared" si="635"/>
        <v>1</v>
      </c>
      <c r="CI164" s="1142">
        <f t="shared" si="636"/>
        <v>1</v>
      </c>
      <c r="CJ164" s="1142">
        <f t="shared" si="637"/>
        <v>1</v>
      </c>
      <c r="CK164" s="1143">
        <f t="shared" si="638"/>
        <v>1</v>
      </c>
      <c r="CL164" s="1143">
        <f t="shared" si="639"/>
        <v>1</v>
      </c>
      <c r="CM164" s="1143">
        <f t="shared" si="640"/>
        <v>1</v>
      </c>
      <c r="CN164" s="1142">
        <f t="shared" si="641"/>
        <v>1</v>
      </c>
      <c r="CO164" s="1142">
        <f t="shared" si="642"/>
        <v>1</v>
      </c>
      <c r="CP164" s="1142">
        <f t="shared" si="643"/>
        <v>1</v>
      </c>
      <c r="CQ164" s="1142">
        <f t="shared" si="644"/>
        <v>1</v>
      </c>
      <c r="CR164" s="1142">
        <f t="shared" si="645"/>
        <v>1</v>
      </c>
      <c r="CS164" s="1141">
        <f t="shared" si="646"/>
        <v>1</v>
      </c>
      <c r="CT164" s="1144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40" t="str">
        <f t="shared" si="631"/>
        <v/>
      </c>
      <c r="CE165" s="1141" t="str">
        <f t="shared" si="632"/>
        <v/>
      </c>
      <c r="CF165" s="1142" t="str">
        <f t="shared" si="633"/>
        <v/>
      </c>
      <c r="CG165" s="1142" t="str">
        <f t="shared" si="634"/>
        <v/>
      </c>
      <c r="CH165" s="1142" t="str">
        <f t="shared" si="635"/>
        <v/>
      </c>
      <c r="CI165" s="1142" t="str">
        <f t="shared" si="636"/>
        <v/>
      </c>
      <c r="CJ165" s="1142" t="str">
        <f t="shared" si="637"/>
        <v/>
      </c>
      <c r="CK165" s="1143" t="str">
        <f t="shared" si="638"/>
        <v/>
      </c>
      <c r="CL165" s="1143" t="str">
        <f t="shared" si="639"/>
        <v/>
      </c>
      <c r="CM165" s="1143" t="str">
        <f t="shared" si="640"/>
        <v/>
      </c>
      <c r="CN165" s="1142" t="str">
        <f t="shared" si="641"/>
        <v/>
      </c>
      <c r="CO165" s="1142" t="str">
        <f t="shared" si="642"/>
        <v/>
      </c>
      <c r="CP165" s="1142" t="str">
        <f t="shared" si="643"/>
        <v/>
      </c>
      <c r="CQ165" s="1142" t="str">
        <f t="shared" si="644"/>
        <v/>
      </c>
      <c r="CR165" s="1142" t="str">
        <f t="shared" si="645"/>
        <v/>
      </c>
      <c r="CS165" s="1141" t="str">
        <f t="shared" si="646"/>
        <v/>
      </c>
      <c r="CT165" s="1144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28" t="str">
        <f t="shared" si="631"/>
        <v/>
      </c>
      <c r="CE166" s="1129" t="str">
        <f t="shared" si="632"/>
        <v/>
      </c>
      <c r="CF166" s="1130" t="str">
        <f t="shared" si="633"/>
        <v/>
      </c>
      <c r="CG166" s="1130" t="str">
        <f t="shared" si="634"/>
        <v/>
      </c>
      <c r="CH166" s="1130" t="str">
        <f t="shared" si="635"/>
        <v/>
      </c>
      <c r="CI166" s="1130" t="str">
        <f t="shared" si="636"/>
        <v/>
      </c>
      <c r="CJ166" s="1130" t="str">
        <f t="shared" si="637"/>
        <v/>
      </c>
      <c r="CK166" s="1131" t="str">
        <f t="shared" si="638"/>
        <v/>
      </c>
      <c r="CL166" s="1131" t="str">
        <f t="shared" si="639"/>
        <v/>
      </c>
      <c r="CM166" s="1131" t="str">
        <f t="shared" si="640"/>
        <v/>
      </c>
      <c r="CN166" s="1130" t="str">
        <f t="shared" si="641"/>
        <v/>
      </c>
      <c r="CO166" s="1130" t="str">
        <f t="shared" si="642"/>
        <v/>
      </c>
      <c r="CP166" s="1130" t="str">
        <f t="shared" si="643"/>
        <v/>
      </c>
      <c r="CQ166" s="1130" t="str">
        <f t="shared" si="644"/>
        <v/>
      </c>
      <c r="CR166" s="1130" t="str">
        <f t="shared" si="645"/>
        <v/>
      </c>
      <c r="CS166" s="1129" t="str">
        <f t="shared" si="646"/>
        <v/>
      </c>
      <c r="CT166" s="1132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40" t="str">
        <f t="shared" si="631"/>
        <v/>
      </c>
      <c r="CE167" s="1141" t="str">
        <f t="shared" si="632"/>
        <v/>
      </c>
      <c r="CF167" s="1142" t="str">
        <f t="shared" si="633"/>
        <v/>
      </c>
      <c r="CG167" s="1142" t="str">
        <f t="shared" si="634"/>
        <v/>
      </c>
      <c r="CH167" s="1142" t="str">
        <f t="shared" si="635"/>
        <v/>
      </c>
      <c r="CI167" s="1142" t="str">
        <f t="shared" si="636"/>
        <v/>
      </c>
      <c r="CJ167" s="1142" t="str">
        <f t="shared" si="637"/>
        <v/>
      </c>
      <c r="CK167" s="1143" t="str">
        <f t="shared" si="638"/>
        <v/>
      </c>
      <c r="CL167" s="1143" t="str">
        <f t="shared" si="639"/>
        <v/>
      </c>
      <c r="CM167" s="1143" t="str">
        <f t="shared" si="640"/>
        <v/>
      </c>
      <c r="CN167" s="1142" t="str">
        <f t="shared" si="641"/>
        <v/>
      </c>
      <c r="CO167" s="1142" t="str">
        <f t="shared" si="642"/>
        <v/>
      </c>
      <c r="CP167" s="1142" t="str">
        <f t="shared" si="643"/>
        <v/>
      </c>
      <c r="CQ167" s="1142" t="str">
        <f t="shared" si="644"/>
        <v/>
      </c>
      <c r="CR167" s="1142" t="str">
        <f t="shared" si="645"/>
        <v/>
      </c>
      <c r="CS167" s="1141" t="str">
        <f t="shared" si="646"/>
        <v/>
      </c>
      <c r="CT167" s="1144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40" t="str">
        <f t="shared" si="631"/>
        <v/>
      </c>
      <c r="CE168" s="1141" t="str">
        <f t="shared" si="632"/>
        <v/>
      </c>
      <c r="CF168" s="1142" t="str">
        <f t="shared" si="633"/>
        <v/>
      </c>
      <c r="CG168" s="1142" t="str">
        <f t="shared" si="634"/>
        <v/>
      </c>
      <c r="CH168" s="1142" t="str">
        <f t="shared" si="635"/>
        <v/>
      </c>
      <c r="CI168" s="1142" t="str">
        <f t="shared" si="636"/>
        <v/>
      </c>
      <c r="CJ168" s="1142" t="str">
        <f t="shared" si="637"/>
        <v/>
      </c>
      <c r="CK168" s="1143" t="str">
        <f t="shared" si="638"/>
        <v/>
      </c>
      <c r="CL168" s="1143" t="str">
        <f t="shared" si="639"/>
        <v/>
      </c>
      <c r="CM168" s="1143" t="str">
        <f t="shared" si="640"/>
        <v/>
      </c>
      <c r="CN168" s="1142" t="str">
        <f t="shared" si="641"/>
        <v/>
      </c>
      <c r="CO168" s="1142" t="str">
        <f t="shared" si="642"/>
        <v/>
      </c>
      <c r="CP168" s="1142" t="str">
        <f t="shared" si="643"/>
        <v/>
      </c>
      <c r="CQ168" s="1142" t="str">
        <f t="shared" si="644"/>
        <v/>
      </c>
      <c r="CR168" s="1142" t="str">
        <f t="shared" si="645"/>
        <v/>
      </c>
      <c r="CS168" s="1141" t="str">
        <f t="shared" si="646"/>
        <v/>
      </c>
      <c r="CT168" s="1144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40" t="str">
        <f t="shared" si="631"/>
        <v/>
      </c>
      <c r="CE169" s="1141" t="str">
        <f t="shared" si="632"/>
        <v/>
      </c>
      <c r="CF169" s="1142" t="str">
        <f t="shared" si="633"/>
        <v/>
      </c>
      <c r="CG169" s="1142" t="str">
        <f t="shared" si="634"/>
        <v/>
      </c>
      <c r="CH169" s="1142" t="str">
        <f t="shared" si="635"/>
        <v/>
      </c>
      <c r="CI169" s="1142" t="str">
        <f t="shared" si="636"/>
        <v/>
      </c>
      <c r="CJ169" s="1142" t="str">
        <f t="shared" si="637"/>
        <v/>
      </c>
      <c r="CK169" s="1143" t="str">
        <f t="shared" si="638"/>
        <v/>
      </c>
      <c r="CL169" s="1143" t="str">
        <f t="shared" si="639"/>
        <v/>
      </c>
      <c r="CM169" s="1143" t="str">
        <f t="shared" si="640"/>
        <v/>
      </c>
      <c r="CN169" s="1142" t="str">
        <f t="shared" si="641"/>
        <v/>
      </c>
      <c r="CO169" s="1142" t="str">
        <f t="shared" si="642"/>
        <v/>
      </c>
      <c r="CP169" s="1142" t="str">
        <f t="shared" si="643"/>
        <v/>
      </c>
      <c r="CQ169" s="1142" t="str">
        <f t="shared" si="644"/>
        <v/>
      </c>
      <c r="CR169" s="1142" t="str">
        <f t="shared" si="645"/>
        <v/>
      </c>
      <c r="CS169" s="1141" t="str">
        <f t="shared" si="646"/>
        <v/>
      </c>
      <c r="CT169" s="1144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40" t="str">
        <f t="shared" si="631"/>
        <v/>
      </c>
      <c r="CE170" s="1141" t="str">
        <f t="shared" si="632"/>
        <v/>
      </c>
      <c r="CF170" s="1142" t="str">
        <f t="shared" si="633"/>
        <v/>
      </c>
      <c r="CG170" s="1142" t="str">
        <f t="shared" si="634"/>
        <v/>
      </c>
      <c r="CH170" s="1142" t="str">
        <f t="shared" si="635"/>
        <v/>
      </c>
      <c r="CI170" s="1142" t="str">
        <f t="shared" si="636"/>
        <v/>
      </c>
      <c r="CJ170" s="1142" t="str">
        <f t="shared" si="637"/>
        <v/>
      </c>
      <c r="CK170" s="1143" t="str">
        <f t="shared" si="638"/>
        <v/>
      </c>
      <c r="CL170" s="1143" t="str">
        <f t="shared" si="639"/>
        <v/>
      </c>
      <c r="CM170" s="1143" t="str">
        <f t="shared" si="640"/>
        <v/>
      </c>
      <c r="CN170" s="1142" t="str">
        <f t="shared" si="641"/>
        <v/>
      </c>
      <c r="CO170" s="1142" t="str">
        <f t="shared" si="642"/>
        <v/>
      </c>
      <c r="CP170" s="1142" t="str">
        <f t="shared" si="643"/>
        <v/>
      </c>
      <c r="CQ170" s="1142" t="str">
        <f t="shared" si="644"/>
        <v/>
      </c>
      <c r="CR170" s="1142" t="str">
        <f t="shared" si="645"/>
        <v/>
      </c>
      <c r="CS170" s="1141" t="str">
        <f t="shared" si="646"/>
        <v/>
      </c>
      <c r="CT170" s="1144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40" t="str">
        <f t="shared" si="631"/>
        <v/>
      </c>
      <c r="CE171" s="1141" t="str">
        <f t="shared" si="632"/>
        <v/>
      </c>
      <c r="CF171" s="1142" t="str">
        <f t="shared" si="633"/>
        <v/>
      </c>
      <c r="CG171" s="1142" t="str">
        <f t="shared" si="634"/>
        <v/>
      </c>
      <c r="CH171" s="1142" t="str">
        <f t="shared" si="635"/>
        <v/>
      </c>
      <c r="CI171" s="1142" t="str">
        <f t="shared" si="636"/>
        <v/>
      </c>
      <c r="CJ171" s="1142" t="str">
        <f t="shared" si="637"/>
        <v/>
      </c>
      <c r="CK171" s="1143" t="str">
        <f t="shared" si="638"/>
        <v/>
      </c>
      <c r="CL171" s="1143" t="str">
        <f t="shared" si="639"/>
        <v/>
      </c>
      <c r="CM171" s="1143" t="str">
        <f t="shared" si="640"/>
        <v/>
      </c>
      <c r="CN171" s="1142" t="str">
        <f t="shared" si="641"/>
        <v/>
      </c>
      <c r="CO171" s="1142" t="str">
        <f t="shared" si="642"/>
        <v/>
      </c>
      <c r="CP171" s="1142" t="str">
        <f t="shared" si="643"/>
        <v/>
      </c>
      <c r="CQ171" s="1142" t="str">
        <f t="shared" si="644"/>
        <v/>
      </c>
      <c r="CR171" s="1142" t="str">
        <f t="shared" si="645"/>
        <v/>
      </c>
      <c r="CS171" s="1141" t="str">
        <f t="shared" si="646"/>
        <v/>
      </c>
      <c r="CT171" s="1144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28" t="str">
        <f t="shared" si="631"/>
        <v/>
      </c>
      <c r="CE172" s="1129" t="str">
        <f t="shared" si="632"/>
        <v/>
      </c>
      <c r="CF172" s="1130" t="str">
        <f t="shared" si="633"/>
        <v/>
      </c>
      <c r="CG172" s="1130" t="str">
        <f t="shared" si="634"/>
        <v/>
      </c>
      <c r="CH172" s="1130" t="str">
        <f t="shared" si="635"/>
        <v/>
      </c>
      <c r="CI172" s="1130" t="str">
        <f t="shared" si="636"/>
        <v/>
      </c>
      <c r="CJ172" s="1130" t="str">
        <f t="shared" si="637"/>
        <v/>
      </c>
      <c r="CK172" s="1131" t="str">
        <f t="shared" si="638"/>
        <v/>
      </c>
      <c r="CL172" s="1131" t="str">
        <f t="shared" si="639"/>
        <v/>
      </c>
      <c r="CM172" s="1131" t="str">
        <f t="shared" si="640"/>
        <v/>
      </c>
      <c r="CN172" s="1130" t="str">
        <f t="shared" si="641"/>
        <v/>
      </c>
      <c r="CO172" s="1130" t="str">
        <f t="shared" si="642"/>
        <v/>
      </c>
      <c r="CP172" s="1130" t="str">
        <f t="shared" si="643"/>
        <v/>
      </c>
      <c r="CQ172" s="1130" t="str">
        <f t="shared" si="644"/>
        <v/>
      </c>
      <c r="CR172" s="1130" t="str">
        <f t="shared" si="645"/>
        <v/>
      </c>
      <c r="CS172" s="1129" t="str">
        <f t="shared" si="646"/>
        <v/>
      </c>
      <c r="CT172" s="1132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28" t="str">
        <f t="shared" si="631"/>
        <v/>
      </c>
      <c r="CE173" s="1129" t="str">
        <f t="shared" si="632"/>
        <v/>
      </c>
      <c r="CF173" s="1130" t="str">
        <f t="shared" si="633"/>
        <v/>
      </c>
      <c r="CG173" s="1130" t="str">
        <f t="shared" si="634"/>
        <v/>
      </c>
      <c r="CH173" s="1130" t="str">
        <f t="shared" si="635"/>
        <v/>
      </c>
      <c r="CI173" s="1130" t="str">
        <f t="shared" si="636"/>
        <v/>
      </c>
      <c r="CJ173" s="1130" t="str">
        <f t="shared" si="637"/>
        <v/>
      </c>
      <c r="CK173" s="1131" t="str">
        <f t="shared" si="638"/>
        <v/>
      </c>
      <c r="CL173" s="1131" t="str">
        <f t="shared" si="639"/>
        <v/>
      </c>
      <c r="CM173" s="1131" t="str">
        <f t="shared" si="640"/>
        <v/>
      </c>
      <c r="CN173" s="1130" t="str">
        <f t="shared" si="641"/>
        <v/>
      </c>
      <c r="CO173" s="1130" t="str">
        <f t="shared" si="642"/>
        <v/>
      </c>
      <c r="CP173" s="1130" t="str">
        <f t="shared" si="643"/>
        <v/>
      </c>
      <c r="CQ173" s="1130" t="str">
        <f t="shared" si="644"/>
        <v/>
      </c>
      <c r="CR173" s="1130" t="str">
        <f t="shared" si="645"/>
        <v/>
      </c>
      <c r="CS173" s="1129" t="str">
        <f t="shared" si="646"/>
        <v/>
      </c>
      <c r="CT173" s="1132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28" t="str">
        <f t="shared" si="631"/>
        <v/>
      </c>
      <c r="CE174" s="1129" t="str">
        <f t="shared" si="632"/>
        <v/>
      </c>
      <c r="CF174" s="1130" t="str">
        <f t="shared" si="633"/>
        <v/>
      </c>
      <c r="CG174" s="1130" t="str">
        <f t="shared" si="634"/>
        <v/>
      </c>
      <c r="CH174" s="1130" t="str">
        <f t="shared" si="635"/>
        <v/>
      </c>
      <c r="CI174" s="1130" t="str">
        <f t="shared" si="636"/>
        <v/>
      </c>
      <c r="CJ174" s="1130" t="str">
        <f t="shared" si="637"/>
        <v/>
      </c>
      <c r="CK174" s="1131" t="str">
        <f t="shared" si="638"/>
        <v/>
      </c>
      <c r="CL174" s="1131" t="str">
        <f t="shared" si="639"/>
        <v/>
      </c>
      <c r="CM174" s="1131" t="str">
        <f t="shared" si="640"/>
        <v/>
      </c>
      <c r="CN174" s="1130" t="str">
        <f t="shared" si="641"/>
        <v/>
      </c>
      <c r="CO174" s="1130" t="str">
        <f t="shared" si="642"/>
        <v/>
      </c>
      <c r="CP174" s="1130" t="str">
        <f t="shared" si="643"/>
        <v/>
      </c>
      <c r="CQ174" s="1130" t="str">
        <f t="shared" si="644"/>
        <v/>
      </c>
      <c r="CR174" s="1130" t="str">
        <f t="shared" si="645"/>
        <v/>
      </c>
      <c r="CS174" s="1129" t="str">
        <f t="shared" si="646"/>
        <v/>
      </c>
      <c r="CT174" s="1132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40" t="str">
        <f t="shared" si="631"/>
        <v/>
      </c>
      <c r="CE175" s="1141" t="str">
        <f t="shared" si="632"/>
        <v/>
      </c>
      <c r="CF175" s="1142" t="str">
        <f t="shared" si="633"/>
        <v/>
      </c>
      <c r="CG175" s="1142" t="str">
        <f t="shared" si="634"/>
        <v/>
      </c>
      <c r="CH175" s="1142" t="str">
        <f t="shared" si="635"/>
        <v/>
      </c>
      <c r="CI175" s="1142" t="str">
        <f t="shared" si="636"/>
        <v/>
      </c>
      <c r="CJ175" s="1142" t="str">
        <f t="shared" si="637"/>
        <v/>
      </c>
      <c r="CK175" s="1143" t="str">
        <f t="shared" si="638"/>
        <v/>
      </c>
      <c r="CL175" s="1143" t="str">
        <f t="shared" si="639"/>
        <v/>
      </c>
      <c r="CM175" s="1143" t="str">
        <f t="shared" si="640"/>
        <v/>
      </c>
      <c r="CN175" s="1142" t="str">
        <f t="shared" si="641"/>
        <v/>
      </c>
      <c r="CO175" s="1142" t="str">
        <f t="shared" si="642"/>
        <v/>
      </c>
      <c r="CP175" s="1142" t="str">
        <f t="shared" si="643"/>
        <v/>
      </c>
      <c r="CQ175" s="1142" t="str">
        <f t="shared" si="644"/>
        <v/>
      </c>
      <c r="CR175" s="1142" t="str">
        <f t="shared" si="645"/>
        <v/>
      </c>
      <c r="CS175" s="1141" t="str">
        <f t="shared" si="646"/>
        <v/>
      </c>
      <c r="CT175" s="1144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40" t="str">
        <f t="shared" si="631"/>
        <v/>
      </c>
      <c r="CE176" s="1141" t="str">
        <f t="shared" si="632"/>
        <v/>
      </c>
      <c r="CF176" s="1142" t="str">
        <f t="shared" si="633"/>
        <v/>
      </c>
      <c r="CG176" s="1142" t="str">
        <f t="shared" si="634"/>
        <v/>
      </c>
      <c r="CH176" s="1142" t="str">
        <f t="shared" si="635"/>
        <v/>
      </c>
      <c r="CI176" s="1142" t="str">
        <f t="shared" si="636"/>
        <v/>
      </c>
      <c r="CJ176" s="1142" t="str">
        <f t="shared" si="637"/>
        <v/>
      </c>
      <c r="CK176" s="1143" t="str">
        <f t="shared" si="638"/>
        <v/>
      </c>
      <c r="CL176" s="1143" t="str">
        <f t="shared" si="639"/>
        <v/>
      </c>
      <c r="CM176" s="1143" t="str">
        <f t="shared" si="640"/>
        <v/>
      </c>
      <c r="CN176" s="1142" t="str">
        <f t="shared" si="641"/>
        <v/>
      </c>
      <c r="CO176" s="1142" t="str">
        <f t="shared" si="642"/>
        <v/>
      </c>
      <c r="CP176" s="1142" t="str">
        <f t="shared" si="643"/>
        <v/>
      </c>
      <c r="CQ176" s="1142" t="str">
        <f t="shared" si="644"/>
        <v/>
      </c>
      <c r="CR176" s="1142" t="str">
        <f t="shared" si="645"/>
        <v/>
      </c>
      <c r="CS176" s="1141" t="str">
        <f t="shared" si="646"/>
        <v/>
      </c>
      <c r="CT176" s="1144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8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28" t="str">
        <f t="shared" si="631"/>
        <v/>
      </c>
      <c r="CE177" s="1129" t="str">
        <f t="shared" si="632"/>
        <v/>
      </c>
      <c r="CF177" s="1130" t="str">
        <f t="shared" si="633"/>
        <v/>
      </c>
      <c r="CG177" s="1130" t="str">
        <f t="shared" si="634"/>
        <v/>
      </c>
      <c r="CH177" s="1130" t="str">
        <f t="shared" si="635"/>
        <v/>
      </c>
      <c r="CI177" s="1130" t="str">
        <f t="shared" si="636"/>
        <v/>
      </c>
      <c r="CJ177" s="1130" t="str">
        <f t="shared" si="637"/>
        <v/>
      </c>
      <c r="CK177" s="1131" t="str">
        <f t="shared" si="638"/>
        <v/>
      </c>
      <c r="CL177" s="1131" t="str">
        <f t="shared" si="639"/>
        <v/>
      </c>
      <c r="CM177" s="1131" t="str">
        <f t="shared" si="640"/>
        <v/>
      </c>
      <c r="CN177" s="1130" t="str">
        <f t="shared" si="641"/>
        <v/>
      </c>
      <c r="CO177" s="1130" t="str">
        <f t="shared" si="642"/>
        <v/>
      </c>
      <c r="CP177" s="1130" t="str">
        <f t="shared" si="643"/>
        <v/>
      </c>
      <c r="CQ177" s="1130" t="str">
        <f t="shared" si="644"/>
        <v/>
      </c>
      <c r="CR177" s="1130" t="str">
        <f t="shared" si="645"/>
        <v/>
      </c>
      <c r="CS177" s="1129" t="str">
        <f t="shared" si="646"/>
        <v/>
      </c>
      <c r="CT177" s="1132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09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0">
        <f t="shared" si="761"/>
        <v>0</v>
      </c>
      <c r="CF178" s="1111">
        <f t="shared" si="761"/>
        <v>0</v>
      </c>
      <c r="CG178" s="1111">
        <f t="shared" si="761"/>
        <v>0</v>
      </c>
      <c r="CH178" s="1111">
        <f t="shared" si="761"/>
        <v>0</v>
      </c>
      <c r="CI178" s="1111">
        <f t="shared" si="761"/>
        <v>0</v>
      </c>
      <c r="CJ178" s="1111">
        <f t="shared" si="761"/>
        <v>0</v>
      </c>
      <c r="CK178" s="1112">
        <f t="shared" si="761"/>
        <v>0</v>
      </c>
      <c r="CL178" s="1112">
        <f t="shared" si="761"/>
        <v>0</v>
      </c>
      <c r="CM178" s="1112">
        <f t="shared" si="761"/>
        <v>0</v>
      </c>
      <c r="CN178" s="1111">
        <f t="shared" si="761"/>
        <v>0</v>
      </c>
      <c r="CO178" s="1111">
        <f t="shared" si="761"/>
        <v>0</v>
      </c>
      <c r="CP178" s="1111">
        <f t="shared" si="761"/>
        <v>0</v>
      </c>
      <c r="CQ178" s="1111">
        <f t="shared" si="761"/>
        <v>0</v>
      </c>
      <c r="CR178" s="1111">
        <f t="shared" si="761"/>
        <v>0</v>
      </c>
      <c r="CS178" s="1110">
        <f t="shared" si="761"/>
        <v>0</v>
      </c>
      <c r="CT178" s="111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09">
        <f t="shared" si="761"/>
        <v>150</v>
      </c>
      <c r="CE179" s="1110">
        <f t="shared" si="761"/>
        <v>150</v>
      </c>
      <c r="CF179" s="1111">
        <f t="shared" si="761"/>
        <v>150</v>
      </c>
      <c r="CG179" s="1111">
        <f t="shared" si="761"/>
        <v>150</v>
      </c>
      <c r="CH179" s="1111">
        <f t="shared" si="761"/>
        <v>150</v>
      </c>
      <c r="CI179" s="1111">
        <f t="shared" si="761"/>
        <v>150</v>
      </c>
      <c r="CJ179" s="1111">
        <f t="shared" si="761"/>
        <v>150</v>
      </c>
      <c r="CK179" s="1112">
        <f t="shared" si="761"/>
        <v>150</v>
      </c>
      <c r="CL179" s="1112">
        <f t="shared" si="761"/>
        <v>150</v>
      </c>
      <c r="CM179" s="1112">
        <f t="shared" si="761"/>
        <v>150</v>
      </c>
      <c r="CN179" s="1111">
        <f t="shared" si="761"/>
        <v>150</v>
      </c>
      <c r="CO179" s="1111">
        <f t="shared" si="761"/>
        <v>150</v>
      </c>
      <c r="CP179" s="1111">
        <f t="shared" si="761"/>
        <v>150</v>
      </c>
      <c r="CQ179" s="1111">
        <f t="shared" si="761"/>
        <v>150</v>
      </c>
      <c r="CR179" s="1111">
        <f t="shared" si="761"/>
        <v>150</v>
      </c>
      <c r="CS179" s="1110">
        <f t="shared" si="761"/>
        <v>150</v>
      </c>
      <c r="CT179" s="111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8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5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6" t="str">
        <f t="shared" si="770"/>
        <v/>
      </c>
      <c r="CG180" s="1116" t="str">
        <f t="shared" si="770"/>
        <v/>
      </c>
      <c r="CH180" s="1116">
        <f t="shared" si="770"/>
        <v>0</v>
      </c>
      <c r="CI180" s="1116">
        <f t="shared" si="770"/>
        <v>0</v>
      </c>
      <c r="CJ180" s="1116">
        <f t="shared" si="770"/>
        <v>0</v>
      </c>
      <c r="CK180" s="1117">
        <f t="shared" si="770"/>
        <v>0</v>
      </c>
      <c r="CL180" s="1117">
        <f t="shared" si="770"/>
        <v>0</v>
      </c>
      <c r="CM180" s="1117">
        <f t="shared" si="770"/>
        <v>0</v>
      </c>
      <c r="CN180" s="1116">
        <f t="shared" si="770"/>
        <v>0</v>
      </c>
      <c r="CO180" s="1116">
        <f t="shared" si="770"/>
        <v>0</v>
      </c>
      <c r="CP180" s="1116">
        <f t="shared" si="770"/>
        <v>0</v>
      </c>
      <c r="CQ180" s="1116" t="str">
        <f t="shared" si="770"/>
        <v/>
      </c>
      <c r="CR180" s="1116" t="str">
        <f t="shared" si="770"/>
        <v/>
      </c>
      <c r="CS180" s="1115" t="str">
        <f t="shared" si="770"/>
        <v/>
      </c>
      <c r="CT180" s="1118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770"/>
        <v>0</v>
      </c>
      <c r="CF181" s="1111">
        <f t="shared" si="770"/>
        <v>0</v>
      </c>
      <c r="CG181" s="1111">
        <f t="shared" si="770"/>
        <v>0</v>
      </c>
      <c r="CH181" s="1111">
        <f t="shared" si="770"/>
        <v>0</v>
      </c>
      <c r="CI181" s="1111">
        <f t="shared" si="770"/>
        <v>0</v>
      </c>
      <c r="CJ181" s="1111">
        <f t="shared" si="770"/>
        <v>0</v>
      </c>
      <c r="CK181" s="1112">
        <f t="shared" si="770"/>
        <v>0</v>
      </c>
      <c r="CL181" s="1112">
        <f t="shared" si="770"/>
        <v>0</v>
      </c>
      <c r="CM181" s="1112">
        <f t="shared" si="770"/>
        <v>0</v>
      </c>
      <c r="CN181" s="1111">
        <f t="shared" si="770"/>
        <v>0</v>
      </c>
      <c r="CO181" s="1111">
        <f t="shared" si="770"/>
        <v>0</v>
      </c>
      <c r="CP181" s="1111">
        <f t="shared" si="770"/>
        <v>0</v>
      </c>
      <c r="CQ181" s="1111">
        <f t="shared" si="770"/>
        <v>0</v>
      </c>
      <c r="CR181" s="1111">
        <f t="shared" si="770"/>
        <v>0</v>
      </c>
      <c r="CS181" s="1110">
        <f t="shared" si="770"/>
        <v>0</v>
      </c>
      <c r="CT181" s="1113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770"/>
        <v>25</v>
      </c>
      <c r="CF182" s="1111">
        <f t="shared" si="770"/>
        <v>25</v>
      </c>
      <c r="CG182" s="1111">
        <f t="shared" si="770"/>
        <v>25</v>
      </c>
      <c r="CH182" s="1111">
        <f t="shared" si="770"/>
        <v>25</v>
      </c>
      <c r="CI182" s="1111">
        <f t="shared" si="770"/>
        <v>25</v>
      </c>
      <c r="CJ182" s="1111">
        <f t="shared" si="770"/>
        <v>25</v>
      </c>
      <c r="CK182" s="1112">
        <f t="shared" si="770"/>
        <v>25</v>
      </c>
      <c r="CL182" s="1112">
        <f t="shared" si="770"/>
        <v>25</v>
      </c>
      <c r="CM182" s="1112">
        <f t="shared" si="770"/>
        <v>25</v>
      </c>
      <c r="CN182" s="1111">
        <f t="shared" si="770"/>
        <v>25</v>
      </c>
      <c r="CO182" s="1111">
        <f t="shared" si="770"/>
        <v>25</v>
      </c>
      <c r="CP182" s="1111">
        <f t="shared" si="770"/>
        <v>25</v>
      </c>
      <c r="CQ182" s="1111">
        <f t="shared" si="770"/>
        <v>25</v>
      </c>
      <c r="CR182" s="1111">
        <f t="shared" si="770"/>
        <v>25</v>
      </c>
      <c r="CS182" s="1110">
        <f t="shared" si="770"/>
        <v>25</v>
      </c>
      <c r="CT182" s="1113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5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6" t="str">
        <f t="shared" si="779"/>
        <v/>
      </c>
      <c r="CG183" s="1116" t="str">
        <f t="shared" si="779"/>
        <v/>
      </c>
      <c r="CH183" s="1116">
        <f t="shared" si="779"/>
        <v>0</v>
      </c>
      <c r="CI183" s="1116">
        <f t="shared" si="779"/>
        <v>0</v>
      </c>
      <c r="CJ183" s="1116">
        <f t="shared" si="779"/>
        <v>0</v>
      </c>
      <c r="CK183" s="1117">
        <f t="shared" si="779"/>
        <v>0</v>
      </c>
      <c r="CL183" s="1117">
        <f t="shared" si="779"/>
        <v>0</v>
      </c>
      <c r="CM183" s="1117">
        <f t="shared" si="779"/>
        <v>0</v>
      </c>
      <c r="CN183" s="1116">
        <f t="shared" si="779"/>
        <v>0</v>
      </c>
      <c r="CO183" s="1116">
        <f t="shared" si="779"/>
        <v>0</v>
      </c>
      <c r="CP183" s="1116">
        <f t="shared" si="779"/>
        <v>0</v>
      </c>
      <c r="CQ183" s="1116" t="str">
        <f t="shared" si="779"/>
        <v/>
      </c>
      <c r="CR183" s="1116" t="str">
        <f t="shared" si="779"/>
        <v/>
      </c>
      <c r="CS183" s="1115" t="str">
        <f t="shared" si="779"/>
        <v/>
      </c>
      <c r="CT183" s="1118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09" t="str">
        <f t="shared" si="631"/>
        <v/>
      </c>
      <c r="CE184" s="1110" t="str">
        <f t="shared" si="632"/>
        <v/>
      </c>
      <c r="CF184" s="1111" t="str">
        <f t="shared" si="633"/>
        <v/>
      </c>
      <c r="CG184" s="1111" t="str">
        <f t="shared" si="634"/>
        <v/>
      </c>
      <c r="CH184" s="1111" t="str">
        <f t="shared" si="635"/>
        <v/>
      </c>
      <c r="CI184" s="1111" t="str">
        <f t="shared" si="636"/>
        <v/>
      </c>
      <c r="CJ184" s="1111" t="str">
        <f t="shared" si="637"/>
        <v/>
      </c>
      <c r="CK184" s="1112" t="str">
        <f t="shared" si="638"/>
        <v/>
      </c>
      <c r="CL184" s="1112" t="str">
        <f t="shared" si="639"/>
        <v/>
      </c>
      <c r="CM184" s="1112" t="str">
        <f t="shared" si="640"/>
        <v/>
      </c>
      <c r="CN184" s="1111" t="str">
        <f t="shared" si="641"/>
        <v/>
      </c>
      <c r="CO184" s="1111" t="str">
        <f t="shared" si="642"/>
        <v/>
      </c>
      <c r="CP184" s="1111" t="str">
        <f t="shared" si="643"/>
        <v/>
      </c>
      <c r="CQ184" s="1111" t="str">
        <f t="shared" si="644"/>
        <v/>
      </c>
      <c r="CR184" s="1111" t="str">
        <f t="shared" si="645"/>
        <v/>
      </c>
      <c r="CS184" s="1110" t="str">
        <f t="shared" si="646"/>
        <v/>
      </c>
      <c r="CT184" s="1113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09" t="str">
        <f t="shared" si="631"/>
        <v/>
      </c>
      <c r="CE185" s="1110" t="str">
        <f t="shared" si="632"/>
        <v/>
      </c>
      <c r="CF185" s="1111" t="str">
        <f t="shared" si="633"/>
        <v/>
      </c>
      <c r="CG185" s="1111" t="str">
        <f t="shared" si="634"/>
        <v/>
      </c>
      <c r="CH185" s="1111" t="str">
        <f t="shared" si="635"/>
        <v/>
      </c>
      <c r="CI185" s="1111" t="str">
        <f t="shared" si="636"/>
        <v/>
      </c>
      <c r="CJ185" s="1111" t="str">
        <f t="shared" si="637"/>
        <v/>
      </c>
      <c r="CK185" s="1112" t="str">
        <f t="shared" si="638"/>
        <v/>
      </c>
      <c r="CL185" s="1112" t="str">
        <f t="shared" si="639"/>
        <v/>
      </c>
      <c r="CM185" s="1112" t="str">
        <f t="shared" si="640"/>
        <v/>
      </c>
      <c r="CN185" s="1111" t="str">
        <f t="shared" si="641"/>
        <v/>
      </c>
      <c r="CO185" s="1111" t="str">
        <f t="shared" si="642"/>
        <v/>
      </c>
      <c r="CP185" s="1111" t="str">
        <f t="shared" si="643"/>
        <v/>
      </c>
      <c r="CQ185" s="1111" t="str">
        <f t="shared" si="644"/>
        <v/>
      </c>
      <c r="CR185" s="1111" t="str">
        <f t="shared" si="645"/>
        <v/>
      </c>
      <c r="CS185" s="1110" t="str">
        <f t="shared" si="646"/>
        <v/>
      </c>
      <c r="CT185" s="1113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09" t="str">
        <f t="shared" si="631"/>
        <v/>
      </c>
      <c r="CE186" s="1110" t="str">
        <f t="shared" si="632"/>
        <v/>
      </c>
      <c r="CF186" s="1111" t="str">
        <f t="shared" si="633"/>
        <v/>
      </c>
      <c r="CG186" s="1111" t="str">
        <f t="shared" si="634"/>
        <v/>
      </c>
      <c r="CH186" s="1111" t="str">
        <f t="shared" si="635"/>
        <v/>
      </c>
      <c r="CI186" s="1111" t="str">
        <f t="shared" si="636"/>
        <v/>
      </c>
      <c r="CJ186" s="1111" t="str">
        <f t="shared" si="637"/>
        <v/>
      </c>
      <c r="CK186" s="1112" t="str">
        <f t="shared" si="638"/>
        <v/>
      </c>
      <c r="CL186" s="1112" t="str">
        <f t="shared" si="639"/>
        <v/>
      </c>
      <c r="CM186" s="1112" t="str">
        <f t="shared" si="640"/>
        <v/>
      </c>
      <c r="CN186" s="1111" t="str">
        <f t="shared" si="641"/>
        <v/>
      </c>
      <c r="CO186" s="1111" t="str">
        <f t="shared" si="642"/>
        <v/>
      </c>
      <c r="CP186" s="1111" t="str">
        <f t="shared" si="643"/>
        <v/>
      </c>
      <c r="CQ186" s="1111" t="str">
        <f t="shared" si="644"/>
        <v/>
      </c>
      <c r="CR186" s="1111" t="str">
        <f t="shared" si="645"/>
        <v/>
      </c>
      <c r="CS186" s="1110" t="str">
        <f t="shared" si="646"/>
        <v/>
      </c>
      <c r="CT186" s="1113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9"/>
      <c r="BW187" s="1270"/>
      <c r="BX187" s="1270"/>
      <c r="BY187" s="1270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09" t="str">
        <f t="shared" si="631"/>
        <v/>
      </c>
      <c r="CE187" s="1110" t="str">
        <f t="shared" si="632"/>
        <v/>
      </c>
      <c r="CF187" s="1111" t="str">
        <f t="shared" si="633"/>
        <v/>
      </c>
      <c r="CG187" s="1111" t="str">
        <f t="shared" si="634"/>
        <v/>
      </c>
      <c r="CH187" s="1111" t="str">
        <f t="shared" si="635"/>
        <v/>
      </c>
      <c r="CI187" s="1111" t="str">
        <f t="shared" si="636"/>
        <v/>
      </c>
      <c r="CJ187" s="1111" t="str">
        <f t="shared" si="637"/>
        <v/>
      </c>
      <c r="CK187" s="1112" t="str">
        <f t="shared" si="638"/>
        <v/>
      </c>
      <c r="CL187" s="1112" t="str">
        <f t="shared" si="639"/>
        <v/>
      </c>
      <c r="CM187" s="1112" t="str">
        <f t="shared" si="640"/>
        <v/>
      </c>
      <c r="CN187" s="1111" t="str">
        <f t="shared" si="641"/>
        <v/>
      </c>
      <c r="CO187" s="1111" t="str">
        <f t="shared" si="642"/>
        <v/>
      </c>
      <c r="CP187" s="1111" t="str">
        <f t="shared" si="643"/>
        <v/>
      </c>
      <c r="CQ187" s="1111" t="str">
        <f t="shared" si="644"/>
        <v/>
      </c>
      <c r="CR187" s="1111" t="str">
        <f t="shared" si="645"/>
        <v/>
      </c>
      <c r="CS187" s="1110" t="str">
        <f t="shared" si="646"/>
        <v/>
      </c>
      <c r="CT187" s="1113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1"/>
      <c r="BW188" s="1272"/>
      <c r="BX188" s="1272"/>
      <c r="BY188" s="1272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09" t="str">
        <f t="shared" si="631"/>
        <v/>
      </c>
      <c r="CE188" s="1110" t="str">
        <f t="shared" si="632"/>
        <v/>
      </c>
      <c r="CF188" s="1111" t="str">
        <f t="shared" si="633"/>
        <v/>
      </c>
      <c r="CG188" s="1111" t="str">
        <f t="shared" si="634"/>
        <v/>
      </c>
      <c r="CH188" s="1111" t="str">
        <f t="shared" si="635"/>
        <v/>
      </c>
      <c r="CI188" s="1111" t="str">
        <f t="shared" si="636"/>
        <v/>
      </c>
      <c r="CJ188" s="1111" t="str">
        <f t="shared" si="637"/>
        <v/>
      </c>
      <c r="CK188" s="1112" t="str">
        <f t="shared" si="638"/>
        <v/>
      </c>
      <c r="CL188" s="1112" t="str">
        <f t="shared" si="639"/>
        <v/>
      </c>
      <c r="CM188" s="1112" t="str">
        <f t="shared" si="640"/>
        <v/>
      </c>
      <c r="CN188" s="1111" t="str">
        <f t="shared" si="641"/>
        <v/>
      </c>
      <c r="CO188" s="1111" t="str">
        <f t="shared" si="642"/>
        <v/>
      </c>
      <c r="CP188" s="1111" t="str">
        <f t="shared" si="643"/>
        <v/>
      </c>
      <c r="CQ188" s="1111" t="str">
        <f t="shared" si="644"/>
        <v/>
      </c>
      <c r="CR188" s="1111" t="str">
        <f t="shared" si="645"/>
        <v/>
      </c>
      <c r="CS188" s="1110" t="str">
        <f t="shared" si="646"/>
        <v/>
      </c>
      <c r="CT188" s="1113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09" t="str">
        <f t="shared" si="631"/>
        <v/>
      </c>
      <c r="CE189" s="1110" t="str">
        <f t="shared" si="632"/>
        <v/>
      </c>
      <c r="CF189" s="1111" t="str">
        <f t="shared" si="633"/>
        <v/>
      </c>
      <c r="CG189" s="1111" t="str">
        <f t="shared" si="634"/>
        <v/>
      </c>
      <c r="CH189" s="1111" t="str">
        <f t="shared" si="635"/>
        <v/>
      </c>
      <c r="CI189" s="1111" t="str">
        <f t="shared" si="636"/>
        <v/>
      </c>
      <c r="CJ189" s="1111" t="str">
        <f t="shared" si="637"/>
        <v/>
      </c>
      <c r="CK189" s="1112" t="str">
        <f t="shared" si="638"/>
        <v/>
      </c>
      <c r="CL189" s="1112" t="str">
        <f t="shared" si="639"/>
        <v/>
      </c>
      <c r="CM189" s="1112" t="str">
        <f t="shared" si="640"/>
        <v/>
      </c>
      <c r="CN189" s="1111" t="str">
        <f t="shared" si="641"/>
        <v/>
      </c>
      <c r="CO189" s="1111" t="str">
        <f t="shared" si="642"/>
        <v/>
      </c>
      <c r="CP189" s="1111" t="str">
        <f t="shared" si="643"/>
        <v/>
      </c>
      <c r="CQ189" s="1111" t="str">
        <f t="shared" si="644"/>
        <v/>
      </c>
      <c r="CR189" s="1111" t="str">
        <f t="shared" si="645"/>
        <v/>
      </c>
      <c r="CS189" s="1110" t="str">
        <f t="shared" si="646"/>
        <v/>
      </c>
      <c r="CT189" s="1113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09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0" t="str">
        <f t="shared" si="796"/>
        <v/>
      </c>
      <c r="CF190" s="1111" t="str">
        <f t="shared" si="796"/>
        <v/>
      </c>
      <c r="CG190" s="1111" t="str">
        <f t="shared" si="796"/>
        <v/>
      </c>
      <c r="CH190" s="1111" t="str">
        <f t="shared" si="796"/>
        <v/>
      </c>
      <c r="CI190" s="1111" t="str">
        <f t="shared" si="796"/>
        <v/>
      </c>
      <c r="CJ190" s="1111" t="str">
        <f t="shared" si="796"/>
        <v/>
      </c>
      <c r="CK190" s="1112" t="str">
        <f t="shared" si="796"/>
        <v/>
      </c>
      <c r="CL190" s="1112" t="str">
        <f t="shared" si="796"/>
        <v/>
      </c>
      <c r="CM190" s="1112" t="str">
        <f t="shared" si="796"/>
        <v/>
      </c>
      <c r="CN190" s="1111" t="str">
        <f t="shared" si="796"/>
        <v/>
      </c>
      <c r="CO190" s="1111" t="str">
        <f t="shared" si="796"/>
        <v/>
      </c>
      <c r="CP190" s="1111" t="str">
        <f t="shared" si="796"/>
        <v/>
      </c>
      <c r="CQ190" s="1111" t="str">
        <f t="shared" si="796"/>
        <v/>
      </c>
      <c r="CR190" s="1111" t="str">
        <f t="shared" si="796"/>
        <v/>
      </c>
      <c r="CS190" s="1110" t="str">
        <f t="shared" si="796"/>
        <v/>
      </c>
      <c r="CT190" s="1113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09" t="str">
        <f t="shared" si="796"/>
        <v/>
      </c>
      <c r="CE191" s="1110" t="str">
        <f t="shared" si="796"/>
        <v/>
      </c>
      <c r="CF191" s="1111" t="str">
        <f t="shared" si="796"/>
        <v/>
      </c>
      <c r="CG191" s="1111" t="str">
        <f t="shared" si="796"/>
        <v/>
      </c>
      <c r="CH191" s="1111" t="str">
        <f t="shared" si="796"/>
        <v/>
      </c>
      <c r="CI191" s="1111" t="str">
        <f t="shared" si="796"/>
        <v/>
      </c>
      <c r="CJ191" s="1111" t="str">
        <f t="shared" si="796"/>
        <v/>
      </c>
      <c r="CK191" s="1112" t="str">
        <f t="shared" si="796"/>
        <v/>
      </c>
      <c r="CL191" s="1112" t="str">
        <f t="shared" si="796"/>
        <v/>
      </c>
      <c r="CM191" s="1112" t="str">
        <f t="shared" si="796"/>
        <v/>
      </c>
      <c r="CN191" s="1111" t="str">
        <f t="shared" si="796"/>
        <v/>
      </c>
      <c r="CO191" s="1111" t="str">
        <f t="shared" si="796"/>
        <v/>
      </c>
      <c r="CP191" s="1111" t="str">
        <f t="shared" si="796"/>
        <v/>
      </c>
      <c r="CQ191" s="1111" t="str">
        <f t="shared" si="796"/>
        <v/>
      </c>
      <c r="CR191" s="1111" t="str">
        <f t="shared" si="796"/>
        <v/>
      </c>
      <c r="CS191" s="1110" t="str">
        <f t="shared" si="796"/>
        <v/>
      </c>
      <c r="CT191" s="1113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09" t="str">
        <f t="shared" si="796"/>
        <v/>
      </c>
      <c r="CE192" s="1110" t="str">
        <f t="shared" si="796"/>
        <v/>
      </c>
      <c r="CF192" s="1111" t="str">
        <f t="shared" si="796"/>
        <v/>
      </c>
      <c r="CG192" s="1111" t="str">
        <f t="shared" si="796"/>
        <v/>
      </c>
      <c r="CH192" s="1111" t="str">
        <f t="shared" si="796"/>
        <v/>
      </c>
      <c r="CI192" s="1111" t="str">
        <f t="shared" si="796"/>
        <v/>
      </c>
      <c r="CJ192" s="1111" t="str">
        <f t="shared" si="796"/>
        <v/>
      </c>
      <c r="CK192" s="1112" t="str">
        <f t="shared" si="796"/>
        <v/>
      </c>
      <c r="CL192" s="1112" t="str">
        <f t="shared" si="796"/>
        <v/>
      </c>
      <c r="CM192" s="1112" t="str">
        <f t="shared" si="796"/>
        <v/>
      </c>
      <c r="CN192" s="1111" t="str">
        <f t="shared" si="796"/>
        <v/>
      </c>
      <c r="CO192" s="1111" t="str">
        <f t="shared" si="796"/>
        <v/>
      </c>
      <c r="CP192" s="1111" t="str">
        <f t="shared" si="796"/>
        <v/>
      </c>
      <c r="CQ192" s="1111" t="str">
        <f t="shared" si="796"/>
        <v/>
      </c>
      <c r="CR192" s="1111" t="str">
        <f t="shared" si="796"/>
        <v/>
      </c>
      <c r="CS192" s="1110" t="str">
        <f t="shared" si="796"/>
        <v/>
      </c>
      <c r="CT192" s="1113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09" t="str">
        <f t="shared" si="796"/>
        <v/>
      </c>
      <c r="CE193" s="1110" t="str">
        <f t="shared" si="796"/>
        <v/>
      </c>
      <c r="CF193" s="1111" t="str">
        <f t="shared" si="796"/>
        <v/>
      </c>
      <c r="CG193" s="1111" t="str">
        <f t="shared" si="796"/>
        <v/>
      </c>
      <c r="CH193" s="1111" t="str">
        <f t="shared" si="796"/>
        <v/>
      </c>
      <c r="CI193" s="1111" t="str">
        <f t="shared" si="796"/>
        <v/>
      </c>
      <c r="CJ193" s="1111" t="str">
        <f t="shared" si="796"/>
        <v/>
      </c>
      <c r="CK193" s="1112" t="str">
        <f t="shared" si="796"/>
        <v/>
      </c>
      <c r="CL193" s="1112" t="str">
        <f t="shared" si="796"/>
        <v/>
      </c>
      <c r="CM193" s="1112" t="str">
        <f t="shared" si="796"/>
        <v/>
      </c>
      <c r="CN193" s="1111" t="str">
        <f t="shared" si="796"/>
        <v/>
      </c>
      <c r="CO193" s="1111" t="str">
        <f t="shared" si="796"/>
        <v/>
      </c>
      <c r="CP193" s="1111" t="str">
        <f t="shared" si="796"/>
        <v/>
      </c>
      <c r="CQ193" s="1111" t="str">
        <f t="shared" si="796"/>
        <v/>
      </c>
      <c r="CR193" s="1111" t="str">
        <f t="shared" si="796"/>
        <v/>
      </c>
      <c r="CS193" s="1110" t="str">
        <f t="shared" si="796"/>
        <v/>
      </c>
      <c r="CT193" s="1113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09" t="str">
        <f t="shared" si="796"/>
        <v/>
      </c>
      <c r="CE194" s="1110" t="str">
        <f t="shared" si="796"/>
        <v/>
      </c>
      <c r="CF194" s="1111" t="str">
        <f t="shared" si="796"/>
        <v/>
      </c>
      <c r="CG194" s="1111" t="str">
        <f t="shared" si="796"/>
        <v/>
      </c>
      <c r="CH194" s="1111" t="str">
        <f t="shared" si="796"/>
        <v/>
      </c>
      <c r="CI194" s="1111" t="str">
        <f t="shared" si="796"/>
        <v/>
      </c>
      <c r="CJ194" s="1111" t="str">
        <f t="shared" si="796"/>
        <v/>
      </c>
      <c r="CK194" s="1112" t="str">
        <f t="shared" si="796"/>
        <v/>
      </c>
      <c r="CL194" s="1112" t="str">
        <f t="shared" si="796"/>
        <v/>
      </c>
      <c r="CM194" s="1112" t="str">
        <f t="shared" si="796"/>
        <v/>
      </c>
      <c r="CN194" s="1111" t="str">
        <f t="shared" si="796"/>
        <v/>
      </c>
      <c r="CO194" s="1111" t="str">
        <f t="shared" si="796"/>
        <v/>
      </c>
      <c r="CP194" s="1111" t="str">
        <f t="shared" si="796"/>
        <v/>
      </c>
      <c r="CQ194" s="1111" t="str">
        <f t="shared" si="796"/>
        <v/>
      </c>
      <c r="CR194" s="1111" t="str">
        <f t="shared" si="796"/>
        <v/>
      </c>
      <c r="CS194" s="1110" t="str">
        <f t="shared" si="796"/>
        <v/>
      </c>
      <c r="CT194" s="1113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09" t="str">
        <f t="shared" si="796"/>
        <v/>
      </c>
      <c r="CE195" s="1110" t="str">
        <f t="shared" si="796"/>
        <v/>
      </c>
      <c r="CF195" s="1111" t="str">
        <f t="shared" si="796"/>
        <v/>
      </c>
      <c r="CG195" s="1111" t="str">
        <f t="shared" si="796"/>
        <v/>
      </c>
      <c r="CH195" s="1111" t="str">
        <f t="shared" si="796"/>
        <v/>
      </c>
      <c r="CI195" s="1111" t="str">
        <f t="shared" si="796"/>
        <v/>
      </c>
      <c r="CJ195" s="1111" t="str">
        <f t="shared" si="796"/>
        <v/>
      </c>
      <c r="CK195" s="1112" t="str">
        <f t="shared" si="796"/>
        <v/>
      </c>
      <c r="CL195" s="1112" t="str">
        <f t="shared" si="796"/>
        <v/>
      </c>
      <c r="CM195" s="1112" t="str">
        <f t="shared" si="796"/>
        <v/>
      </c>
      <c r="CN195" s="1111" t="str">
        <f t="shared" si="796"/>
        <v/>
      </c>
      <c r="CO195" s="1111" t="str">
        <f t="shared" si="796"/>
        <v/>
      </c>
      <c r="CP195" s="1111" t="str">
        <f t="shared" si="796"/>
        <v/>
      </c>
      <c r="CQ195" s="1111" t="str">
        <f t="shared" si="796"/>
        <v/>
      </c>
      <c r="CR195" s="1111" t="str">
        <f t="shared" si="796"/>
        <v/>
      </c>
      <c r="CS195" s="1110" t="str">
        <f t="shared" si="796"/>
        <v/>
      </c>
      <c r="CT195" s="1113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09" t="str">
        <f t="shared" si="796"/>
        <v/>
      </c>
      <c r="CE196" s="1110" t="str">
        <f t="shared" si="796"/>
        <v/>
      </c>
      <c r="CF196" s="1111" t="str">
        <f t="shared" si="796"/>
        <v/>
      </c>
      <c r="CG196" s="1111" t="str">
        <f t="shared" si="796"/>
        <v/>
      </c>
      <c r="CH196" s="1111" t="str">
        <f t="shared" si="796"/>
        <v/>
      </c>
      <c r="CI196" s="1111" t="str">
        <f t="shared" si="796"/>
        <v/>
      </c>
      <c r="CJ196" s="1111" t="str">
        <f t="shared" si="796"/>
        <v/>
      </c>
      <c r="CK196" s="1112" t="str">
        <f t="shared" si="796"/>
        <v/>
      </c>
      <c r="CL196" s="1112" t="str">
        <f t="shared" si="796"/>
        <v/>
      </c>
      <c r="CM196" s="1112" t="str">
        <f t="shared" si="796"/>
        <v/>
      </c>
      <c r="CN196" s="1111" t="str">
        <f t="shared" si="796"/>
        <v/>
      </c>
      <c r="CO196" s="1111" t="str">
        <f t="shared" si="796"/>
        <v/>
      </c>
      <c r="CP196" s="1111" t="str">
        <f t="shared" si="796"/>
        <v/>
      </c>
      <c r="CQ196" s="1111" t="str">
        <f t="shared" si="796"/>
        <v/>
      </c>
      <c r="CR196" s="1111" t="str">
        <f t="shared" si="796"/>
        <v/>
      </c>
      <c r="CS196" s="1110" t="str">
        <f t="shared" si="796"/>
        <v/>
      </c>
      <c r="CT196" s="1113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09">
        <f t="shared" si="796"/>
        <v>0</v>
      </c>
      <c r="CE197" s="1110">
        <f t="shared" si="796"/>
        <v>0</v>
      </c>
      <c r="CF197" s="1111">
        <f t="shared" si="796"/>
        <v>0</v>
      </c>
      <c r="CG197" s="1111">
        <f t="shared" si="796"/>
        <v>0</v>
      </c>
      <c r="CH197" s="1111">
        <f t="shared" si="796"/>
        <v>0</v>
      </c>
      <c r="CI197" s="1111">
        <f t="shared" si="796"/>
        <v>0</v>
      </c>
      <c r="CJ197" s="1111">
        <f t="shared" si="796"/>
        <v>0</v>
      </c>
      <c r="CK197" s="1112">
        <f t="shared" si="796"/>
        <v>0</v>
      </c>
      <c r="CL197" s="1112">
        <f t="shared" si="796"/>
        <v>0</v>
      </c>
      <c r="CM197" s="1112">
        <f t="shared" si="796"/>
        <v>0</v>
      </c>
      <c r="CN197" s="1111">
        <f t="shared" si="796"/>
        <v>0</v>
      </c>
      <c r="CO197" s="1111">
        <f t="shared" si="796"/>
        <v>0</v>
      </c>
      <c r="CP197" s="1111">
        <f t="shared" si="796"/>
        <v>0</v>
      </c>
      <c r="CQ197" s="1111">
        <f t="shared" si="796"/>
        <v>0</v>
      </c>
      <c r="CR197" s="1111">
        <f t="shared" si="796"/>
        <v>0</v>
      </c>
      <c r="CS197" s="1110">
        <f t="shared" si="796"/>
        <v>0</v>
      </c>
      <c r="CT197" s="1113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09" t="str">
        <f t="shared" si="796"/>
        <v/>
      </c>
      <c r="CE198" s="1110" t="str">
        <f t="shared" si="796"/>
        <v/>
      </c>
      <c r="CF198" s="1111" t="str">
        <f t="shared" si="796"/>
        <v/>
      </c>
      <c r="CG198" s="1111" t="str">
        <f t="shared" si="796"/>
        <v/>
      </c>
      <c r="CH198" s="1111" t="str">
        <f t="shared" si="796"/>
        <v/>
      </c>
      <c r="CI198" s="1111" t="str">
        <f t="shared" si="796"/>
        <v/>
      </c>
      <c r="CJ198" s="1111" t="str">
        <f t="shared" si="796"/>
        <v/>
      </c>
      <c r="CK198" s="1112" t="str">
        <f t="shared" si="796"/>
        <v/>
      </c>
      <c r="CL198" s="1112" t="str">
        <f t="shared" si="796"/>
        <v/>
      </c>
      <c r="CM198" s="1112" t="str">
        <f t="shared" si="796"/>
        <v/>
      </c>
      <c r="CN198" s="1111" t="str">
        <f t="shared" si="796"/>
        <v/>
      </c>
      <c r="CO198" s="1111" t="str">
        <f t="shared" si="796"/>
        <v/>
      </c>
      <c r="CP198" s="1111" t="str">
        <f t="shared" si="796"/>
        <v/>
      </c>
      <c r="CQ198" s="1111" t="str">
        <f t="shared" si="796"/>
        <v/>
      </c>
      <c r="CR198" s="1111" t="str">
        <f t="shared" si="796"/>
        <v/>
      </c>
      <c r="CS198" s="1110" t="str">
        <f t="shared" si="796"/>
        <v/>
      </c>
      <c r="CT198" s="1113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09">
        <f t="shared" si="796"/>
        <v>0</v>
      </c>
      <c r="CE199" s="1110">
        <f t="shared" si="796"/>
        <v>0</v>
      </c>
      <c r="CF199" s="1111">
        <f t="shared" si="796"/>
        <v>0</v>
      </c>
      <c r="CG199" s="1111">
        <f t="shared" si="796"/>
        <v>0</v>
      </c>
      <c r="CH199" s="1111">
        <f t="shared" si="796"/>
        <v>0</v>
      </c>
      <c r="CI199" s="1111">
        <f t="shared" si="796"/>
        <v>0</v>
      </c>
      <c r="CJ199" s="1111">
        <f t="shared" si="796"/>
        <v>0</v>
      </c>
      <c r="CK199" s="1112">
        <f t="shared" si="796"/>
        <v>0</v>
      </c>
      <c r="CL199" s="1112">
        <f t="shared" si="796"/>
        <v>0</v>
      </c>
      <c r="CM199" s="1112">
        <f t="shared" si="796"/>
        <v>0</v>
      </c>
      <c r="CN199" s="1111">
        <f t="shared" si="796"/>
        <v>0</v>
      </c>
      <c r="CO199" s="1111">
        <f t="shared" si="796"/>
        <v>0</v>
      </c>
      <c r="CP199" s="1111">
        <f t="shared" si="796"/>
        <v>0</v>
      </c>
      <c r="CQ199" s="1111">
        <f t="shared" si="796"/>
        <v>0</v>
      </c>
      <c r="CR199" s="1111">
        <f t="shared" si="796"/>
        <v>0</v>
      </c>
      <c r="CS199" s="1110">
        <f t="shared" si="796"/>
        <v>0</v>
      </c>
      <c r="CT199" s="1113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 t="str">
        <f t="shared" ref="K200:R200" si="822">IF(SUM(K52)=0,"",(K178+K190*(K191="")+K194+K197)/K52)</f>
        <v/>
      </c>
      <c r="L200" s="396" t="str">
        <f t="shared" si="822"/>
        <v/>
      </c>
      <c r="M200" s="396" t="str">
        <f t="shared" si="822"/>
        <v/>
      </c>
      <c r="N200" s="396" t="str">
        <f t="shared" si="822"/>
        <v/>
      </c>
      <c r="O200" s="396" t="str">
        <f t="shared" si="822"/>
        <v/>
      </c>
      <c r="P200" s="396" t="str">
        <f t="shared" si="822"/>
        <v/>
      </c>
      <c r="Q200" s="396" t="str">
        <f t="shared" si="822"/>
        <v/>
      </c>
      <c r="R200" s="396" t="str">
        <f t="shared" si="822"/>
        <v/>
      </c>
      <c r="S200" s="427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396" t="str">
        <f t="shared" ref="AC200:AJ200" si="823">IF(SUM(AC52)=0,"",(AC178+AC190*(AC191="")+AC194+AC197)/AC52)</f>
        <v/>
      </c>
      <c r="AD200" s="396" t="str">
        <f t="shared" si="823"/>
        <v/>
      </c>
      <c r="AE200" s="396" t="str">
        <f t="shared" si="823"/>
        <v/>
      </c>
      <c r="AF200" s="396" t="str">
        <f t="shared" si="823"/>
        <v/>
      </c>
      <c r="AG200" s="396" t="str">
        <f t="shared" si="823"/>
        <v/>
      </c>
      <c r="AH200" s="396" t="str">
        <f t="shared" si="823"/>
        <v/>
      </c>
      <c r="AI200" s="396" t="str">
        <f t="shared" si="823"/>
        <v/>
      </c>
      <c r="AJ200" s="396" t="str">
        <f t="shared" si="823"/>
        <v/>
      </c>
      <c r="AK200" s="427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 t="str">
        <f t="shared" ref="AU200:BB200" si="824">IF(SUM(AU52)=0,"",(AU178+AU190*(AU191="")+AU194+AU197)/AU52)</f>
        <v/>
      </c>
      <c r="AV200" s="396" t="str">
        <f t="shared" si="824"/>
        <v/>
      </c>
      <c r="AW200" s="396" t="str">
        <f t="shared" si="824"/>
        <v/>
      </c>
      <c r="AX200" s="396" t="str">
        <f t="shared" si="824"/>
        <v/>
      </c>
      <c r="AY200" s="396" t="str">
        <f t="shared" si="824"/>
        <v/>
      </c>
      <c r="AZ200" s="396" t="str">
        <f t="shared" si="824"/>
        <v/>
      </c>
      <c r="BA200" s="396" t="str">
        <f t="shared" si="824"/>
        <v/>
      </c>
      <c r="BB200" s="396" t="str">
        <f t="shared" si="824"/>
        <v/>
      </c>
      <c r="BC200" s="427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396" t="str">
        <f t="shared" ref="BM200:BT200" si="825">IF(SUM(BM52)=0,"",(BM178+BM190*(BM191="")+BM194+BM197)/BM52)</f>
        <v/>
      </c>
      <c r="BN200" s="396" t="str">
        <f t="shared" si="825"/>
        <v/>
      </c>
      <c r="BO200" s="396" t="str">
        <f t="shared" si="825"/>
        <v/>
      </c>
      <c r="BP200" s="396" t="str">
        <f t="shared" si="825"/>
        <v/>
      </c>
      <c r="BQ200" s="396" t="str">
        <f t="shared" si="825"/>
        <v/>
      </c>
      <c r="BR200" s="396" t="str">
        <f t="shared" si="825"/>
        <v/>
      </c>
      <c r="BS200" s="396" t="str">
        <f t="shared" si="825"/>
        <v/>
      </c>
      <c r="BT200" s="396" t="str">
        <f t="shared" si="825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5" t="str">
        <f t="shared" ref="CE200:CT200" si="82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6" t="str">
        <f t="shared" si="826"/>
        <v/>
      </c>
      <c r="CG200" s="1116" t="str">
        <f t="shared" si="826"/>
        <v/>
      </c>
      <c r="CH200" s="1116" t="str">
        <f t="shared" si="826"/>
        <v/>
      </c>
      <c r="CI200" s="1116" t="str">
        <f t="shared" si="826"/>
        <v/>
      </c>
      <c r="CJ200" s="1116" t="str">
        <f t="shared" si="826"/>
        <v/>
      </c>
      <c r="CK200" s="1117" t="str">
        <f t="shared" si="826"/>
        <v/>
      </c>
      <c r="CL200" s="1117" t="str">
        <f t="shared" si="826"/>
        <v/>
      </c>
      <c r="CM200" s="1117" t="str">
        <f t="shared" si="826"/>
        <v/>
      </c>
      <c r="CN200" s="1116" t="str">
        <f t="shared" si="826"/>
        <v/>
      </c>
      <c r="CO200" s="1116" t="str">
        <f t="shared" si="826"/>
        <v/>
      </c>
      <c r="CP200" s="1116" t="str">
        <f t="shared" si="826"/>
        <v/>
      </c>
      <c r="CQ200" s="1116" t="str">
        <f t="shared" si="826"/>
        <v/>
      </c>
      <c r="CR200" s="1116" t="str">
        <f t="shared" si="826"/>
        <v/>
      </c>
      <c r="CS200" s="1115" t="str">
        <f t="shared" si="826"/>
        <v/>
      </c>
      <c r="CT200" s="1118" t="str">
        <f t="shared" si="826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09" t="str">
        <f t="shared" si="631"/>
        <v/>
      </c>
      <c r="CE201" s="1110" t="str">
        <f t="shared" si="632"/>
        <v/>
      </c>
      <c r="CF201" s="1111" t="str">
        <f t="shared" si="633"/>
        <v/>
      </c>
      <c r="CG201" s="1111" t="str">
        <f t="shared" si="634"/>
        <v/>
      </c>
      <c r="CH201" s="1111" t="str">
        <f t="shared" si="635"/>
        <v/>
      </c>
      <c r="CI201" s="1111" t="str">
        <f t="shared" si="636"/>
        <v/>
      </c>
      <c r="CJ201" s="1111" t="str">
        <f t="shared" si="637"/>
        <v/>
      </c>
      <c r="CK201" s="1112" t="str">
        <f t="shared" si="638"/>
        <v/>
      </c>
      <c r="CL201" s="1112" t="str">
        <f t="shared" si="639"/>
        <v/>
      </c>
      <c r="CM201" s="1112" t="str">
        <f t="shared" si="640"/>
        <v/>
      </c>
      <c r="CN201" s="1111" t="str">
        <f t="shared" si="641"/>
        <v/>
      </c>
      <c r="CO201" s="1111" t="str">
        <f t="shared" si="642"/>
        <v/>
      </c>
      <c r="CP201" s="1111" t="str">
        <f t="shared" si="643"/>
        <v/>
      </c>
      <c r="CQ201" s="1111" t="str">
        <f t="shared" si="644"/>
        <v/>
      </c>
      <c r="CR201" s="1111" t="str">
        <f t="shared" si="645"/>
        <v/>
      </c>
      <c r="CS201" s="1110" t="str">
        <f t="shared" si="646"/>
        <v/>
      </c>
      <c r="CT201" s="1113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09" t="str">
        <f t="shared" si="631"/>
        <v/>
      </c>
      <c r="CE202" s="1110" t="str">
        <f t="shared" si="632"/>
        <v/>
      </c>
      <c r="CF202" s="1111" t="str">
        <f t="shared" si="633"/>
        <v/>
      </c>
      <c r="CG202" s="1111" t="str">
        <f t="shared" si="634"/>
        <v/>
      </c>
      <c r="CH202" s="1111" t="str">
        <f t="shared" si="635"/>
        <v/>
      </c>
      <c r="CI202" s="1111" t="str">
        <f t="shared" si="636"/>
        <v/>
      </c>
      <c r="CJ202" s="1111" t="str">
        <f t="shared" si="637"/>
        <v/>
      </c>
      <c r="CK202" s="1112" t="str">
        <f t="shared" si="638"/>
        <v/>
      </c>
      <c r="CL202" s="1112" t="str">
        <f t="shared" si="639"/>
        <v/>
      </c>
      <c r="CM202" s="1112" t="str">
        <f t="shared" si="640"/>
        <v/>
      </c>
      <c r="CN202" s="1111" t="str">
        <f t="shared" si="641"/>
        <v/>
      </c>
      <c r="CO202" s="1111" t="str">
        <f t="shared" si="642"/>
        <v/>
      </c>
      <c r="CP202" s="1111" t="str">
        <f t="shared" si="643"/>
        <v/>
      </c>
      <c r="CQ202" s="1111" t="str">
        <f t="shared" si="644"/>
        <v/>
      </c>
      <c r="CR202" s="1111" t="str">
        <f t="shared" si="645"/>
        <v/>
      </c>
      <c r="CS202" s="1110" t="str">
        <f t="shared" si="646"/>
        <v/>
      </c>
      <c r="CT202" s="1113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27">IF(B201="","",B201*B202)</f>
        <v/>
      </c>
      <c r="C203" s="383" t="str">
        <f t="shared" si="827"/>
        <v/>
      </c>
      <c r="D203" s="383" t="str">
        <f t="shared" si="827"/>
        <v/>
      </c>
      <c r="E203" s="383" t="str">
        <f t="shared" si="827"/>
        <v/>
      </c>
      <c r="F203" s="383" t="str">
        <f t="shared" si="827"/>
        <v/>
      </c>
      <c r="G203" s="383" t="str">
        <f t="shared" si="827"/>
        <v/>
      </c>
      <c r="H203" s="383" t="str">
        <f t="shared" si="827"/>
        <v/>
      </c>
      <c r="I203" s="383" t="str">
        <f t="shared" si="827"/>
        <v/>
      </c>
      <c r="J203" s="383" t="str">
        <f t="shared" si="827"/>
        <v/>
      </c>
      <c r="K203" s="383" t="str">
        <f t="shared" ref="K203:R203" si="828">IF(K201="","",K201*K202)</f>
        <v/>
      </c>
      <c r="L203" s="383" t="str">
        <f t="shared" si="828"/>
        <v/>
      </c>
      <c r="M203" s="383" t="str">
        <f t="shared" si="828"/>
        <v/>
      </c>
      <c r="N203" s="383" t="str">
        <f t="shared" si="828"/>
        <v/>
      </c>
      <c r="O203" s="383" t="str">
        <f t="shared" si="828"/>
        <v/>
      </c>
      <c r="P203" s="383" t="str">
        <f t="shared" si="828"/>
        <v/>
      </c>
      <c r="Q203" s="383" t="str">
        <f t="shared" si="828"/>
        <v/>
      </c>
      <c r="R203" s="383" t="str">
        <f t="shared" si="828"/>
        <v/>
      </c>
      <c r="S203" s="364"/>
      <c r="T203" s="383" t="str">
        <f t="shared" ref="T203:AB203" si="829">IF(T201="","",T201*T202)</f>
        <v/>
      </c>
      <c r="U203" s="383" t="str">
        <f t="shared" si="829"/>
        <v/>
      </c>
      <c r="V203" s="383" t="str">
        <f t="shared" si="829"/>
        <v/>
      </c>
      <c r="W203" s="383" t="str">
        <f t="shared" si="829"/>
        <v/>
      </c>
      <c r="X203" s="383" t="str">
        <f t="shared" si="829"/>
        <v/>
      </c>
      <c r="Y203" s="383" t="str">
        <f t="shared" si="829"/>
        <v/>
      </c>
      <c r="Z203" s="383" t="str">
        <f t="shared" si="829"/>
        <v/>
      </c>
      <c r="AA203" s="383" t="str">
        <f t="shared" si="829"/>
        <v/>
      </c>
      <c r="AB203" s="383" t="str">
        <f t="shared" si="829"/>
        <v/>
      </c>
      <c r="AC203" s="383" t="str">
        <f t="shared" ref="AC203:AJ203" si="830">IF(AC201="","",AC201*AC202)</f>
        <v/>
      </c>
      <c r="AD203" s="383" t="str">
        <f t="shared" si="830"/>
        <v/>
      </c>
      <c r="AE203" s="383" t="str">
        <f t="shared" si="830"/>
        <v/>
      </c>
      <c r="AF203" s="383" t="str">
        <f t="shared" si="830"/>
        <v/>
      </c>
      <c r="AG203" s="383" t="str">
        <f t="shared" si="830"/>
        <v/>
      </c>
      <c r="AH203" s="383" t="str">
        <f t="shared" si="830"/>
        <v/>
      </c>
      <c r="AI203" s="383" t="str">
        <f t="shared" si="830"/>
        <v/>
      </c>
      <c r="AJ203" s="383" t="str">
        <f t="shared" si="830"/>
        <v/>
      </c>
      <c r="AK203" s="364"/>
      <c r="AL203" s="383" t="str">
        <f t="shared" ref="AL203:AT203" si="831">IF(AL201="","",AL201*AL202)</f>
        <v/>
      </c>
      <c r="AM203" s="383" t="str">
        <f t="shared" si="831"/>
        <v/>
      </c>
      <c r="AN203" s="383" t="str">
        <f t="shared" si="831"/>
        <v/>
      </c>
      <c r="AO203" s="383" t="str">
        <f t="shared" si="831"/>
        <v/>
      </c>
      <c r="AP203" s="383" t="str">
        <f t="shared" si="831"/>
        <v/>
      </c>
      <c r="AQ203" s="383" t="str">
        <f t="shared" si="831"/>
        <v/>
      </c>
      <c r="AR203" s="383" t="str">
        <f t="shared" si="831"/>
        <v/>
      </c>
      <c r="AS203" s="383" t="str">
        <f t="shared" si="831"/>
        <v/>
      </c>
      <c r="AT203" s="383" t="str">
        <f t="shared" si="831"/>
        <v/>
      </c>
      <c r="AU203" s="383" t="str">
        <f t="shared" ref="AU203:BB203" si="832">IF(AU201="","",AU201*AU202)</f>
        <v/>
      </c>
      <c r="AV203" s="383" t="str">
        <f t="shared" si="832"/>
        <v/>
      </c>
      <c r="AW203" s="383" t="str">
        <f t="shared" si="832"/>
        <v/>
      </c>
      <c r="AX203" s="383" t="str">
        <f t="shared" si="832"/>
        <v/>
      </c>
      <c r="AY203" s="383" t="str">
        <f t="shared" si="832"/>
        <v/>
      </c>
      <c r="AZ203" s="383" t="str">
        <f t="shared" si="832"/>
        <v/>
      </c>
      <c r="BA203" s="383" t="str">
        <f t="shared" si="832"/>
        <v/>
      </c>
      <c r="BB203" s="383" t="str">
        <f t="shared" si="832"/>
        <v/>
      </c>
      <c r="BC203" s="364"/>
      <c r="BD203" s="383" t="str">
        <f t="shared" ref="BD203:BL203" si="833">IF(BD201="","",BD201*BD202)</f>
        <v/>
      </c>
      <c r="BE203" s="383" t="str">
        <f t="shared" si="833"/>
        <v/>
      </c>
      <c r="BF203" s="383" t="str">
        <f t="shared" si="833"/>
        <v/>
      </c>
      <c r="BG203" s="383" t="str">
        <f t="shared" si="833"/>
        <v/>
      </c>
      <c r="BH203" s="383" t="str">
        <f t="shared" si="833"/>
        <v/>
      </c>
      <c r="BI203" s="383" t="str">
        <f t="shared" si="833"/>
        <v/>
      </c>
      <c r="BJ203" s="383" t="str">
        <f t="shared" si="833"/>
        <v/>
      </c>
      <c r="BK203" s="383" t="str">
        <f t="shared" si="833"/>
        <v/>
      </c>
      <c r="BL203" s="383" t="str">
        <f t="shared" si="833"/>
        <v/>
      </c>
      <c r="BM203" s="383" t="str">
        <f t="shared" ref="BM203:BT203" si="834">IF(BM201="","",BM201*BM202)</f>
        <v/>
      </c>
      <c r="BN203" s="383" t="str">
        <f t="shared" si="834"/>
        <v/>
      </c>
      <c r="BO203" s="383" t="str">
        <f t="shared" si="834"/>
        <v/>
      </c>
      <c r="BP203" s="383" t="str">
        <f t="shared" si="834"/>
        <v/>
      </c>
      <c r="BQ203" s="383" t="str">
        <f t="shared" si="834"/>
        <v/>
      </c>
      <c r="BR203" s="383" t="str">
        <f t="shared" si="834"/>
        <v/>
      </c>
      <c r="BS203" s="383" t="str">
        <f t="shared" si="834"/>
        <v/>
      </c>
      <c r="BT203" s="383" t="str">
        <f t="shared" si="834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09" t="str">
        <f t="shared" si="631"/>
        <v/>
      </c>
      <c r="CE203" s="1110" t="str">
        <f t="shared" si="632"/>
        <v/>
      </c>
      <c r="CF203" s="1111" t="str">
        <f t="shared" si="633"/>
        <v/>
      </c>
      <c r="CG203" s="1111" t="str">
        <f t="shared" si="634"/>
        <v/>
      </c>
      <c r="CH203" s="1111" t="str">
        <f t="shared" si="635"/>
        <v/>
      </c>
      <c r="CI203" s="1111" t="str">
        <f t="shared" si="636"/>
        <v/>
      </c>
      <c r="CJ203" s="1111" t="str">
        <f t="shared" si="637"/>
        <v/>
      </c>
      <c r="CK203" s="1112" t="str">
        <f t="shared" si="638"/>
        <v/>
      </c>
      <c r="CL203" s="1112" t="str">
        <f t="shared" si="639"/>
        <v/>
      </c>
      <c r="CM203" s="1112" t="str">
        <f t="shared" si="640"/>
        <v/>
      </c>
      <c r="CN203" s="1111" t="str">
        <f t="shared" si="641"/>
        <v/>
      </c>
      <c r="CO203" s="1111" t="str">
        <f t="shared" si="642"/>
        <v/>
      </c>
      <c r="CP203" s="1111" t="str">
        <f t="shared" si="643"/>
        <v/>
      </c>
      <c r="CQ203" s="1111" t="str">
        <f t="shared" si="644"/>
        <v/>
      </c>
      <c r="CR203" s="1111" t="str">
        <f t="shared" si="645"/>
        <v/>
      </c>
      <c r="CS203" s="1110" t="str">
        <f t="shared" si="646"/>
        <v/>
      </c>
      <c r="CT203" s="1113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09">
        <f t="shared" ref="CD204:CS212" si="83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0">
        <f t="shared" si="835"/>
        <v>0</v>
      </c>
      <c r="CF204" s="1111">
        <f t="shared" si="835"/>
        <v>0</v>
      </c>
      <c r="CG204" s="1111">
        <f t="shared" si="835"/>
        <v>0</v>
      </c>
      <c r="CH204" s="1111">
        <f t="shared" si="835"/>
        <v>0</v>
      </c>
      <c r="CI204" s="1111">
        <f t="shared" si="835"/>
        <v>0</v>
      </c>
      <c r="CJ204" s="1111">
        <f t="shared" si="835"/>
        <v>0</v>
      </c>
      <c r="CK204" s="1112">
        <f t="shared" si="835"/>
        <v>0</v>
      </c>
      <c r="CL204" s="1112">
        <f t="shared" si="835"/>
        <v>0</v>
      </c>
      <c r="CM204" s="1112">
        <f t="shared" si="835"/>
        <v>0</v>
      </c>
      <c r="CN204" s="1111">
        <f t="shared" si="835"/>
        <v>0</v>
      </c>
      <c r="CO204" s="1111">
        <f t="shared" si="835"/>
        <v>0</v>
      </c>
      <c r="CP204" s="1111">
        <f t="shared" si="835"/>
        <v>0</v>
      </c>
      <c r="CQ204" s="1111">
        <f t="shared" si="835"/>
        <v>0</v>
      </c>
      <c r="CR204" s="1111">
        <f t="shared" si="835"/>
        <v>0</v>
      </c>
      <c r="CS204" s="1110">
        <f t="shared" si="835"/>
        <v>0</v>
      </c>
      <c r="CT204" s="1113">
        <f t="shared" ref="CT204:CT212" si="83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09" t="str">
        <f t="shared" si="835"/>
        <v/>
      </c>
      <c r="CE205" s="1110" t="str">
        <f t="shared" si="835"/>
        <v/>
      </c>
      <c r="CF205" s="1111" t="str">
        <f t="shared" si="835"/>
        <v/>
      </c>
      <c r="CG205" s="1111" t="str">
        <f t="shared" si="835"/>
        <v/>
      </c>
      <c r="CH205" s="1111" t="str">
        <f t="shared" si="835"/>
        <v/>
      </c>
      <c r="CI205" s="1111" t="str">
        <f t="shared" si="835"/>
        <v/>
      </c>
      <c r="CJ205" s="1111" t="str">
        <f t="shared" si="835"/>
        <v/>
      </c>
      <c r="CK205" s="1112" t="str">
        <f t="shared" si="835"/>
        <v/>
      </c>
      <c r="CL205" s="1112" t="str">
        <f t="shared" si="835"/>
        <v/>
      </c>
      <c r="CM205" s="1112" t="str">
        <f t="shared" si="835"/>
        <v/>
      </c>
      <c r="CN205" s="1111" t="str">
        <f t="shared" si="835"/>
        <v/>
      </c>
      <c r="CO205" s="1111" t="str">
        <f t="shared" si="835"/>
        <v/>
      </c>
      <c r="CP205" s="1111" t="str">
        <f t="shared" si="835"/>
        <v/>
      </c>
      <c r="CQ205" s="1111" t="str">
        <f t="shared" si="835"/>
        <v/>
      </c>
      <c r="CR205" s="1111" t="str">
        <f t="shared" si="835"/>
        <v/>
      </c>
      <c r="CS205" s="1110" t="str">
        <f t="shared" si="835"/>
        <v/>
      </c>
      <c r="CT205" s="1113" t="str">
        <f t="shared" si="836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37">IF(B204="","",B204*B205)</f>
        <v>0</v>
      </c>
      <c r="C206" s="454">
        <f t="shared" si="837"/>
        <v>0</v>
      </c>
      <c r="D206" s="454">
        <f t="shared" si="837"/>
        <v>0</v>
      </c>
      <c r="E206" s="454">
        <f t="shared" si="837"/>
        <v>0</v>
      </c>
      <c r="F206" s="454">
        <f t="shared" si="837"/>
        <v>0</v>
      </c>
      <c r="G206" s="454">
        <f t="shared" si="837"/>
        <v>0</v>
      </c>
      <c r="H206" s="454">
        <f t="shared" si="837"/>
        <v>0</v>
      </c>
      <c r="I206" s="454">
        <f t="shared" si="837"/>
        <v>0</v>
      </c>
      <c r="J206" s="454">
        <f t="shared" si="837"/>
        <v>0</v>
      </c>
      <c r="K206" s="454">
        <f t="shared" ref="K206:R206" si="838">IF(K204="","",K204*K205)</f>
        <v>0</v>
      </c>
      <c r="L206" s="454">
        <f t="shared" si="838"/>
        <v>0</v>
      </c>
      <c r="M206" s="454">
        <f t="shared" si="838"/>
        <v>0</v>
      </c>
      <c r="N206" s="454">
        <f t="shared" si="838"/>
        <v>0</v>
      </c>
      <c r="O206" s="454">
        <f t="shared" si="838"/>
        <v>0</v>
      </c>
      <c r="P206" s="454">
        <f t="shared" si="838"/>
        <v>0</v>
      </c>
      <c r="Q206" s="454">
        <f t="shared" si="838"/>
        <v>0</v>
      </c>
      <c r="R206" s="454">
        <f t="shared" si="838"/>
        <v>0</v>
      </c>
      <c r="S206" s="455"/>
      <c r="T206" s="454">
        <f t="shared" ref="T206:AB206" si="839">IF(T204="","",T204*T205)</f>
        <v>0</v>
      </c>
      <c r="U206" s="454">
        <f t="shared" si="839"/>
        <v>150</v>
      </c>
      <c r="V206" s="454">
        <f t="shared" si="839"/>
        <v>0</v>
      </c>
      <c r="W206" s="454">
        <f t="shared" si="839"/>
        <v>150</v>
      </c>
      <c r="X206" s="454">
        <f t="shared" si="839"/>
        <v>0</v>
      </c>
      <c r="Y206" s="454">
        <f t="shared" si="839"/>
        <v>150</v>
      </c>
      <c r="Z206" s="454">
        <f t="shared" si="839"/>
        <v>0</v>
      </c>
      <c r="AA206" s="454">
        <f t="shared" si="839"/>
        <v>0</v>
      </c>
      <c r="AB206" s="454">
        <f t="shared" si="839"/>
        <v>0</v>
      </c>
      <c r="AC206" s="454">
        <f t="shared" ref="AC206:AJ206" si="840">IF(AC204="","",AC204*AC205)</f>
        <v>0</v>
      </c>
      <c r="AD206" s="454">
        <f t="shared" si="840"/>
        <v>0</v>
      </c>
      <c r="AE206" s="454">
        <f t="shared" si="840"/>
        <v>0</v>
      </c>
      <c r="AF206" s="454">
        <f t="shared" si="840"/>
        <v>0</v>
      </c>
      <c r="AG206" s="454">
        <f t="shared" si="840"/>
        <v>0</v>
      </c>
      <c r="AH206" s="454">
        <f t="shared" si="840"/>
        <v>0</v>
      </c>
      <c r="AI206" s="454">
        <f t="shared" si="840"/>
        <v>0</v>
      </c>
      <c r="AJ206" s="454">
        <f t="shared" si="840"/>
        <v>0</v>
      </c>
      <c r="AK206" s="455"/>
      <c r="AL206" s="454">
        <f t="shared" ref="AL206:AT206" si="841">IF(AL204="","",AL204*AL205)</f>
        <v>150</v>
      </c>
      <c r="AM206" s="454">
        <f t="shared" si="841"/>
        <v>300</v>
      </c>
      <c r="AN206" s="454">
        <f t="shared" si="841"/>
        <v>150</v>
      </c>
      <c r="AO206" s="454">
        <f t="shared" si="841"/>
        <v>450</v>
      </c>
      <c r="AP206" s="454">
        <f t="shared" si="841"/>
        <v>750</v>
      </c>
      <c r="AQ206" s="454">
        <f t="shared" si="841"/>
        <v>150</v>
      </c>
      <c r="AR206" s="454">
        <f t="shared" si="841"/>
        <v>300</v>
      </c>
      <c r="AS206" s="454">
        <f t="shared" si="841"/>
        <v>750</v>
      </c>
      <c r="AT206" s="454">
        <f t="shared" si="841"/>
        <v>2500</v>
      </c>
      <c r="AU206" s="454">
        <f t="shared" ref="AU206:BB206" si="842">IF(AU204="","",AU204*AU205)</f>
        <v>0</v>
      </c>
      <c r="AV206" s="454">
        <f t="shared" si="842"/>
        <v>0</v>
      </c>
      <c r="AW206" s="454">
        <f t="shared" si="842"/>
        <v>0</v>
      </c>
      <c r="AX206" s="454">
        <f t="shared" si="842"/>
        <v>0</v>
      </c>
      <c r="AY206" s="454">
        <f t="shared" si="842"/>
        <v>0</v>
      </c>
      <c r="AZ206" s="454">
        <f t="shared" si="842"/>
        <v>0</v>
      </c>
      <c r="BA206" s="454">
        <f t="shared" si="842"/>
        <v>0</v>
      </c>
      <c r="BB206" s="454">
        <f t="shared" si="842"/>
        <v>0</v>
      </c>
      <c r="BC206" s="455"/>
      <c r="BD206" s="454">
        <f t="shared" ref="BD206:BL206" si="843">IF(BD204="","",BD204*BD205)</f>
        <v>450</v>
      </c>
      <c r="BE206" s="454">
        <f t="shared" si="843"/>
        <v>0</v>
      </c>
      <c r="BF206" s="454">
        <f t="shared" si="843"/>
        <v>600</v>
      </c>
      <c r="BG206" s="454">
        <f t="shared" si="843"/>
        <v>350</v>
      </c>
      <c r="BH206" s="454">
        <f t="shared" si="843"/>
        <v>0</v>
      </c>
      <c r="BI206" s="454">
        <f t="shared" si="843"/>
        <v>150</v>
      </c>
      <c r="BJ206" s="454">
        <f t="shared" si="843"/>
        <v>5000</v>
      </c>
      <c r="BK206" s="454">
        <f t="shared" si="843"/>
        <v>300</v>
      </c>
      <c r="BL206" s="454">
        <f t="shared" si="843"/>
        <v>450</v>
      </c>
      <c r="BM206" s="454">
        <f t="shared" ref="BM206:BT206" si="844">IF(BM204="","",BM204*BM205)</f>
        <v>0</v>
      </c>
      <c r="BN206" s="454">
        <f t="shared" si="844"/>
        <v>0</v>
      </c>
      <c r="BO206" s="454">
        <f t="shared" si="844"/>
        <v>0</v>
      </c>
      <c r="BP206" s="454">
        <f t="shared" si="844"/>
        <v>0</v>
      </c>
      <c r="BQ206" s="454">
        <f t="shared" si="844"/>
        <v>0</v>
      </c>
      <c r="BR206" s="454">
        <f t="shared" si="844"/>
        <v>0</v>
      </c>
      <c r="BS206" s="454">
        <f t="shared" si="844"/>
        <v>0</v>
      </c>
      <c r="BT206" s="454">
        <f t="shared" si="844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09">
        <f t="shared" si="835"/>
        <v>0</v>
      </c>
      <c r="CE206" s="1110">
        <f t="shared" si="835"/>
        <v>0</v>
      </c>
      <c r="CF206" s="1111">
        <f t="shared" si="835"/>
        <v>0</v>
      </c>
      <c r="CG206" s="1111">
        <f t="shared" si="835"/>
        <v>0</v>
      </c>
      <c r="CH206" s="1111">
        <f t="shared" si="835"/>
        <v>0</v>
      </c>
      <c r="CI206" s="1111">
        <f t="shared" si="835"/>
        <v>0</v>
      </c>
      <c r="CJ206" s="1111">
        <f t="shared" si="835"/>
        <v>0</v>
      </c>
      <c r="CK206" s="1112">
        <f t="shared" si="835"/>
        <v>0</v>
      </c>
      <c r="CL206" s="1112">
        <f t="shared" si="835"/>
        <v>0</v>
      </c>
      <c r="CM206" s="1112">
        <f t="shared" si="835"/>
        <v>0</v>
      </c>
      <c r="CN206" s="1111">
        <f t="shared" si="835"/>
        <v>0</v>
      </c>
      <c r="CO206" s="1111">
        <f t="shared" si="835"/>
        <v>0</v>
      </c>
      <c r="CP206" s="1111">
        <f t="shared" si="835"/>
        <v>0</v>
      </c>
      <c r="CQ206" s="1111">
        <f t="shared" si="835"/>
        <v>0</v>
      </c>
      <c r="CR206" s="1111">
        <f t="shared" si="835"/>
        <v>0</v>
      </c>
      <c r="CS206" s="1110">
        <f t="shared" si="835"/>
        <v>0</v>
      </c>
      <c r="CT206" s="1113">
        <f t="shared" si="836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09" t="str">
        <f t="shared" si="835"/>
        <v/>
      </c>
      <c r="CE207" s="1110" t="str">
        <f t="shared" si="835"/>
        <v/>
      </c>
      <c r="CF207" s="1111" t="str">
        <f t="shared" si="835"/>
        <v/>
      </c>
      <c r="CG207" s="1111" t="str">
        <f t="shared" si="835"/>
        <v/>
      </c>
      <c r="CH207" s="1111" t="str">
        <f t="shared" si="835"/>
        <v/>
      </c>
      <c r="CI207" s="1111" t="str">
        <f t="shared" si="835"/>
        <v/>
      </c>
      <c r="CJ207" s="1111" t="str">
        <f t="shared" si="835"/>
        <v/>
      </c>
      <c r="CK207" s="1112" t="str">
        <f t="shared" si="835"/>
        <v/>
      </c>
      <c r="CL207" s="1112" t="str">
        <f t="shared" si="835"/>
        <v/>
      </c>
      <c r="CM207" s="1112" t="str">
        <f t="shared" si="835"/>
        <v/>
      </c>
      <c r="CN207" s="1111" t="str">
        <f t="shared" si="835"/>
        <v/>
      </c>
      <c r="CO207" s="1111" t="str">
        <f t="shared" si="835"/>
        <v/>
      </c>
      <c r="CP207" s="1111" t="str">
        <f t="shared" si="835"/>
        <v/>
      </c>
      <c r="CQ207" s="1111" t="str">
        <f t="shared" si="835"/>
        <v/>
      </c>
      <c r="CR207" s="1111" t="str">
        <f t="shared" si="835"/>
        <v/>
      </c>
      <c r="CS207" s="1110" t="str">
        <f t="shared" si="835"/>
        <v/>
      </c>
      <c r="CT207" s="1113" t="str">
        <f t="shared" si="836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09" t="str">
        <f t="shared" si="835"/>
        <v/>
      </c>
      <c r="CE208" s="1110" t="str">
        <f t="shared" si="835"/>
        <v/>
      </c>
      <c r="CF208" s="1111" t="str">
        <f t="shared" si="835"/>
        <v/>
      </c>
      <c r="CG208" s="1111" t="str">
        <f t="shared" si="835"/>
        <v/>
      </c>
      <c r="CH208" s="1111" t="str">
        <f t="shared" si="835"/>
        <v/>
      </c>
      <c r="CI208" s="1111" t="str">
        <f t="shared" si="835"/>
        <v/>
      </c>
      <c r="CJ208" s="1111" t="str">
        <f t="shared" si="835"/>
        <v/>
      </c>
      <c r="CK208" s="1112" t="str">
        <f t="shared" si="835"/>
        <v/>
      </c>
      <c r="CL208" s="1112" t="str">
        <f t="shared" si="835"/>
        <v/>
      </c>
      <c r="CM208" s="1112" t="str">
        <f t="shared" si="835"/>
        <v/>
      </c>
      <c r="CN208" s="1111" t="str">
        <f t="shared" si="835"/>
        <v/>
      </c>
      <c r="CO208" s="1111" t="str">
        <f t="shared" si="835"/>
        <v/>
      </c>
      <c r="CP208" s="1111" t="str">
        <f t="shared" si="835"/>
        <v/>
      </c>
      <c r="CQ208" s="1111" t="str">
        <f t="shared" si="835"/>
        <v/>
      </c>
      <c r="CR208" s="1111" t="str">
        <f t="shared" si="835"/>
        <v/>
      </c>
      <c r="CS208" s="1110" t="str">
        <f t="shared" si="835"/>
        <v/>
      </c>
      <c r="CT208" s="1113" t="str">
        <f t="shared" si="836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5">IF(B207="","",B207*B208)</f>
        <v/>
      </c>
      <c r="C209" s="383" t="str">
        <f t="shared" si="845"/>
        <v/>
      </c>
      <c r="D209" s="383" t="str">
        <f t="shared" si="845"/>
        <v/>
      </c>
      <c r="E209" s="383" t="str">
        <f t="shared" si="845"/>
        <v/>
      </c>
      <c r="F209" s="383" t="str">
        <f t="shared" si="845"/>
        <v/>
      </c>
      <c r="G209" s="383" t="str">
        <f t="shared" si="845"/>
        <v/>
      </c>
      <c r="H209" s="383" t="str">
        <f t="shared" si="845"/>
        <v/>
      </c>
      <c r="I209" s="383" t="str">
        <f t="shared" si="845"/>
        <v/>
      </c>
      <c r="J209" s="383" t="str">
        <f t="shared" si="845"/>
        <v/>
      </c>
      <c r="K209" s="383" t="str">
        <f t="shared" ref="K209:R209" si="846">IF(K207="","",K207*K208)</f>
        <v/>
      </c>
      <c r="L209" s="383" t="str">
        <f t="shared" si="846"/>
        <v/>
      </c>
      <c r="M209" s="383" t="str">
        <f t="shared" si="846"/>
        <v/>
      </c>
      <c r="N209" s="383" t="str">
        <f t="shared" si="846"/>
        <v/>
      </c>
      <c r="O209" s="383" t="str">
        <f t="shared" si="846"/>
        <v/>
      </c>
      <c r="P209" s="383" t="str">
        <f t="shared" si="846"/>
        <v/>
      </c>
      <c r="Q209" s="383" t="str">
        <f t="shared" si="846"/>
        <v/>
      </c>
      <c r="R209" s="383" t="str">
        <f t="shared" si="846"/>
        <v/>
      </c>
      <c r="S209" s="364"/>
      <c r="T209" s="383" t="str">
        <f t="shared" ref="T209:AB209" si="847">IF(T207="","",T207*T208)</f>
        <v/>
      </c>
      <c r="U209" s="383" t="str">
        <f t="shared" si="847"/>
        <v/>
      </c>
      <c r="V209" s="383" t="str">
        <f t="shared" si="847"/>
        <v/>
      </c>
      <c r="W209" s="383" t="str">
        <f t="shared" si="847"/>
        <v/>
      </c>
      <c r="X209" s="383" t="str">
        <f t="shared" si="847"/>
        <v/>
      </c>
      <c r="Y209" s="383" t="str">
        <f t="shared" si="847"/>
        <v/>
      </c>
      <c r="Z209" s="383" t="str">
        <f t="shared" si="847"/>
        <v/>
      </c>
      <c r="AA209" s="383" t="str">
        <f t="shared" si="847"/>
        <v/>
      </c>
      <c r="AB209" s="383" t="str">
        <f t="shared" si="847"/>
        <v/>
      </c>
      <c r="AC209" s="383" t="str">
        <f t="shared" ref="AC209:AJ209" si="848">IF(AC207="","",AC207*AC208)</f>
        <v/>
      </c>
      <c r="AD209" s="383" t="str">
        <f t="shared" si="848"/>
        <v/>
      </c>
      <c r="AE209" s="383" t="str">
        <f t="shared" si="848"/>
        <v/>
      </c>
      <c r="AF209" s="383" t="str">
        <f t="shared" si="848"/>
        <v/>
      </c>
      <c r="AG209" s="383" t="str">
        <f t="shared" si="848"/>
        <v/>
      </c>
      <c r="AH209" s="383" t="str">
        <f t="shared" si="848"/>
        <v/>
      </c>
      <c r="AI209" s="383" t="str">
        <f t="shared" si="848"/>
        <v/>
      </c>
      <c r="AJ209" s="383" t="str">
        <f t="shared" si="848"/>
        <v/>
      </c>
      <c r="AK209" s="364"/>
      <c r="AL209" s="383" t="str">
        <f t="shared" ref="AL209:AT209" si="849">IF(AL207="","",AL207*AL208)</f>
        <v/>
      </c>
      <c r="AM209" s="383" t="str">
        <f t="shared" si="849"/>
        <v/>
      </c>
      <c r="AN209" s="383" t="str">
        <f t="shared" si="849"/>
        <v/>
      </c>
      <c r="AO209" s="383" t="str">
        <f t="shared" si="849"/>
        <v/>
      </c>
      <c r="AP209" s="383" t="str">
        <f t="shared" si="849"/>
        <v/>
      </c>
      <c r="AQ209" s="383" t="str">
        <f t="shared" si="849"/>
        <v/>
      </c>
      <c r="AR209" s="383" t="str">
        <f t="shared" si="849"/>
        <v/>
      </c>
      <c r="AS209" s="383" t="str">
        <f t="shared" si="849"/>
        <v/>
      </c>
      <c r="AT209" s="383" t="str">
        <f t="shared" si="849"/>
        <v/>
      </c>
      <c r="AU209" s="383" t="str">
        <f t="shared" ref="AU209:BB209" si="850">IF(AU207="","",AU207*AU208)</f>
        <v/>
      </c>
      <c r="AV209" s="383" t="str">
        <f t="shared" si="850"/>
        <v/>
      </c>
      <c r="AW209" s="383" t="str">
        <f t="shared" si="850"/>
        <v/>
      </c>
      <c r="AX209" s="383" t="str">
        <f t="shared" si="850"/>
        <v/>
      </c>
      <c r="AY209" s="383" t="str">
        <f t="shared" si="850"/>
        <v/>
      </c>
      <c r="AZ209" s="383" t="str">
        <f t="shared" si="850"/>
        <v/>
      </c>
      <c r="BA209" s="383" t="str">
        <f t="shared" si="850"/>
        <v/>
      </c>
      <c r="BB209" s="383" t="str">
        <f t="shared" si="850"/>
        <v/>
      </c>
      <c r="BC209" s="364"/>
      <c r="BD209" s="383" t="str">
        <f t="shared" ref="BD209:BL209" si="851">IF(BD207="","",BD207*BD208)</f>
        <v/>
      </c>
      <c r="BE209" s="383" t="str">
        <f t="shared" si="851"/>
        <v/>
      </c>
      <c r="BF209" s="383" t="str">
        <f t="shared" si="851"/>
        <v/>
      </c>
      <c r="BG209" s="383" t="str">
        <f t="shared" si="851"/>
        <v/>
      </c>
      <c r="BH209" s="383" t="str">
        <f t="shared" si="851"/>
        <v/>
      </c>
      <c r="BI209" s="383" t="str">
        <f t="shared" si="851"/>
        <v/>
      </c>
      <c r="BJ209" s="383" t="str">
        <f t="shared" si="851"/>
        <v/>
      </c>
      <c r="BK209" s="383" t="str">
        <f t="shared" si="851"/>
        <v/>
      </c>
      <c r="BL209" s="383" t="str">
        <f t="shared" si="851"/>
        <v/>
      </c>
      <c r="BM209" s="383" t="str">
        <f t="shared" ref="BM209:BT209" si="852">IF(BM207="","",BM207*BM208)</f>
        <v/>
      </c>
      <c r="BN209" s="383" t="str">
        <f t="shared" si="852"/>
        <v/>
      </c>
      <c r="BO209" s="383" t="str">
        <f t="shared" si="852"/>
        <v/>
      </c>
      <c r="BP209" s="383" t="str">
        <f t="shared" si="852"/>
        <v/>
      </c>
      <c r="BQ209" s="383" t="str">
        <f t="shared" si="852"/>
        <v/>
      </c>
      <c r="BR209" s="383" t="str">
        <f t="shared" si="852"/>
        <v/>
      </c>
      <c r="BS209" s="383" t="str">
        <f t="shared" si="852"/>
        <v/>
      </c>
      <c r="BT209" s="383" t="str">
        <f t="shared" si="852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09" t="str">
        <f t="shared" si="835"/>
        <v/>
      </c>
      <c r="CE209" s="1110" t="str">
        <f t="shared" si="835"/>
        <v/>
      </c>
      <c r="CF209" s="1111" t="str">
        <f t="shared" si="835"/>
        <v/>
      </c>
      <c r="CG209" s="1111" t="str">
        <f t="shared" si="835"/>
        <v/>
      </c>
      <c r="CH209" s="1111" t="str">
        <f t="shared" si="835"/>
        <v/>
      </c>
      <c r="CI209" s="1111" t="str">
        <f t="shared" si="835"/>
        <v/>
      </c>
      <c r="CJ209" s="1111" t="str">
        <f t="shared" si="835"/>
        <v/>
      </c>
      <c r="CK209" s="1112" t="str">
        <f t="shared" si="835"/>
        <v/>
      </c>
      <c r="CL209" s="1112" t="str">
        <f t="shared" si="835"/>
        <v/>
      </c>
      <c r="CM209" s="1112" t="str">
        <f t="shared" si="835"/>
        <v/>
      </c>
      <c r="CN209" s="1111" t="str">
        <f t="shared" si="835"/>
        <v/>
      </c>
      <c r="CO209" s="1111" t="str">
        <f t="shared" si="835"/>
        <v/>
      </c>
      <c r="CP209" s="1111" t="str">
        <f t="shared" si="835"/>
        <v/>
      </c>
      <c r="CQ209" s="1111" t="str">
        <f t="shared" si="835"/>
        <v/>
      </c>
      <c r="CR209" s="1111" t="str">
        <f t="shared" si="835"/>
        <v/>
      </c>
      <c r="CS209" s="1110" t="str">
        <f t="shared" si="835"/>
        <v/>
      </c>
      <c r="CT209" s="1113" t="str">
        <f t="shared" si="836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09">
        <f t="shared" si="835"/>
        <v>0</v>
      </c>
      <c r="CE210" s="1110">
        <f t="shared" si="835"/>
        <v>0</v>
      </c>
      <c r="CF210" s="1111">
        <f t="shared" si="835"/>
        <v>0</v>
      </c>
      <c r="CG210" s="1111">
        <f t="shared" si="835"/>
        <v>0</v>
      </c>
      <c r="CH210" s="1111">
        <f t="shared" si="835"/>
        <v>0</v>
      </c>
      <c r="CI210" s="1111">
        <f t="shared" si="835"/>
        <v>0</v>
      </c>
      <c r="CJ210" s="1111">
        <f t="shared" si="835"/>
        <v>0</v>
      </c>
      <c r="CK210" s="1112">
        <f t="shared" si="835"/>
        <v>0</v>
      </c>
      <c r="CL210" s="1112">
        <f t="shared" si="835"/>
        <v>0</v>
      </c>
      <c r="CM210" s="1112">
        <f t="shared" si="835"/>
        <v>0</v>
      </c>
      <c r="CN210" s="1111">
        <f t="shared" si="835"/>
        <v>0</v>
      </c>
      <c r="CO210" s="1111">
        <f t="shared" si="835"/>
        <v>0</v>
      </c>
      <c r="CP210" s="1111">
        <f t="shared" si="835"/>
        <v>0</v>
      </c>
      <c r="CQ210" s="1111">
        <f t="shared" si="835"/>
        <v>0</v>
      </c>
      <c r="CR210" s="1111">
        <f t="shared" si="835"/>
        <v>0</v>
      </c>
      <c r="CS210" s="1110">
        <f t="shared" si="835"/>
        <v>0</v>
      </c>
      <c r="CT210" s="1113">
        <f t="shared" si="836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09" t="str">
        <f t="shared" si="835"/>
        <v/>
      </c>
      <c r="CE211" s="1110" t="str">
        <f t="shared" si="835"/>
        <v/>
      </c>
      <c r="CF211" s="1111" t="str">
        <f t="shared" si="835"/>
        <v/>
      </c>
      <c r="CG211" s="1111" t="str">
        <f t="shared" si="835"/>
        <v/>
      </c>
      <c r="CH211" s="1111" t="str">
        <f t="shared" si="835"/>
        <v/>
      </c>
      <c r="CI211" s="1111" t="str">
        <f t="shared" si="835"/>
        <v/>
      </c>
      <c r="CJ211" s="1111" t="str">
        <f t="shared" si="835"/>
        <v/>
      </c>
      <c r="CK211" s="1112" t="str">
        <f t="shared" si="835"/>
        <v/>
      </c>
      <c r="CL211" s="1112" t="str">
        <f t="shared" si="835"/>
        <v/>
      </c>
      <c r="CM211" s="1112" t="str">
        <f t="shared" si="835"/>
        <v/>
      </c>
      <c r="CN211" s="1111" t="str">
        <f t="shared" si="835"/>
        <v/>
      </c>
      <c r="CO211" s="1111" t="str">
        <f t="shared" si="835"/>
        <v/>
      </c>
      <c r="CP211" s="1111" t="str">
        <f t="shared" si="835"/>
        <v/>
      </c>
      <c r="CQ211" s="1111" t="str">
        <f t="shared" si="835"/>
        <v/>
      </c>
      <c r="CR211" s="1111" t="str">
        <f t="shared" si="835"/>
        <v/>
      </c>
      <c r="CS211" s="1110" t="str">
        <f t="shared" si="835"/>
        <v/>
      </c>
      <c r="CT211" s="1113" t="str">
        <f t="shared" si="836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3">IF(B210="","",B210*B211)</f>
        <v>0</v>
      </c>
      <c r="C212" s="383">
        <f t="shared" si="853"/>
        <v>0</v>
      </c>
      <c r="D212" s="383">
        <f t="shared" si="853"/>
        <v>0</v>
      </c>
      <c r="E212" s="383">
        <f t="shared" si="853"/>
        <v>0</v>
      </c>
      <c r="F212" s="383">
        <f t="shared" si="853"/>
        <v>0</v>
      </c>
      <c r="G212" s="383">
        <f t="shared" si="853"/>
        <v>0</v>
      </c>
      <c r="H212" s="383">
        <f t="shared" si="853"/>
        <v>0</v>
      </c>
      <c r="I212" s="383">
        <f t="shared" si="853"/>
        <v>0</v>
      </c>
      <c r="J212" s="383">
        <f t="shared" si="853"/>
        <v>0</v>
      </c>
      <c r="K212" s="383">
        <f t="shared" ref="K212:R212" si="854">IF(K210="","",K210*K211)</f>
        <v>0</v>
      </c>
      <c r="L212" s="383">
        <f t="shared" si="854"/>
        <v>0</v>
      </c>
      <c r="M212" s="383">
        <f t="shared" si="854"/>
        <v>0</v>
      </c>
      <c r="N212" s="383">
        <f t="shared" si="854"/>
        <v>0</v>
      </c>
      <c r="O212" s="383">
        <f t="shared" si="854"/>
        <v>0</v>
      </c>
      <c r="P212" s="383">
        <f t="shared" si="854"/>
        <v>0</v>
      </c>
      <c r="Q212" s="383">
        <f t="shared" si="854"/>
        <v>0</v>
      </c>
      <c r="R212" s="383">
        <f t="shared" si="854"/>
        <v>0</v>
      </c>
      <c r="S212" s="372"/>
      <c r="T212" s="383">
        <f t="shared" ref="T212:AB212" si="855">IF(T210="","",T210*T211)</f>
        <v>0</v>
      </c>
      <c r="U212" s="383">
        <f t="shared" si="855"/>
        <v>0</v>
      </c>
      <c r="V212" s="383">
        <f t="shared" si="855"/>
        <v>0</v>
      </c>
      <c r="W212" s="383">
        <f t="shared" si="855"/>
        <v>0</v>
      </c>
      <c r="X212" s="383">
        <f t="shared" si="855"/>
        <v>0</v>
      </c>
      <c r="Y212" s="383">
        <f t="shared" si="855"/>
        <v>0</v>
      </c>
      <c r="Z212" s="383">
        <f t="shared" si="855"/>
        <v>0</v>
      </c>
      <c r="AA212" s="383">
        <f t="shared" si="855"/>
        <v>0</v>
      </c>
      <c r="AB212" s="383">
        <f t="shared" si="855"/>
        <v>0</v>
      </c>
      <c r="AC212" s="383">
        <f t="shared" ref="AC212:AJ212" si="856">IF(AC210="","",AC210*AC211)</f>
        <v>0</v>
      </c>
      <c r="AD212" s="383">
        <f t="shared" si="856"/>
        <v>0</v>
      </c>
      <c r="AE212" s="383">
        <f t="shared" si="856"/>
        <v>0</v>
      </c>
      <c r="AF212" s="383">
        <f t="shared" si="856"/>
        <v>0</v>
      </c>
      <c r="AG212" s="383">
        <f t="shared" si="856"/>
        <v>0</v>
      </c>
      <c r="AH212" s="383">
        <f t="shared" si="856"/>
        <v>0</v>
      </c>
      <c r="AI212" s="383">
        <f t="shared" si="856"/>
        <v>0</v>
      </c>
      <c r="AJ212" s="383">
        <f t="shared" si="856"/>
        <v>0</v>
      </c>
      <c r="AK212" s="372"/>
      <c r="AL212" s="383">
        <f t="shared" ref="AL212:AT212" si="857">IF(AL210="","",AL210*AL211)</f>
        <v>0</v>
      </c>
      <c r="AM212" s="383">
        <f t="shared" si="857"/>
        <v>0</v>
      </c>
      <c r="AN212" s="383">
        <f t="shared" si="857"/>
        <v>0</v>
      </c>
      <c r="AO212" s="383">
        <f t="shared" si="857"/>
        <v>0</v>
      </c>
      <c r="AP212" s="383">
        <f t="shared" si="857"/>
        <v>0</v>
      </c>
      <c r="AQ212" s="383">
        <f t="shared" si="857"/>
        <v>0</v>
      </c>
      <c r="AR212" s="383">
        <f t="shared" si="857"/>
        <v>0</v>
      </c>
      <c r="AS212" s="383">
        <f t="shared" si="857"/>
        <v>0</v>
      </c>
      <c r="AT212" s="383">
        <f t="shared" si="857"/>
        <v>0</v>
      </c>
      <c r="AU212" s="383">
        <f t="shared" ref="AU212:BB212" si="858">IF(AU210="","",AU210*AU211)</f>
        <v>0</v>
      </c>
      <c r="AV212" s="383">
        <f t="shared" si="858"/>
        <v>0</v>
      </c>
      <c r="AW212" s="383">
        <f t="shared" si="858"/>
        <v>0</v>
      </c>
      <c r="AX212" s="383">
        <f t="shared" si="858"/>
        <v>0</v>
      </c>
      <c r="AY212" s="383">
        <f t="shared" si="858"/>
        <v>0</v>
      </c>
      <c r="AZ212" s="383">
        <f t="shared" si="858"/>
        <v>0</v>
      </c>
      <c r="BA212" s="383">
        <f t="shared" si="858"/>
        <v>0</v>
      </c>
      <c r="BB212" s="383">
        <f t="shared" si="858"/>
        <v>0</v>
      </c>
      <c r="BC212" s="372"/>
      <c r="BD212" s="383">
        <f t="shared" ref="BD212:BL212" si="859">IF(BD210="","",BD210*BD211)</f>
        <v>0</v>
      </c>
      <c r="BE212" s="383">
        <f t="shared" si="859"/>
        <v>0</v>
      </c>
      <c r="BF212" s="383">
        <f t="shared" si="859"/>
        <v>0</v>
      </c>
      <c r="BG212" s="383">
        <f t="shared" si="859"/>
        <v>0</v>
      </c>
      <c r="BH212" s="383">
        <f t="shared" si="859"/>
        <v>0</v>
      </c>
      <c r="BI212" s="383">
        <f t="shared" si="859"/>
        <v>0</v>
      </c>
      <c r="BJ212" s="383">
        <f t="shared" si="859"/>
        <v>0</v>
      </c>
      <c r="BK212" s="383">
        <f t="shared" si="859"/>
        <v>0</v>
      </c>
      <c r="BL212" s="383">
        <f t="shared" si="859"/>
        <v>0</v>
      </c>
      <c r="BM212" s="383">
        <f t="shared" ref="BM212:BT212" si="860">IF(BM210="","",BM210*BM211)</f>
        <v>0</v>
      </c>
      <c r="BN212" s="383">
        <f t="shared" si="860"/>
        <v>0</v>
      </c>
      <c r="BO212" s="383">
        <f t="shared" si="860"/>
        <v>0</v>
      </c>
      <c r="BP212" s="383">
        <f t="shared" si="860"/>
        <v>0</v>
      </c>
      <c r="BQ212" s="383">
        <f t="shared" si="860"/>
        <v>0</v>
      </c>
      <c r="BR212" s="383">
        <f t="shared" si="860"/>
        <v>0</v>
      </c>
      <c r="BS212" s="383">
        <f t="shared" si="860"/>
        <v>0</v>
      </c>
      <c r="BT212" s="383">
        <f t="shared" si="860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09">
        <f t="shared" si="835"/>
        <v>0</v>
      </c>
      <c r="CE212" s="1110">
        <f t="shared" si="835"/>
        <v>0</v>
      </c>
      <c r="CF212" s="1111">
        <f t="shared" si="835"/>
        <v>0</v>
      </c>
      <c r="CG212" s="1111">
        <f t="shared" si="835"/>
        <v>0</v>
      </c>
      <c r="CH212" s="1111">
        <f t="shared" si="835"/>
        <v>0</v>
      </c>
      <c r="CI212" s="1111">
        <f t="shared" si="835"/>
        <v>0</v>
      </c>
      <c r="CJ212" s="1111">
        <f t="shared" si="835"/>
        <v>0</v>
      </c>
      <c r="CK212" s="1112">
        <f t="shared" si="835"/>
        <v>0</v>
      </c>
      <c r="CL212" s="1112">
        <f t="shared" si="835"/>
        <v>0</v>
      </c>
      <c r="CM212" s="1112">
        <f t="shared" si="835"/>
        <v>0</v>
      </c>
      <c r="CN212" s="1111">
        <f t="shared" si="835"/>
        <v>0</v>
      </c>
      <c r="CO212" s="1111">
        <f t="shared" si="835"/>
        <v>0</v>
      </c>
      <c r="CP212" s="1111">
        <f t="shared" si="835"/>
        <v>0</v>
      </c>
      <c r="CQ212" s="1111">
        <f t="shared" si="835"/>
        <v>0</v>
      </c>
      <c r="CR212" s="1111">
        <f t="shared" si="835"/>
        <v>0</v>
      </c>
      <c r="CS212" s="1110">
        <f t="shared" si="835"/>
        <v>0</v>
      </c>
      <c r="CT212" s="1113">
        <f t="shared" si="836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 t="str">
        <f t="shared" ref="K213:R213" si="861">IF(SUM(K54,K55)=0,"",(K181+K201+K204+K207+K210)/SUM(K54,K55))</f>
        <v/>
      </c>
      <c r="L213" s="396" t="str">
        <f t="shared" si="861"/>
        <v/>
      </c>
      <c r="M213" s="396" t="str">
        <f t="shared" si="861"/>
        <v/>
      </c>
      <c r="N213" s="396" t="str">
        <f t="shared" si="861"/>
        <v/>
      </c>
      <c r="O213" s="396" t="str">
        <f t="shared" si="861"/>
        <v/>
      </c>
      <c r="P213" s="396" t="str">
        <f t="shared" si="861"/>
        <v/>
      </c>
      <c r="Q213" s="396" t="str">
        <f t="shared" si="861"/>
        <v/>
      </c>
      <c r="R213" s="396" t="str">
        <f t="shared" si="861"/>
        <v/>
      </c>
      <c r="S213" s="448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396" t="str">
        <f t="shared" ref="AC213:AJ213" si="862">IF(SUM(AC54,AC55)=0,"",(AC181+AC201+AC204+AC207+AC210)/SUM(AC54,AC55))</f>
        <v/>
      </c>
      <c r="AD213" s="396" t="str">
        <f t="shared" si="862"/>
        <v/>
      </c>
      <c r="AE213" s="396" t="str">
        <f t="shared" si="862"/>
        <v/>
      </c>
      <c r="AF213" s="396" t="str">
        <f t="shared" si="862"/>
        <v/>
      </c>
      <c r="AG213" s="396" t="str">
        <f t="shared" si="862"/>
        <v/>
      </c>
      <c r="AH213" s="396" t="str">
        <f t="shared" si="862"/>
        <v/>
      </c>
      <c r="AI213" s="396" t="str">
        <f t="shared" si="862"/>
        <v/>
      </c>
      <c r="AJ213" s="396" t="str">
        <f t="shared" si="862"/>
        <v/>
      </c>
      <c r="AK213" s="448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 t="str">
        <f t="shared" ref="AU213:BB213" si="863">IF(SUM(AU54,AU55)=0,"",(AU181+AU201+AU204+AU207+AU210)/SUM(AU54,AU55))</f>
        <v/>
      </c>
      <c r="AV213" s="396" t="str">
        <f t="shared" si="863"/>
        <v/>
      </c>
      <c r="AW213" s="396" t="str">
        <f t="shared" si="863"/>
        <v/>
      </c>
      <c r="AX213" s="396" t="str">
        <f t="shared" si="863"/>
        <v/>
      </c>
      <c r="AY213" s="396" t="str">
        <f t="shared" si="863"/>
        <v/>
      </c>
      <c r="AZ213" s="396" t="str">
        <f t="shared" si="863"/>
        <v/>
      </c>
      <c r="BA213" s="396" t="str">
        <f t="shared" si="863"/>
        <v/>
      </c>
      <c r="BB213" s="396" t="str">
        <f t="shared" si="863"/>
        <v/>
      </c>
      <c r="BC213" s="448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396" t="str">
        <f t="shared" ref="BM213:BT213" si="864">IF(SUM(BM54,BM55)=0,"",(BM181+BM201+BM204+BM207+BM210)/SUM(BM54,BM55))</f>
        <v/>
      </c>
      <c r="BN213" s="396" t="str">
        <f t="shared" si="864"/>
        <v/>
      </c>
      <c r="BO213" s="396" t="str">
        <f t="shared" si="864"/>
        <v/>
      </c>
      <c r="BP213" s="396" t="str">
        <f t="shared" si="864"/>
        <v/>
      </c>
      <c r="BQ213" s="396" t="str">
        <f t="shared" si="864"/>
        <v/>
      </c>
      <c r="BR213" s="396" t="str">
        <f t="shared" si="864"/>
        <v/>
      </c>
      <c r="BS213" s="396" t="str">
        <f t="shared" si="864"/>
        <v/>
      </c>
      <c r="BT213" s="396" t="str">
        <f t="shared" si="864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5" t="str">
        <f t="shared" ref="CE213:CT225" si="8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6" t="str">
        <f t="shared" si="865"/>
        <v/>
      </c>
      <c r="CG213" s="1116" t="str">
        <f t="shared" si="865"/>
        <v/>
      </c>
      <c r="CH213" s="1116" t="str">
        <f t="shared" si="865"/>
        <v/>
      </c>
      <c r="CI213" s="1116" t="str">
        <f t="shared" si="865"/>
        <v/>
      </c>
      <c r="CJ213" s="1116" t="str">
        <f t="shared" si="865"/>
        <v/>
      </c>
      <c r="CK213" s="1117" t="str">
        <f t="shared" si="865"/>
        <v/>
      </c>
      <c r="CL213" s="1117" t="str">
        <f t="shared" si="865"/>
        <v/>
      </c>
      <c r="CM213" s="1117" t="str">
        <f t="shared" si="865"/>
        <v/>
      </c>
      <c r="CN213" s="1116" t="str">
        <f t="shared" si="865"/>
        <v/>
      </c>
      <c r="CO213" s="1116" t="str">
        <f t="shared" si="865"/>
        <v/>
      </c>
      <c r="CP213" s="1116" t="str">
        <f t="shared" si="865"/>
        <v/>
      </c>
      <c r="CQ213" s="1116" t="str">
        <f t="shared" si="865"/>
        <v/>
      </c>
      <c r="CR213" s="1116" t="str">
        <f t="shared" si="865"/>
        <v/>
      </c>
      <c r="CS213" s="1115" t="str">
        <f t="shared" si="865"/>
        <v/>
      </c>
      <c r="CT213" s="1118" t="str">
        <f t="shared" si="865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09" t="str">
        <f t="shared" ref="CD214:CD225" si="8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0" t="str">
        <f t="shared" si="865"/>
        <v/>
      </c>
      <c r="CF214" s="1111" t="str">
        <f t="shared" si="865"/>
        <v/>
      </c>
      <c r="CG214" s="1111" t="str">
        <f t="shared" si="865"/>
        <v/>
      </c>
      <c r="CH214" s="1111" t="str">
        <f t="shared" si="865"/>
        <v/>
      </c>
      <c r="CI214" s="1111" t="str">
        <f t="shared" si="865"/>
        <v/>
      </c>
      <c r="CJ214" s="1111">
        <f t="shared" si="865"/>
        <v>1</v>
      </c>
      <c r="CK214" s="1112">
        <f t="shared" si="865"/>
        <v>3</v>
      </c>
      <c r="CL214" s="1112">
        <f t="shared" si="865"/>
        <v>3</v>
      </c>
      <c r="CM214" s="1112">
        <f t="shared" si="865"/>
        <v>3</v>
      </c>
      <c r="CN214" s="1111">
        <f t="shared" si="865"/>
        <v>4</v>
      </c>
      <c r="CO214" s="1111">
        <f t="shared" si="865"/>
        <v>10</v>
      </c>
      <c r="CP214" s="1111" t="str">
        <f t="shared" si="865"/>
        <v/>
      </c>
      <c r="CQ214" s="1111" t="str">
        <f t="shared" si="865"/>
        <v/>
      </c>
      <c r="CR214" s="1111" t="str">
        <f t="shared" si="865"/>
        <v/>
      </c>
      <c r="CS214" s="1110" t="str">
        <f t="shared" si="865"/>
        <v/>
      </c>
      <c r="CT214" s="1113" t="str">
        <f t="shared" si="865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09" t="str">
        <f t="shared" si="866"/>
        <v/>
      </c>
      <c r="CE215" s="1110" t="str">
        <f t="shared" si="865"/>
        <v/>
      </c>
      <c r="CF215" s="1111" t="str">
        <f t="shared" si="865"/>
        <v/>
      </c>
      <c r="CG215" s="1111" t="str">
        <f t="shared" si="865"/>
        <v/>
      </c>
      <c r="CH215" s="1111" t="str">
        <f t="shared" si="865"/>
        <v/>
      </c>
      <c r="CI215" s="1111" t="str">
        <f t="shared" si="865"/>
        <v/>
      </c>
      <c r="CJ215" s="1111">
        <f t="shared" si="865"/>
        <v>20</v>
      </c>
      <c r="CK215" s="1112">
        <f t="shared" si="865"/>
        <v>20</v>
      </c>
      <c r="CL215" s="1112">
        <f t="shared" si="865"/>
        <v>20</v>
      </c>
      <c r="CM215" s="1112">
        <f t="shared" si="865"/>
        <v>25</v>
      </c>
      <c r="CN215" s="1111">
        <f t="shared" si="865"/>
        <v>25</v>
      </c>
      <c r="CO215" s="1111">
        <f t="shared" si="865"/>
        <v>25</v>
      </c>
      <c r="CP215" s="1111" t="str">
        <f t="shared" si="865"/>
        <v/>
      </c>
      <c r="CQ215" s="1111" t="str">
        <f t="shared" si="865"/>
        <v/>
      </c>
      <c r="CR215" s="1111" t="str">
        <f t="shared" si="865"/>
        <v/>
      </c>
      <c r="CS215" s="1110" t="str">
        <f t="shared" si="865"/>
        <v/>
      </c>
      <c r="CT215" s="1113" t="str">
        <f t="shared" si="865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7">IF(B214="","",B214*B215)</f>
        <v/>
      </c>
      <c r="C216" s="382">
        <f t="shared" si="867"/>
        <v>200</v>
      </c>
      <c r="D216" s="382">
        <f t="shared" si="867"/>
        <v>60</v>
      </c>
      <c r="E216" s="382" t="str">
        <f t="shared" si="867"/>
        <v/>
      </c>
      <c r="F216" s="382">
        <f t="shared" si="867"/>
        <v>75</v>
      </c>
      <c r="G216" s="382">
        <f t="shared" si="867"/>
        <v>25</v>
      </c>
      <c r="H216" s="382">
        <f t="shared" si="867"/>
        <v>75</v>
      </c>
      <c r="I216" s="382" t="str">
        <f t="shared" si="867"/>
        <v/>
      </c>
      <c r="J216" s="382">
        <f t="shared" si="867"/>
        <v>80</v>
      </c>
      <c r="K216" s="382" t="str">
        <f t="shared" ref="K216:R216" si="868">IF(K214="","",K214*K215)</f>
        <v/>
      </c>
      <c r="L216" s="382" t="str">
        <f t="shared" si="868"/>
        <v/>
      </c>
      <c r="M216" s="382" t="str">
        <f t="shared" si="868"/>
        <v/>
      </c>
      <c r="N216" s="382" t="str">
        <f t="shared" si="868"/>
        <v/>
      </c>
      <c r="O216" s="382" t="str">
        <f t="shared" si="868"/>
        <v/>
      </c>
      <c r="P216" s="382" t="str">
        <f t="shared" si="868"/>
        <v/>
      </c>
      <c r="Q216" s="382" t="str">
        <f t="shared" si="868"/>
        <v/>
      </c>
      <c r="R216" s="382" t="str">
        <f t="shared" si="868"/>
        <v/>
      </c>
      <c r="S216" s="420"/>
      <c r="T216" s="382">
        <f t="shared" ref="T216:AJ216" si="869">IF(T214="","",T214*T215)</f>
        <v>300</v>
      </c>
      <c r="U216" s="382">
        <f t="shared" si="869"/>
        <v>60</v>
      </c>
      <c r="V216" s="382">
        <f t="shared" si="869"/>
        <v>50</v>
      </c>
      <c r="W216" s="382">
        <f t="shared" si="869"/>
        <v>500</v>
      </c>
      <c r="X216" s="382">
        <f t="shared" si="869"/>
        <v>275</v>
      </c>
      <c r="Y216" s="382">
        <f t="shared" si="869"/>
        <v>160</v>
      </c>
      <c r="Z216" s="382">
        <f t="shared" si="869"/>
        <v>500</v>
      </c>
      <c r="AA216" s="382">
        <f t="shared" si="869"/>
        <v>750</v>
      </c>
      <c r="AB216" s="382">
        <f t="shared" si="869"/>
        <v>200</v>
      </c>
      <c r="AC216" s="382" t="str">
        <f t="shared" si="869"/>
        <v/>
      </c>
      <c r="AD216" s="382" t="str">
        <f t="shared" si="869"/>
        <v/>
      </c>
      <c r="AE216" s="382" t="str">
        <f t="shared" si="869"/>
        <v/>
      </c>
      <c r="AF216" s="382" t="str">
        <f t="shared" si="869"/>
        <v/>
      </c>
      <c r="AG216" s="382" t="str">
        <f t="shared" si="869"/>
        <v/>
      </c>
      <c r="AH216" s="382" t="str">
        <f t="shared" si="869"/>
        <v/>
      </c>
      <c r="AI216" s="382" t="str">
        <f t="shared" si="869"/>
        <v/>
      </c>
      <c r="AJ216" s="382" t="str">
        <f t="shared" si="869"/>
        <v/>
      </c>
      <c r="AK216" s="420"/>
      <c r="AL216" s="382">
        <f t="shared" ref="AL216:AT216" si="870">IF(AL214="","",AL214*AL215)</f>
        <v>325</v>
      </c>
      <c r="AM216" s="382">
        <f t="shared" si="870"/>
        <v>375</v>
      </c>
      <c r="AN216" s="382">
        <f t="shared" si="870"/>
        <v>50</v>
      </c>
      <c r="AO216" s="382">
        <f t="shared" si="870"/>
        <v>750</v>
      </c>
      <c r="AP216" s="382">
        <f t="shared" si="870"/>
        <v>100</v>
      </c>
      <c r="AQ216" s="382">
        <f t="shared" si="870"/>
        <v>200</v>
      </c>
      <c r="AR216" s="382">
        <f t="shared" si="870"/>
        <v>500</v>
      </c>
      <c r="AS216" s="382">
        <f t="shared" si="870"/>
        <v>400</v>
      </c>
      <c r="AT216" s="382">
        <f t="shared" si="870"/>
        <v>2500</v>
      </c>
      <c r="AU216" s="382" t="str">
        <f t="shared" ref="AU216:BB216" si="871">IF(AU214="","",AU214*AU215)</f>
        <v/>
      </c>
      <c r="AV216" s="382" t="str">
        <f t="shared" si="871"/>
        <v/>
      </c>
      <c r="AW216" s="382" t="str">
        <f t="shared" si="871"/>
        <v/>
      </c>
      <c r="AX216" s="382" t="str">
        <f t="shared" si="871"/>
        <v/>
      </c>
      <c r="AY216" s="382" t="str">
        <f t="shared" si="871"/>
        <v/>
      </c>
      <c r="AZ216" s="382" t="str">
        <f t="shared" si="871"/>
        <v/>
      </c>
      <c r="BA216" s="382" t="str">
        <f t="shared" si="871"/>
        <v/>
      </c>
      <c r="BB216" s="382" t="str">
        <f t="shared" si="871"/>
        <v/>
      </c>
      <c r="BC216" s="420"/>
      <c r="BD216" s="382">
        <f t="shared" ref="BD216:BL216" si="872">IF(BD214="","",BD214*BD215)</f>
        <v>160</v>
      </c>
      <c r="BE216" s="382" t="str">
        <f t="shared" si="872"/>
        <v/>
      </c>
      <c r="BF216" s="382">
        <f t="shared" si="872"/>
        <v>250</v>
      </c>
      <c r="BG216" s="382">
        <f t="shared" si="872"/>
        <v>525</v>
      </c>
      <c r="BH216" s="382">
        <f t="shared" si="872"/>
        <v>400</v>
      </c>
      <c r="BI216" s="382">
        <f t="shared" si="872"/>
        <v>125</v>
      </c>
      <c r="BJ216" s="382">
        <f t="shared" si="872"/>
        <v>500</v>
      </c>
      <c r="BK216" s="382">
        <f t="shared" si="872"/>
        <v>40</v>
      </c>
      <c r="BL216" s="382">
        <f t="shared" si="872"/>
        <v>250</v>
      </c>
      <c r="BM216" s="382" t="str">
        <f t="shared" ref="BM216:BT216" si="873">IF(BM214="","",BM214*BM215)</f>
        <v/>
      </c>
      <c r="BN216" s="382" t="str">
        <f t="shared" si="873"/>
        <v/>
      </c>
      <c r="BO216" s="382" t="str">
        <f t="shared" si="873"/>
        <v/>
      </c>
      <c r="BP216" s="382" t="str">
        <f t="shared" si="873"/>
        <v/>
      </c>
      <c r="BQ216" s="382" t="str">
        <f t="shared" si="873"/>
        <v/>
      </c>
      <c r="BR216" s="382" t="str">
        <f t="shared" si="873"/>
        <v/>
      </c>
      <c r="BS216" s="382" t="str">
        <f t="shared" si="873"/>
        <v/>
      </c>
      <c r="BT216" s="382" t="str">
        <f t="shared" si="873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09" t="str">
        <f t="shared" si="866"/>
        <v/>
      </c>
      <c r="CE216" s="1110" t="str">
        <f t="shared" si="865"/>
        <v/>
      </c>
      <c r="CF216" s="1111" t="str">
        <f t="shared" si="865"/>
        <v/>
      </c>
      <c r="CG216" s="1111" t="str">
        <f t="shared" si="865"/>
        <v/>
      </c>
      <c r="CH216" s="1111" t="str">
        <f t="shared" si="865"/>
        <v/>
      </c>
      <c r="CI216" s="1111" t="str">
        <f t="shared" si="865"/>
        <v/>
      </c>
      <c r="CJ216" s="1111">
        <f t="shared" si="865"/>
        <v>25</v>
      </c>
      <c r="CK216" s="1112">
        <f t="shared" si="865"/>
        <v>60</v>
      </c>
      <c r="CL216" s="1112">
        <f t="shared" si="865"/>
        <v>75</v>
      </c>
      <c r="CM216" s="1112">
        <f t="shared" si="865"/>
        <v>75</v>
      </c>
      <c r="CN216" s="1111">
        <f t="shared" si="865"/>
        <v>80</v>
      </c>
      <c r="CO216" s="1111">
        <f t="shared" si="865"/>
        <v>200</v>
      </c>
      <c r="CP216" s="1111" t="str">
        <f t="shared" si="865"/>
        <v/>
      </c>
      <c r="CQ216" s="1111" t="str">
        <f t="shared" si="865"/>
        <v/>
      </c>
      <c r="CR216" s="1111" t="str">
        <f t="shared" si="865"/>
        <v/>
      </c>
      <c r="CS216" s="1110" t="str">
        <f t="shared" si="865"/>
        <v/>
      </c>
      <c r="CT216" s="1113" t="str">
        <f t="shared" si="865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09" t="str">
        <f t="shared" si="866"/>
        <v/>
      </c>
      <c r="CE217" s="1110" t="str">
        <f t="shared" si="865"/>
        <v/>
      </c>
      <c r="CF217" s="1111" t="str">
        <f t="shared" si="865"/>
        <v/>
      </c>
      <c r="CG217" s="1111" t="str">
        <f t="shared" si="865"/>
        <v/>
      </c>
      <c r="CH217" s="1111" t="str">
        <f t="shared" si="865"/>
        <v/>
      </c>
      <c r="CI217" s="1111" t="str">
        <f t="shared" si="865"/>
        <v/>
      </c>
      <c r="CJ217" s="1111" t="str">
        <f t="shared" si="865"/>
        <v/>
      </c>
      <c r="CK217" s="1112" t="str">
        <f t="shared" si="865"/>
        <v/>
      </c>
      <c r="CL217" s="1112" t="str">
        <f t="shared" si="865"/>
        <v/>
      </c>
      <c r="CM217" s="1112" t="str">
        <f t="shared" si="865"/>
        <v/>
      </c>
      <c r="CN217" s="1111" t="str">
        <f t="shared" si="865"/>
        <v/>
      </c>
      <c r="CO217" s="1111" t="str">
        <f t="shared" si="865"/>
        <v/>
      </c>
      <c r="CP217" s="1111" t="str">
        <f t="shared" si="865"/>
        <v/>
      </c>
      <c r="CQ217" s="1111" t="str">
        <f t="shared" si="865"/>
        <v/>
      </c>
      <c r="CR217" s="1111" t="str">
        <f t="shared" si="865"/>
        <v/>
      </c>
      <c r="CS217" s="1110" t="str">
        <f t="shared" si="865"/>
        <v/>
      </c>
      <c r="CT217" s="1113" t="str">
        <f t="shared" si="865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09" t="str">
        <f t="shared" si="866"/>
        <v/>
      </c>
      <c r="CE218" s="1110" t="str">
        <f t="shared" si="865"/>
        <v/>
      </c>
      <c r="CF218" s="1111" t="str">
        <f t="shared" si="865"/>
        <v/>
      </c>
      <c r="CG218" s="1111" t="str">
        <f t="shared" si="865"/>
        <v/>
      </c>
      <c r="CH218" s="1111" t="str">
        <f t="shared" si="865"/>
        <v/>
      </c>
      <c r="CI218" s="1111" t="str">
        <f t="shared" si="865"/>
        <v/>
      </c>
      <c r="CJ218" s="1111" t="str">
        <f t="shared" si="865"/>
        <v/>
      </c>
      <c r="CK218" s="1112" t="str">
        <f t="shared" si="865"/>
        <v/>
      </c>
      <c r="CL218" s="1112" t="str">
        <f t="shared" si="865"/>
        <v/>
      </c>
      <c r="CM218" s="1112" t="str">
        <f t="shared" si="865"/>
        <v/>
      </c>
      <c r="CN218" s="1111" t="str">
        <f t="shared" si="865"/>
        <v/>
      </c>
      <c r="CO218" s="1111" t="str">
        <f t="shared" si="865"/>
        <v/>
      </c>
      <c r="CP218" s="1111" t="str">
        <f t="shared" si="865"/>
        <v/>
      </c>
      <c r="CQ218" s="1111" t="str">
        <f t="shared" si="865"/>
        <v/>
      </c>
      <c r="CR218" s="1111" t="str">
        <f t="shared" si="865"/>
        <v/>
      </c>
      <c r="CS218" s="1110" t="str">
        <f t="shared" si="865"/>
        <v/>
      </c>
      <c r="CT218" s="1113" t="str">
        <f t="shared" si="865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4">IF(B217="","",B217*B218)</f>
        <v/>
      </c>
      <c r="C219" s="382" t="str">
        <f t="shared" si="874"/>
        <v/>
      </c>
      <c r="D219" s="382" t="str">
        <f t="shared" si="874"/>
        <v/>
      </c>
      <c r="E219" s="382" t="str">
        <f t="shared" si="874"/>
        <v/>
      </c>
      <c r="F219" s="382" t="str">
        <f t="shared" si="874"/>
        <v/>
      </c>
      <c r="G219" s="382" t="str">
        <f t="shared" si="874"/>
        <v/>
      </c>
      <c r="H219" s="382" t="str">
        <f t="shared" si="874"/>
        <v/>
      </c>
      <c r="I219" s="382" t="str">
        <f t="shared" si="874"/>
        <v/>
      </c>
      <c r="J219" s="382" t="str">
        <f t="shared" si="874"/>
        <v/>
      </c>
      <c r="K219" s="382" t="str">
        <f t="shared" ref="K219:R219" si="875">IF(K217="","",K217*K218)</f>
        <v/>
      </c>
      <c r="L219" s="382" t="str">
        <f t="shared" si="875"/>
        <v/>
      </c>
      <c r="M219" s="382" t="str">
        <f t="shared" si="875"/>
        <v/>
      </c>
      <c r="N219" s="382" t="str">
        <f t="shared" si="875"/>
        <v/>
      </c>
      <c r="O219" s="382" t="str">
        <f t="shared" si="875"/>
        <v/>
      </c>
      <c r="P219" s="382" t="str">
        <f t="shared" si="875"/>
        <v/>
      </c>
      <c r="Q219" s="382" t="str">
        <f t="shared" si="875"/>
        <v/>
      </c>
      <c r="R219" s="382" t="str">
        <f t="shared" si="875"/>
        <v/>
      </c>
      <c r="S219" s="420"/>
      <c r="T219" s="382" t="str">
        <f t="shared" ref="T219:AB219" si="876">IF(T217="","",T217*T218)</f>
        <v/>
      </c>
      <c r="U219" s="382" t="str">
        <f t="shared" si="876"/>
        <v/>
      </c>
      <c r="V219" s="382" t="str">
        <f t="shared" si="876"/>
        <v/>
      </c>
      <c r="W219" s="382" t="str">
        <f t="shared" si="876"/>
        <v/>
      </c>
      <c r="X219" s="382" t="str">
        <f t="shared" si="876"/>
        <v/>
      </c>
      <c r="Y219" s="382" t="str">
        <f t="shared" si="876"/>
        <v/>
      </c>
      <c r="Z219" s="382" t="str">
        <f t="shared" si="876"/>
        <v/>
      </c>
      <c r="AA219" s="382" t="str">
        <f t="shared" si="876"/>
        <v/>
      </c>
      <c r="AB219" s="382">
        <f t="shared" si="876"/>
        <v>10</v>
      </c>
      <c r="AC219" s="382" t="str">
        <f t="shared" ref="AC219:AJ219" si="877">IF(AC217="","",AC217*AC218)</f>
        <v/>
      </c>
      <c r="AD219" s="382" t="str">
        <f t="shared" si="877"/>
        <v/>
      </c>
      <c r="AE219" s="382" t="str">
        <f t="shared" si="877"/>
        <v/>
      </c>
      <c r="AF219" s="382" t="str">
        <f t="shared" si="877"/>
        <v/>
      </c>
      <c r="AG219" s="382" t="str">
        <f t="shared" si="877"/>
        <v/>
      </c>
      <c r="AH219" s="382" t="str">
        <f t="shared" si="877"/>
        <v/>
      </c>
      <c r="AI219" s="382" t="str">
        <f t="shared" si="877"/>
        <v/>
      </c>
      <c r="AJ219" s="382" t="str">
        <f t="shared" si="877"/>
        <v/>
      </c>
      <c r="AK219" s="420"/>
      <c r="AL219" s="382" t="str">
        <f t="shared" ref="AL219:AT219" si="878">IF(AL217="","",AL217*AL218)</f>
        <v/>
      </c>
      <c r="AM219" s="382" t="str">
        <f t="shared" si="878"/>
        <v/>
      </c>
      <c r="AN219" s="382" t="str">
        <f t="shared" si="878"/>
        <v/>
      </c>
      <c r="AO219" s="382" t="str">
        <f t="shared" si="878"/>
        <v/>
      </c>
      <c r="AP219" s="382" t="str">
        <f t="shared" si="878"/>
        <v/>
      </c>
      <c r="AQ219" s="382" t="str">
        <f t="shared" si="878"/>
        <v/>
      </c>
      <c r="AR219" s="382" t="str">
        <f t="shared" si="878"/>
        <v/>
      </c>
      <c r="AS219" s="382" t="str">
        <f t="shared" si="878"/>
        <v/>
      </c>
      <c r="AT219" s="382" t="str">
        <f t="shared" si="878"/>
        <v/>
      </c>
      <c r="AU219" s="382" t="str">
        <f t="shared" ref="AU219:BB219" si="879">IF(AU217="","",AU217*AU218)</f>
        <v/>
      </c>
      <c r="AV219" s="382" t="str">
        <f t="shared" si="879"/>
        <v/>
      </c>
      <c r="AW219" s="382" t="str">
        <f t="shared" si="879"/>
        <v/>
      </c>
      <c r="AX219" s="382" t="str">
        <f t="shared" si="879"/>
        <v/>
      </c>
      <c r="AY219" s="382" t="str">
        <f t="shared" si="879"/>
        <v/>
      </c>
      <c r="AZ219" s="382" t="str">
        <f t="shared" si="879"/>
        <v/>
      </c>
      <c r="BA219" s="382" t="str">
        <f t="shared" si="879"/>
        <v/>
      </c>
      <c r="BB219" s="382" t="str">
        <f t="shared" si="879"/>
        <v/>
      </c>
      <c r="BC219" s="420"/>
      <c r="BD219" s="382">
        <f t="shared" ref="BD219:BL219" si="880">IF(BD217="","",BD217*BD218)</f>
        <v>20</v>
      </c>
      <c r="BE219" s="382" t="str">
        <f t="shared" si="880"/>
        <v/>
      </c>
      <c r="BF219" s="382" t="str">
        <f t="shared" si="880"/>
        <v/>
      </c>
      <c r="BG219" s="382" t="str">
        <f t="shared" si="880"/>
        <v/>
      </c>
      <c r="BH219" s="382" t="str">
        <f t="shared" si="880"/>
        <v/>
      </c>
      <c r="BI219" s="382" t="str">
        <f t="shared" si="880"/>
        <v/>
      </c>
      <c r="BJ219" s="382" t="str">
        <f t="shared" si="880"/>
        <v/>
      </c>
      <c r="BK219" s="382" t="str">
        <f t="shared" si="880"/>
        <v/>
      </c>
      <c r="BL219" s="382" t="str">
        <f t="shared" si="880"/>
        <v/>
      </c>
      <c r="BM219" s="382" t="str">
        <f t="shared" ref="BM219:BT219" si="881">IF(BM217="","",BM217*BM218)</f>
        <v/>
      </c>
      <c r="BN219" s="382" t="str">
        <f t="shared" si="881"/>
        <v/>
      </c>
      <c r="BO219" s="382" t="str">
        <f t="shared" si="881"/>
        <v/>
      </c>
      <c r="BP219" s="382" t="str">
        <f t="shared" si="881"/>
        <v/>
      </c>
      <c r="BQ219" s="382" t="str">
        <f t="shared" si="881"/>
        <v/>
      </c>
      <c r="BR219" s="382" t="str">
        <f t="shared" si="881"/>
        <v/>
      </c>
      <c r="BS219" s="382" t="str">
        <f t="shared" si="881"/>
        <v/>
      </c>
      <c r="BT219" s="382" t="str">
        <f t="shared" si="881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09" t="str">
        <f t="shared" si="866"/>
        <v/>
      </c>
      <c r="CE219" s="1110" t="str">
        <f t="shared" si="865"/>
        <v/>
      </c>
      <c r="CF219" s="1111" t="str">
        <f t="shared" si="865"/>
        <v/>
      </c>
      <c r="CG219" s="1111" t="str">
        <f t="shared" si="865"/>
        <v/>
      </c>
      <c r="CH219" s="1111" t="str">
        <f t="shared" si="865"/>
        <v/>
      </c>
      <c r="CI219" s="1111" t="str">
        <f t="shared" si="865"/>
        <v/>
      </c>
      <c r="CJ219" s="1111" t="str">
        <f t="shared" si="865"/>
        <v/>
      </c>
      <c r="CK219" s="1112" t="str">
        <f t="shared" si="865"/>
        <v/>
      </c>
      <c r="CL219" s="1112" t="str">
        <f t="shared" si="865"/>
        <v/>
      </c>
      <c r="CM219" s="1112" t="str">
        <f t="shared" si="865"/>
        <v/>
      </c>
      <c r="CN219" s="1111" t="str">
        <f t="shared" si="865"/>
        <v/>
      </c>
      <c r="CO219" s="1111" t="str">
        <f t="shared" si="865"/>
        <v/>
      </c>
      <c r="CP219" s="1111" t="str">
        <f t="shared" si="865"/>
        <v/>
      </c>
      <c r="CQ219" s="1111" t="str">
        <f t="shared" si="865"/>
        <v/>
      </c>
      <c r="CR219" s="1111" t="str">
        <f t="shared" si="865"/>
        <v/>
      </c>
      <c r="CS219" s="1110" t="str">
        <f t="shared" si="865"/>
        <v/>
      </c>
      <c r="CT219" s="1113" t="str">
        <f t="shared" si="865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09" t="str">
        <f t="shared" si="866"/>
        <v/>
      </c>
      <c r="CE220" s="1110" t="str">
        <f t="shared" si="865"/>
        <v/>
      </c>
      <c r="CF220" s="1111" t="str">
        <f t="shared" si="865"/>
        <v/>
      </c>
      <c r="CG220" s="1111" t="str">
        <f t="shared" si="865"/>
        <v/>
      </c>
      <c r="CH220" s="1111" t="str">
        <f t="shared" si="865"/>
        <v/>
      </c>
      <c r="CI220" s="1111" t="str">
        <f t="shared" si="865"/>
        <v/>
      </c>
      <c r="CJ220" s="1111" t="str">
        <f t="shared" si="865"/>
        <v/>
      </c>
      <c r="CK220" s="1112" t="str">
        <f t="shared" si="865"/>
        <v/>
      </c>
      <c r="CL220" s="1112" t="str">
        <f t="shared" si="865"/>
        <v/>
      </c>
      <c r="CM220" s="1112" t="str">
        <f t="shared" si="865"/>
        <v/>
      </c>
      <c r="CN220" s="1111" t="str">
        <f t="shared" si="865"/>
        <v/>
      </c>
      <c r="CO220" s="1111" t="str">
        <f t="shared" si="865"/>
        <v/>
      </c>
      <c r="CP220" s="1111" t="str">
        <f t="shared" si="865"/>
        <v/>
      </c>
      <c r="CQ220" s="1111" t="str">
        <f t="shared" si="865"/>
        <v/>
      </c>
      <c r="CR220" s="1111" t="str">
        <f t="shared" si="865"/>
        <v/>
      </c>
      <c r="CS220" s="1110" t="str">
        <f t="shared" si="865"/>
        <v/>
      </c>
      <c r="CT220" s="1113" t="str">
        <f t="shared" si="865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82">IF(DL221&lt;3,"",(SUM(B221:R221)-MIN(B221:R221)-MAX(B221:R221))/(DL221-2))</f>
        <v/>
      </c>
      <c r="CA221" s="373" t="str">
        <f t="shared" ref="CA221:CA284" si="883">IF(DM221&lt;3,"",(SUM(T221:AJ221)-MIN(T221:AJ221)-MAX(T221:AJ221))/(DM221-2))</f>
        <v/>
      </c>
      <c r="CB221" s="373">
        <f t="shared" ref="CB221:CB284" si="884">IF(DN221&lt;3,"",(SUM(AL221:BB221)-MIN(AL221:BB221)-MAX(AL221:BB221))/(DN221-2))</f>
        <v>15</v>
      </c>
      <c r="CC221" s="373" t="str">
        <f t="shared" ref="CC221:CC284" si="885">IF(DO221&lt;3,"",(SUM(BD221:BT221)-MIN(BD221:BT221)-MAX(BD221:BT221))/(DO221-2))</f>
        <v/>
      </c>
      <c r="CD221" s="1109" t="str">
        <f t="shared" si="866"/>
        <v/>
      </c>
      <c r="CE221" s="1110" t="str">
        <f t="shared" si="865"/>
        <v/>
      </c>
      <c r="CF221" s="1111" t="str">
        <f t="shared" si="865"/>
        <v/>
      </c>
      <c r="CG221" s="1111" t="str">
        <f t="shared" si="865"/>
        <v/>
      </c>
      <c r="CH221" s="1111" t="str">
        <f t="shared" si="865"/>
        <v/>
      </c>
      <c r="CI221" s="1111" t="str">
        <f t="shared" si="865"/>
        <v/>
      </c>
      <c r="CJ221" s="1111" t="str">
        <f t="shared" si="865"/>
        <v/>
      </c>
      <c r="CK221" s="1112" t="str">
        <f t="shared" si="865"/>
        <v/>
      </c>
      <c r="CL221" s="1112" t="str">
        <f t="shared" si="865"/>
        <v/>
      </c>
      <c r="CM221" s="1112" t="str">
        <f t="shared" si="865"/>
        <v/>
      </c>
      <c r="CN221" s="1111" t="str">
        <f t="shared" si="865"/>
        <v/>
      </c>
      <c r="CO221" s="1111" t="str">
        <f t="shared" si="865"/>
        <v/>
      </c>
      <c r="CP221" s="1111" t="str">
        <f t="shared" si="865"/>
        <v/>
      </c>
      <c r="CQ221" s="1111" t="str">
        <f t="shared" si="865"/>
        <v/>
      </c>
      <c r="CR221" s="1111" t="str">
        <f t="shared" si="865"/>
        <v/>
      </c>
      <c r="CS221" s="1110" t="str">
        <f t="shared" si="865"/>
        <v/>
      </c>
      <c r="CT221" s="1113" t="str">
        <f t="shared" si="865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6">IF(B220="","",B220*B221)</f>
        <v/>
      </c>
      <c r="C222" s="383" t="str">
        <f t="shared" si="886"/>
        <v/>
      </c>
      <c r="D222" s="383" t="str">
        <f t="shared" si="886"/>
        <v/>
      </c>
      <c r="E222" s="383" t="str">
        <f t="shared" si="886"/>
        <v/>
      </c>
      <c r="F222" s="383" t="str">
        <f t="shared" si="886"/>
        <v/>
      </c>
      <c r="G222" s="383" t="str">
        <f t="shared" si="886"/>
        <v/>
      </c>
      <c r="H222" s="383" t="str">
        <f t="shared" si="886"/>
        <v/>
      </c>
      <c r="I222" s="383" t="str">
        <f t="shared" si="886"/>
        <v/>
      </c>
      <c r="J222" s="383" t="str">
        <f t="shared" si="886"/>
        <v/>
      </c>
      <c r="K222" s="383" t="str">
        <f t="shared" ref="K222:R222" si="887">IF(K220="","",K220*K221)</f>
        <v/>
      </c>
      <c r="L222" s="383" t="str">
        <f t="shared" si="887"/>
        <v/>
      </c>
      <c r="M222" s="383" t="str">
        <f t="shared" si="887"/>
        <v/>
      </c>
      <c r="N222" s="383" t="str">
        <f t="shared" si="887"/>
        <v/>
      </c>
      <c r="O222" s="383" t="str">
        <f t="shared" si="887"/>
        <v/>
      </c>
      <c r="P222" s="383" t="str">
        <f t="shared" si="887"/>
        <v/>
      </c>
      <c r="Q222" s="383" t="str">
        <f t="shared" si="887"/>
        <v/>
      </c>
      <c r="R222" s="383" t="str">
        <f t="shared" si="887"/>
        <v/>
      </c>
      <c r="S222" s="423"/>
      <c r="T222" s="383" t="str">
        <f t="shared" ref="T222:AB222" si="888">IF(T220="","",T220*T221)</f>
        <v/>
      </c>
      <c r="U222" s="383" t="str">
        <f t="shared" si="888"/>
        <v/>
      </c>
      <c r="V222" s="383" t="str">
        <f t="shared" si="888"/>
        <v/>
      </c>
      <c r="W222" s="383" t="str">
        <f t="shared" si="888"/>
        <v/>
      </c>
      <c r="X222" s="383" t="str">
        <f t="shared" si="888"/>
        <v/>
      </c>
      <c r="Y222" s="383" t="str">
        <f t="shared" si="888"/>
        <v/>
      </c>
      <c r="Z222" s="383" t="str">
        <f t="shared" si="888"/>
        <v/>
      </c>
      <c r="AA222" s="383" t="str">
        <f t="shared" si="888"/>
        <v/>
      </c>
      <c r="AB222" s="383" t="str">
        <f t="shared" si="888"/>
        <v/>
      </c>
      <c r="AC222" s="383" t="str">
        <f t="shared" ref="AC222:AJ222" si="889">IF(AC220="","",AC220*AC221)</f>
        <v/>
      </c>
      <c r="AD222" s="383" t="str">
        <f t="shared" si="889"/>
        <v/>
      </c>
      <c r="AE222" s="383" t="str">
        <f t="shared" si="889"/>
        <v/>
      </c>
      <c r="AF222" s="383" t="str">
        <f t="shared" si="889"/>
        <v/>
      </c>
      <c r="AG222" s="383" t="str">
        <f t="shared" si="889"/>
        <v/>
      </c>
      <c r="AH222" s="383" t="str">
        <f t="shared" si="889"/>
        <v/>
      </c>
      <c r="AI222" s="383" t="str">
        <f t="shared" si="889"/>
        <v/>
      </c>
      <c r="AJ222" s="383" t="str">
        <f t="shared" si="889"/>
        <v/>
      </c>
      <c r="AK222" s="423"/>
      <c r="AL222" s="383" t="str">
        <f t="shared" ref="AL222:BB222" si="890">IF(AL220="","",AL220*AL221)</f>
        <v/>
      </c>
      <c r="AM222" s="383" t="str">
        <f t="shared" si="890"/>
        <v/>
      </c>
      <c r="AN222" s="383" t="str">
        <f t="shared" si="890"/>
        <v/>
      </c>
      <c r="AO222" s="383">
        <f t="shared" si="890"/>
        <v>960</v>
      </c>
      <c r="AP222" s="383" t="str">
        <f t="shared" si="890"/>
        <v/>
      </c>
      <c r="AQ222" s="383">
        <f t="shared" si="890"/>
        <v>700</v>
      </c>
      <c r="AR222" s="383" t="str">
        <f t="shared" si="890"/>
        <v/>
      </c>
      <c r="AS222" s="383">
        <f t="shared" si="890"/>
        <v>1650</v>
      </c>
      <c r="AT222" s="383" t="str">
        <f t="shared" si="890"/>
        <v/>
      </c>
      <c r="AU222" s="383" t="str">
        <f t="shared" si="890"/>
        <v/>
      </c>
      <c r="AV222" s="383" t="str">
        <f t="shared" si="890"/>
        <v/>
      </c>
      <c r="AW222" s="383" t="str">
        <f t="shared" si="890"/>
        <v/>
      </c>
      <c r="AX222" s="383" t="str">
        <f t="shared" si="890"/>
        <v/>
      </c>
      <c r="AY222" s="383" t="str">
        <f t="shared" si="890"/>
        <v/>
      </c>
      <c r="AZ222" s="383" t="str">
        <f t="shared" si="890"/>
        <v/>
      </c>
      <c r="BA222" s="383" t="str">
        <f t="shared" si="890"/>
        <v/>
      </c>
      <c r="BB222" s="383" t="str">
        <f t="shared" si="890"/>
        <v/>
      </c>
      <c r="BC222" s="423"/>
      <c r="BD222" s="383" t="str">
        <f t="shared" ref="BD222:BL222" si="891">IF(BD220="","",BD220*BD221)</f>
        <v/>
      </c>
      <c r="BE222" s="383" t="str">
        <f t="shared" si="891"/>
        <v/>
      </c>
      <c r="BF222" s="383" t="str">
        <f t="shared" si="891"/>
        <v/>
      </c>
      <c r="BG222" s="383" t="str">
        <f t="shared" si="891"/>
        <v/>
      </c>
      <c r="BH222" s="383" t="str">
        <f t="shared" si="891"/>
        <v/>
      </c>
      <c r="BI222" s="383" t="str">
        <f t="shared" si="891"/>
        <v/>
      </c>
      <c r="BJ222" s="383">
        <f t="shared" si="891"/>
        <v>1960</v>
      </c>
      <c r="BK222" s="383">
        <f t="shared" si="891"/>
        <v>2500</v>
      </c>
      <c r="BL222" s="383" t="str">
        <f t="shared" si="891"/>
        <v/>
      </c>
      <c r="BM222" s="383" t="str">
        <f t="shared" ref="BM222:BT222" si="892">IF(BM220="","",BM220*BM221)</f>
        <v/>
      </c>
      <c r="BN222" s="383" t="str">
        <f t="shared" si="892"/>
        <v/>
      </c>
      <c r="BO222" s="383" t="str">
        <f t="shared" si="892"/>
        <v/>
      </c>
      <c r="BP222" s="383" t="str">
        <f t="shared" si="892"/>
        <v/>
      </c>
      <c r="BQ222" s="383" t="str">
        <f t="shared" si="892"/>
        <v/>
      </c>
      <c r="BR222" s="383" t="str">
        <f t="shared" si="892"/>
        <v/>
      </c>
      <c r="BS222" s="383" t="str">
        <f t="shared" si="892"/>
        <v/>
      </c>
      <c r="BT222" s="383" t="str">
        <f t="shared" si="892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82"/>
        <v/>
      </c>
      <c r="CA222" s="373" t="str">
        <f t="shared" si="883"/>
        <v/>
      </c>
      <c r="CB222" s="373">
        <f t="shared" si="884"/>
        <v>960</v>
      </c>
      <c r="CC222" s="373" t="str">
        <f t="shared" si="885"/>
        <v/>
      </c>
      <c r="CD222" s="1109" t="str">
        <f t="shared" si="866"/>
        <v/>
      </c>
      <c r="CE222" s="1110" t="str">
        <f t="shared" si="865"/>
        <v/>
      </c>
      <c r="CF222" s="1111" t="str">
        <f t="shared" si="865"/>
        <v/>
      </c>
      <c r="CG222" s="1111" t="str">
        <f t="shared" si="865"/>
        <v/>
      </c>
      <c r="CH222" s="1111" t="str">
        <f t="shared" si="865"/>
        <v/>
      </c>
      <c r="CI222" s="1111" t="str">
        <f t="shared" si="865"/>
        <v/>
      </c>
      <c r="CJ222" s="1111" t="str">
        <f t="shared" si="865"/>
        <v/>
      </c>
      <c r="CK222" s="1112" t="str">
        <f t="shared" si="865"/>
        <v/>
      </c>
      <c r="CL222" s="1112" t="str">
        <f t="shared" si="865"/>
        <v/>
      </c>
      <c r="CM222" s="1112" t="str">
        <f t="shared" si="865"/>
        <v/>
      </c>
      <c r="CN222" s="1111" t="str">
        <f t="shared" si="865"/>
        <v/>
      </c>
      <c r="CO222" s="1111" t="str">
        <f t="shared" si="865"/>
        <v/>
      </c>
      <c r="CP222" s="1111" t="str">
        <f t="shared" si="865"/>
        <v/>
      </c>
      <c r="CQ222" s="1111" t="str">
        <f t="shared" si="865"/>
        <v/>
      </c>
      <c r="CR222" s="1111" t="str">
        <f t="shared" si="865"/>
        <v/>
      </c>
      <c r="CS222" s="1110" t="str">
        <f t="shared" si="865"/>
        <v/>
      </c>
      <c r="CT222" s="1113" t="str">
        <f t="shared" si="865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82"/>
        <v/>
      </c>
      <c r="CA223" s="373" t="str">
        <f t="shared" si="883"/>
        <v/>
      </c>
      <c r="CB223" s="373">
        <f t="shared" si="884"/>
        <v>36.799999999999997</v>
      </c>
      <c r="CC223" s="373">
        <f t="shared" si="885"/>
        <v>15</v>
      </c>
      <c r="CD223" s="1109" t="str">
        <f t="shared" si="866"/>
        <v/>
      </c>
      <c r="CE223" s="1110" t="str">
        <f t="shared" si="865"/>
        <v/>
      </c>
      <c r="CF223" s="1111" t="str">
        <f t="shared" si="865"/>
        <v/>
      </c>
      <c r="CG223" s="1111" t="str">
        <f t="shared" si="865"/>
        <v/>
      </c>
      <c r="CH223" s="1111" t="str">
        <f t="shared" si="865"/>
        <v/>
      </c>
      <c r="CI223" s="1111" t="str">
        <f t="shared" si="865"/>
        <v/>
      </c>
      <c r="CJ223" s="1111" t="str">
        <f t="shared" si="865"/>
        <v/>
      </c>
      <c r="CK223" s="1112" t="str">
        <f t="shared" si="865"/>
        <v/>
      </c>
      <c r="CL223" s="1112" t="str">
        <f t="shared" si="865"/>
        <v/>
      </c>
      <c r="CM223" s="1112" t="str">
        <f t="shared" si="865"/>
        <v/>
      </c>
      <c r="CN223" s="1111" t="str">
        <f t="shared" si="865"/>
        <v/>
      </c>
      <c r="CO223" s="1111" t="str">
        <f t="shared" si="865"/>
        <v/>
      </c>
      <c r="CP223" s="1111" t="str">
        <f t="shared" si="865"/>
        <v/>
      </c>
      <c r="CQ223" s="1111" t="str">
        <f t="shared" si="865"/>
        <v/>
      </c>
      <c r="CR223" s="1111" t="str">
        <f t="shared" si="865"/>
        <v/>
      </c>
      <c r="CS223" s="1110" t="str">
        <f t="shared" si="865"/>
        <v/>
      </c>
      <c r="CT223" s="1113" t="str">
        <f t="shared" si="865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82"/>
        <v/>
      </c>
      <c r="CA224" s="373" t="str">
        <f t="shared" si="883"/>
        <v/>
      </c>
      <c r="CB224" s="373">
        <f t="shared" si="884"/>
        <v>10</v>
      </c>
      <c r="CC224" s="373">
        <f t="shared" si="885"/>
        <v>13.75</v>
      </c>
      <c r="CD224" s="1109" t="str">
        <f t="shared" si="866"/>
        <v/>
      </c>
      <c r="CE224" s="1110" t="str">
        <f t="shared" si="865"/>
        <v/>
      </c>
      <c r="CF224" s="1111" t="str">
        <f t="shared" si="865"/>
        <v/>
      </c>
      <c r="CG224" s="1111" t="str">
        <f t="shared" si="865"/>
        <v/>
      </c>
      <c r="CH224" s="1111" t="str">
        <f t="shared" si="865"/>
        <v/>
      </c>
      <c r="CI224" s="1111" t="str">
        <f t="shared" si="865"/>
        <v/>
      </c>
      <c r="CJ224" s="1111" t="str">
        <f t="shared" si="865"/>
        <v/>
      </c>
      <c r="CK224" s="1112" t="str">
        <f t="shared" si="865"/>
        <v/>
      </c>
      <c r="CL224" s="1112" t="str">
        <f t="shared" si="865"/>
        <v/>
      </c>
      <c r="CM224" s="1112" t="str">
        <f t="shared" si="865"/>
        <v/>
      </c>
      <c r="CN224" s="1111" t="str">
        <f t="shared" si="865"/>
        <v/>
      </c>
      <c r="CO224" s="1111" t="str">
        <f t="shared" si="865"/>
        <v/>
      </c>
      <c r="CP224" s="1111" t="str">
        <f t="shared" si="865"/>
        <v/>
      </c>
      <c r="CQ224" s="1111" t="str">
        <f t="shared" si="865"/>
        <v/>
      </c>
      <c r="CR224" s="1111" t="str">
        <f t="shared" si="865"/>
        <v/>
      </c>
      <c r="CS224" s="1110" t="str">
        <f t="shared" si="865"/>
        <v/>
      </c>
      <c r="CT224" s="1113" t="str">
        <f t="shared" si="865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93">IF(B223="","",B223*B224)</f>
        <v/>
      </c>
      <c r="C225" s="383" t="str">
        <f t="shared" si="893"/>
        <v/>
      </c>
      <c r="D225" s="383" t="str">
        <f t="shared" si="893"/>
        <v/>
      </c>
      <c r="E225" s="383" t="str">
        <f t="shared" si="893"/>
        <v/>
      </c>
      <c r="F225" s="383" t="str">
        <f t="shared" si="893"/>
        <v/>
      </c>
      <c r="G225" s="383" t="str">
        <f t="shared" si="893"/>
        <v/>
      </c>
      <c r="H225" s="383" t="str">
        <f t="shared" si="893"/>
        <v/>
      </c>
      <c r="I225" s="383" t="str">
        <f t="shared" si="893"/>
        <v/>
      </c>
      <c r="J225" s="383" t="str">
        <f t="shared" si="893"/>
        <v/>
      </c>
      <c r="K225" s="383" t="str">
        <f t="shared" ref="K225:R225" si="894">IF(K223="","",K223*K224)</f>
        <v/>
      </c>
      <c r="L225" s="383" t="str">
        <f t="shared" si="894"/>
        <v/>
      </c>
      <c r="M225" s="383" t="str">
        <f t="shared" si="894"/>
        <v/>
      </c>
      <c r="N225" s="383" t="str">
        <f t="shared" si="894"/>
        <v/>
      </c>
      <c r="O225" s="383" t="str">
        <f t="shared" si="894"/>
        <v/>
      </c>
      <c r="P225" s="383" t="str">
        <f t="shared" si="894"/>
        <v/>
      </c>
      <c r="Q225" s="383" t="str">
        <f t="shared" si="894"/>
        <v/>
      </c>
      <c r="R225" s="383" t="str">
        <f t="shared" si="894"/>
        <v/>
      </c>
      <c r="S225" s="423"/>
      <c r="T225" s="383" t="str">
        <f t="shared" ref="T225:AB225" si="895">IF(T223="","",T223*T224)</f>
        <v/>
      </c>
      <c r="U225" s="383" t="str">
        <f t="shared" si="895"/>
        <v/>
      </c>
      <c r="V225" s="383" t="str">
        <f t="shared" si="895"/>
        <v/>
      </c>
      <c r="W225" s="383" t="str">
        <f t="shared" si="895"/>
        <v/>
      </c>
      <c r="X225" s="383" t="str">
        <f t="shared" si="895"/>
        <v/>
      </c>
      <c r="Y225" s="383" t="str">
        <f t="shared" si="895"/>
        <v/>
      </c>
      <c r="Z225" s="383" t="str">
        <f t="shared" si="895"/>
        <v/>
      </c>
      <c r="AA225" s="383" t="str">
        <f t="shared" si="895"/>
        <v/>
      </c>
      <c r="AB225" s="383" t="str">
        <f t="shared" si="895"/>
        <v/>
      </c>
      <c r="AC225" s="383" t="str">
        <f t="shared" ref="AC225:AJ225" si="896">IF(AC223="","",AC223*AC224)</f>
        <v/>
      </c>
      <c r="AD225" s="383" t="str">
        <f t="shared" si="896"/>
        <v/>
      </c>
      <c r="AE225" s="383" t="str">
        <f t="shared" si="896"/>
        <v/>
      </c>
      <c r="AF225" s="383" t="str">
        <f t="shared" si="896"/>
        <v/>
      </c>
      <c r="AG225" s="383" t="str">
        <f t="shared" si="896"/>
        <v/>
      </c>
      <c r="AH225" s="383" t="str">
        <f t="shared" si="896"/>
        <v/>
      </c>
      <c r="AI225" s="383" t="str">
        <f t="shared" si="896"/>
        <v/>
      </c>
      <c r="AJ225" s="383" t="str">
        <f t="shared" si="896"/>
        <v/>
      </c>
      <c r="AK225" s="423"/>
      <c r="AL225" s="383">
        <f t="shared" ref="AL225:BB225" si="897">IF(AL223="","",AL223*AL224)</f>
        <v>450</v>
      </c>
      <c r="AM225" s="383">
        <f t="shared" si="897"/>
        <v>75</v>
      </c>
      <c r="AN225" s="383">
        <f t="shared" si="897"/>
        <v>170</v>
      </c>
      <c r="AO225" s="383">
        <f t="shared" si="897"/>
        <v>450</v>
      </c>
      <c r="AP225" s="383">
        <f t="shared" si="897"/>
        <v>400</v>
      </c>
      <c r="AQ225" s="383" t="str">
        <f t="shared" si="897"/>
        <v/>
      </c>
      <c r="AR225" s="383" t="str">
        <f t="shared" si="897"/>
        <v/>
      </c>
      <c r="AS225" s="383">
        <f t="shared" si="897"/>
        <v>900</v>
      </c>
      <c r="AT225" s="383">
        <f t="shared" si="897"/>
        <v>525</v>
      </c>
      <c r="AU225" s="383" t="str">
        <f t="shared" si="897"/>
        <v/>
      </c>
      <c r="AV225" s="383" t="str">
        <f t="shared" si="897"/>
        <v/>
      </c>
      <c r="AW225" s="383" t="str">
        <f t="shared" si="897"/>
        <v/>
      </c>
      <c r="AX225" s="383" t="str">
        <f t="shared" si="897"/>
        <v/>
      </c>
      <c r="AY225" s="383" t="str">
        <f t="shared" si="897"/>
        <v/>
      </c>
      <c r="AZ225" s="383" t="str">
        <f t="shared" si="897"/>
        <v/>
      </c>
      <c r="BA225" s="383" t="str">
        <f t="shared" si="897"/>
        <v/>
      </c>
      <c r="BB225" s="383" t="str">
        <f t="shared" si="897"/>
        <v/>
      </c>
      <c r="BC225" s="423"/>
      <c r="BD225" s="383">
        <f t="shared" ref="BD225:BT225" si="898">IF(BD223="","",BD223*BD224)</f>
        <v>150</v>
      </c>
      <c r="BE225" s="383" t="str">
        <f t="shared" si="898"/>
        <v/>
      </c>
      <c r="BF225" s="383">
        <f t="shared" si="898"/>
        <v>100</v>
      </c>
      <c r="BG225" s="383">
        <f t="shared" si="898"/>
        <v>250</v>
      </c>
      <c r="BH225" s="383" t="str">
        <f t="shared" si="898"/>
        <v/>
      </c>
      <c r="BI225" s="383" t="str">
        <f t="shared" si="898"/>
        <v/>
      </c>
      <c r="BJ225" s="383" t="str">
        <f t="shared" si="898"/>
        <v/>
      </c>
      <c r="BK225" s="383" t="str">
        <f t="shared" si="898"/>
        <v/>
      </c>
      <c r="BL225" s="383">
        <f t="shared" si="898"/>
        <v>1000</v>
      </c>
      <c r="BM225" s="383" t="str">
        <f t="shared" si="898"/>
        <v/>
      </c>
      <c r="BN225" s="383" t="str">
        <f t="shared" si="898"/>
        <v/>
      </c>
      <c r="BO225" s="383" t="str">
        <f t="shared" si="898"/>
        <v/>
      </c>
      <c r="BP225" s="383" t="str">
        <f t="shared" si="898"/>
        <v/>
      </c>
      <c r="BQ225" s="383" t="str">
        <f t="shared" si="898"/>
        <v/>
      </c>
      <c r="BR225" s="383" t="str">
        <f t="shared" si="898"/>
        <v/>
      </c>
      <c r="BS225" s="383" t="str">
        <f t="shared" si="898"/>
        <v/>
      </c>
      <c r="BT225" s="383" t="str">
        <f t="shared" si="898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82"/>
        <v/>
      </c>
      <c r="CA225" s="373" t="str">
        <f t="shared" si="883"/>
        <v/>
      </c>
      <c r="CB225" s="373">
        <f t="shared" si="884"/>
        <v>399</v>
      </c>
      <c r="CC225" s="373">
        <f t="shared" si="885"/>
        <v>200</v>
      </c>
      <c r="CD225" s="1109" t="str">
        <f t="shared" si="866"/>
        <v/>
      </c>
      <c r="CE225" s="1110" t="str">
        <f t="shared" si="865"/>
        <v/>
      </c>
      <c r="CF225" s="1111" t="str">
        <f t="shared" si="865"/>
        <v/>
      </c>
      <c r="CG225" s="1111" t="str">
        <f t="shared" si="865"/>
        <v/>
      </c>
      <c r="CH225" s="1111" t="str">
        <f t="shared" si="865"/>
        <v/>
      </c>
      <c r="CI225" s="1111" t="str">
        <f t="shared" si="865"/>
        <v/>
      </c>
      <c r="CJ225" s="1111" t="str">
        <f t="shared" si="865"/>
        <v/>
      </c>
      <c r="CK225" s="1112" t="str">
        <f t="shared" si="865"/>
        <v/>
      </c>
      <c r="CL225" s="1112" t="str">
        <f t="shared" si="865"/>
        <v/>
      </c>
      <c r="CM225" s="1112" t="str">
        <f t="shared" si="865"/>
        <v/>
      </c>
      <c r="CN225" s="1111" t="str">
        <f t="shared" si="865"/>
        <v/>
      </c>
      <c r="CO225" s="1111" t="str">
        <f t="shared" si="865"/>
        <v/>
      </c>
      <c r="CP225" s="1111" t="str">
        <f t="shared" si="865"/>
        <v/>
      </c>
      <c r="CQ225" s="1111" t="str">
        <f t="shared" si="865"/>
        <v/>
      </c>
      <c r="CR225" s="1111" t="str">
        <f t="shared" si="865"/>
        <v/>
      </c>
      <c r="CS225" s="1110" t="str">
        <f t="shared" si="865"/>
        <v/>
      </c>
      <c r="CT225" s="1113" t="str">
        <f t="shared" si="865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82"/>
        <v/>
      </c>
      <c r="CA226" s="365" t="str">
        <f t="shared" si="883"/>
        <v/>
      </c>
      <c r="CB226" s="365" t="str">
        <f t="shared" si="884"/>
        <v/>
      </c>
      <c r="CC226" s="461" t="str">
        <f t="shared" si="885"/>
        <v/>
      </c>
      <c r="CD226" s="1120"/>
      <c r="CE226" s="1120"/>
      <c r="CF226" s="1120"/>
      <c r="CG226" s="1120"/>
      <c r="CH226" s="1120"/>
      <c r="CI226" s="1120"/>
      <c r="CJ226" s="1120"/>
      <c r="CK226" s="1120"/>
      <c r="CL226" s="1120"/>
      <c r="CM226" s="1120"/>
      <c r="CN226" s="1120"/>
      <c r="CO226" s="1120"/>
      <c r="CP226" s="1120"/>
      <c r="CQ226" s="1120"/>
      <c r="CR226" s="1120"/>
      <c r="CS226" s="1120"/>
      <c r="CT226" s="1121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4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82"/>
        <v>3</v>
      </c>
      <c r="CA227" s="373">
        <f t="shared" si="883"/>
        <v>2</v>
      </c>
      <c r="CB227" s="373">
        <f t="shared" si="884"/>
        <v>1</v>
      </c>
      <c r="CC227" s="462">
        <f t="shared" si="885"/>
        <v>1</v>
      </c>
      <c r="CD227" s="1109" t="str">
        <f t="shared" ref="CD227:CD232" si="89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0" t="str">
        <f t="shared" ref="CE227:CS228" si="90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1" t="str">
        <f t="shared" si="900"/>
        <v/>
      </c>
      <c r="CG227" s="1111" t="str">
        <f t="shared" si="900"/>
        <v/>
      </c>
      <c r="CH227" s="1111">
        <f t="shared" si="900"/>
        <v>3</v>
      </c>
      <c r="CI227" s="1111">
        <f t="shared" si="900"/>
        <v>3</v>
      </c>
      <c r="CJ227" s="1111">
        <f t="shared" si="900"/>
        <v>3</v>
      </c>
      <c r="CK227" s="1112">
        <f t="shared" si="900"/>
        <v>3</v>
      </c>
      <c r="CL227" s="1112">
        <f t="shared" si="900"/>
        <v>3</v>
      </c>
      <c r="CM227" s="1112">
        <f t="shared" si="900"/>
        <v>3</v>
      </c>
      <c r="CN227" s="1111">
        <f t="shared" si="900"/>
        <v>3</v>
      </c>
      <c r="CO227" s="1111">
        <f t="shared" si="900"/>
        <v>3</v>
      </c>
      <c r="CP227" s="1111">
        <f t="shared" si="900"/>
        <v>3</v>
      </c>
      <c r="CQ227" s="1111" t="str">
        <f t="shared" si="900"/>
        <v/>
      </c>
      <c r="CR227" s="1111" t="str">
        <f t="shared" si="900"/>
        <v/>
      </c>
      <c r="CS227" s="1110" t="str">
        <f t="shared" si="900"/>
        <v/>
      </c>
      <c r="CT227" s="111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0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0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1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1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8">COUNT(B227:R227)</f>
        <v>9</v>
      </c>
      <c r="DM227" s="66">
        <f t="shared" ref="DM227:DM299" si="919">COUNT(T227:AJ227)</f>
        <v>9</v>
      </c>
      <c r="DN227" s="66">
        <f t="shared" ref="DN227:DN299" si="920">COUNT(AL227:BB227)</f>
        <v>9</v>
      </c>
      <c r="DO227" s="66">
        <f t="shared" ref="DO227:DO299" si="921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5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82"/>
        <v>0.16999999999999998</v>
      </c>
      <c r="CA228" s="373">
        <f t="shared" si="883"/>
        <v>0.16999999999999998</v>
      </c>
      <c r="CB228" s="373">
        <f t="shared" si="884"/>
        <v>0.16999999999999998</v>
      </c>
      <c r="CC228" s="462">
        <f t="shared" si="885"/>
        <v>0.16999999999999998</v>
      </c>
      <c r="CD228" s="1114" t="str">
        <f t="shared" si="899"/>
        <v/>
      </c>
      <c r="CE228" s="1115" t="str">
        <f t="shared" si="900"/>
        <v/>
      </c>
      <c r="CF228" s="1116" t="str">
        <f t="shared" si="900"/>
        <v/>
      </c>
      <c r="CG228" s="1116" t="str">
        <f t="shared" si="900"/>
        <v/>
      </c>
      <c r="CH228" s="1116">
        <f t="shared" si="900"/>
        <v>0.17</v>
      </c>
      <c r="CI228" s="1116">
        <f t="shared" si="900"/>
        <v>0.17</v>
      </c>
      <c r="CJ228" s="1116">
        <f t="shared" si="900"/>
        <v>0.17</v>
      </c>
      <c r="CK228" s="1117">
        <f t="shared" si="900"/>
        <v>0.17</v>
      </c>
      <c r="CL228" s="1117">
        <f t="shared" si="900"/>
        <v>0.17</v>
      </c>
      <c r="CM228" s="1117">
        <f t="shared" si="900"/>
        <v>0.17</v>
      </c>
      <c r="CN228" s="1116">
        <f t="shared" si="900"/>
        <v>0.17</v>
      </c>
      <c r="CO228" s="1116">
        <f t="shared" si="900"/>
        <v>0.17</v>
      </c>
      <c r="CP228" s="1116">
        <f t="shared" si="900"/>
        <v>0.17</v>
      </c>
      <c r="CQ228" s="1116" t="str">
        <f t="shared" si="900"/>
        <v/>
      </c>
      <c r="CR228" s="1116" t="str">
        <f t="shared" si="900"/>
        <v/>
      </c>
      <c r="CS228" s="1115" t="str">
        <f t="shared" si="900"/>
        <v/>
      </c>
      <c r="CT228" s="111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1"/>
        <v/>
      </c>
      <c r="CV228" s="325" t="str">
        <f t="shared" si="902"/>
        <v/>
      </c>
      <c r="CW228" s="326" t="str">
        <f t="shared" si="903"/>
        <v/>
      </c>
      <c r="CX228" s="326" t="str">
        <f t="shared" si="904"/>
        <v/>
      </c>
      <c r="CY228" s="326">
        <f t="shared" si="905"/>
        <v>0.17</v>
      </c>
      <c r="CZ228" s="326">
        <f t="shared" si="906"/>
        <v>0.17</v>
      </c>
      <c r="DA228" s="326">
        <f t="shared" si="907"/>
        <v>0.17</v>
      </c>
      <c r="DB228" s="327">
        <f t="shared" si="908"/>
        <v>0.17</v>
      </c>
      <c r="DC228" s="327">
        <f t="shared" si="909"/>
        <v>0.17</v>
      </c>
      <c r="DD228" s="327">
        <f t="shared" si="910"/>
        <v>0.17</v>
      </c>
      <c r="DE228" s="326">
        <f t="shared" si="911"/>
        <v>0.17</v>
      </c>
      <c r="DF228" s="326">
        <f t="shared" si="912"/>
        <v>0.17</v>
      </c>
      <c r="DG228" s="326">
        <f t="shared" si="913"/>
        <v>0.17</v>
      </c>
      <c r="DH228" s="326" t="str">
        <f t="shared" si="914"/>
        <v/>
      </c>
      <c r="DI228" s="326" t="str">
        <f t="shared" si="915"/>
        <v/>
      </c>
      <c r="DJ228" s="325" t="str">
        <f t="shared" si="916"/>
        <v/>
      </c>
      <c r="DK228" s="324" t="str">
        <f t="shared" si="917"/>
        <v/>
      </c>
      <c r="DL228" s="428">
        <f t="shared" si="918"/>
        <v>9</v>
      </c>
      <c r="DM228" s="66">
        <f t="shared" si="919"/>
        <v>9</v>
      </c>
      <c r="DN228" s="66">
        <f t="shared" si="920"/>
        <v>9</v>
      </c>
      <c r="DO228" s="66">
        <f t="shared" si="921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22">IF(B227="","",(B227/12)*B228)</f>
        <v>4.2500000000000003E-2</v>
      </c>
      <c r="C229" s="408">
        <f t="shared" si="922"/>
        <v>4.2500000000000003E-2</v>
      </c>
      <c r="D229" s="408">
        <f t="shared" si="922"/>
        <v>4.2500000000000003E-2</v>
      </c>
      <c r="E229" s="408">
        <f t="shared" si="922"/>
        <v>4.2500000000000003E-2</v>
      </c>
      <c r="F229" s="408">
        <f t="shared" si="922"/>
        <v>4.2500000000000003E-2</v>
      </c>
      <c r="G229" s="408">
        <f t="shared" si="922"/>
        <v>4.2500000000000003E-2</v>
      </c>
      <c r="H229" s="408">
        <f t="shared" si="922"/>
        <v>4.2500000000000003E-2</v>
      </c>
      <c r="I229" s="408">
        <f t="shared" si="922"/>
        <v>4.2500000000000003E-2</v>
      </c>
      <c r="J229" s="408">
        <f t="shared" si="922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595"/>
      <c r="T229" s="408">
        <f t="shared" ref="T229:AB229" si="923">IF(T227="","",(T227/12)*T228)</f>
        <v>2.8333333333333335E-2</v>
      </c>
      <c r="U229" s="408">
        <f t="shared" si="923"/>
        <v>2.8333333333333335E-2</v>
      </c>
      <c r="V229" s="408">
        <f t="shared" si="923"/>
        <v>2.8333333333333335E-2</v>
      </c>
      <c r="W229" s="408">
        <v>0.17</v>
      </c>
      <c r="X229" s="408">
        <f t="shared" si="923"/>
        <v>2.8333333333333335E-2</v>
      </c>
      <c r="Y229" s="408">
        <f t="shared" si="923"/>
        <v>2.8333333333333335E-2</v>
      </c>
      <c r="Z229" s="408">
        <f t="shared" si="923"/>
        <v>2.8333333333333335E-2</v>
      </c>
      <c r="AA229" s="408">
        <f t="shared" si="923"/>
        <v>2.8333333333333335E-2</v>
      </c>
      <c r="AB229" s="408">
        <f t="shared" si="923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924">IF(AL227="","",(AL227/12)*AL228)</f>
        <v>1.4166666666666668E-2</v>
      </c>
      <c r="AM229" s="408">
        <f t="shared" si="924"/>
        <v>1.4166666666666668E-2</v>
      </c>
      <c r="AN229" s="408">
        <f t="shared" si="924"/>
        <v>1.4166666666666668E-2</v>
      </c>
      <c r="AO229" s="408">
        <f t="shared" si="924"/>
        <v>1.4166666666666668E-2</v>
      </c>
      <c r="AP229" s="408">
        <f t="shared" si="924"/>
        <v>1.4166666666666668E-2</v>
      </c>
      <c r="AQ229" s="408">
        <f t="shared" si="924"/>
        <v>1.4166666666666668E-2</v>
      </c>
      <c r="AR229" s="408">
        <f t="shared" si="924"/>
        <v>1.4166666666666668E-2</v>
      </c>
      <c r="AS229" s="408">
        <f t="shared" si="924"/>
        <v>1.4166666666666668E-2</v>
      </c>
      <c r="AT229" s="408">
        <f t="shared" si="924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925">IF(BD227="","",(BD227/12)*BD228)</f>
        <v>1.4166666666666668E-2</v>
      </c>
      <c r="BE229" s="408">
        <f t="shared" si="925"/>
        <v>1.4166666666666668E-2</v>
      </c>
      <c r="BF229" s="408">
        <f t="shared" si="925"/>
        <v>1.4166666666666668E-2</v>
      </c>
      <c r="BG229" s="408">
        <f t="shared" si="925"/>
        <v>1.4166666666666668E-2</v>
      </c>
      <c r="BH229" s="408">
        <f t="shared" si="925"/>
        <v>1.4166666666666668E-2</v>
      </c>
      <c r="BI229" s="408">
        <f t="shared" si="925"/>
        <v>1.4166666666666668E-2</v>
      </c>
      <c r="BJ229" s="408">
        <f t="shared" si="925"/>
        <v>1.4166666666666668E-2</v>
      </c>
      <c r="BK229" s="408">
        <f t="shared" si="925"/>
        <v>1.4166666666666668E-2</v>
      </c>
      <c r="BL229" s="408">
        <f t="shared" si="925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82"/>
        <v>4.2499999999999996E-2</v>
      </c>
      <c r="CA229" s="398">
        <f t="shared" si="883"/>
        <v>2.8333333333333325E-2</v>
      </c>
      <c r="CB229" s="398">
        <f t="shared" si="884"/>
        <v>1.4166666666666664E-2</v>
      </c>
      <c r="CC229" s="465">
        <f t="shared" si="885"/>
        <v>1.4166666666666664E-2</v>
      </c>
      <c r="CD229" s="1114" t="str">
        <f t="shared" si="899"/>
        <v/>
      </c>
      <c r="CE229" s="1115" t="str">
        <f t="shared" ref="CE229:CT230" si="92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6" t="str">
        <f t="shared" si="926"/>
        <v/>
      </c>
      <c r="CG229" s="1116" t="str">
        <f t="shared" si="926"/>
        <v/>
      </c>
      <c r="CH229" s="1116">
        <f t="shared" si="926"/>
        <v>4.2500000000000003E-2</v>
      </c>
      <c r="CI229" s="1116">
        <f t="shared" si="926"/>
        <v>4.2500000000000003E-2</v>
      </c>
      <c r="CJ229" s="1116">
        <f t="shared" si="926"/>
        <v>4.2500000000000003E-2</v>
      </c>
      <c r="CK229" s="1117">
        <f t="shared" si="926"/>
        <v>4.2500000000000003E-2</v>
      </c>
      <c r="CL229" s="1117">
        <f t="shared" si="926"/>
        <v>4.2500000000000003E-2</v>
      </c>
      <c r="CM229" s="1117">
        <f t="shared" si="926"/>
        <v>4.2500000000000003E-2</v>
      </c>
      <c r="CN229" s="1116">
        <f t="shared" si="926"/>
        <v>4.2500000000000003E-2</v>
      </c>
      <c r="CO229" s="1116">
        <f t="shared" si="926"/>
        <v>4.2500000000000003E-2</v>
      </c>
      <c r="CP229" s="1116">
        <f t="shared" si="926"/>
        <v>4.2500000000000003E-2</v>
      </c>
      <c r="CQ229" s="1116" t="str">
        <f t="shared" si="926"/>
        <v/>
      </c>
      <c r="CR229" s="1116" t="str">
        <f t="shared" si="926"/>
        <v/>
      </c>
      <c r="CS229" s="1115" t="str">
        <f t="shared" si="926"/>
        <v/>
      </c>
      <c r="CT229" s="1118" t="str">
        <f t="shared" si="926"/>
        <v/>
      </c>
      <c r="CU229" s="312" t="str">
        <f t="shared" si="901"/>
        <v/>
      </c>
      <c r="CV229" s="313" t="str">
        <f t="shared" si="902"/>
        <v/>
      </c>
      <c r="CW229" s="314" t="str">
        <f t="shared" si="903"/>
        <v/>
      </c>
      <c r="CX229" s="314" t="str">
        <f t="shared" si="904"/>
        <v/>
      </c>
      <c r="CY229" s="314">
        <f t="shared" si="905"/>
        <v>2.8333333333333335E-2</v>
      </c>
      <c r="CZ229" s="314">
        <f t="shared" si="906"/>
        <v>2.8333333333333335E-2</v>
      </c>
      <c r="DA229" s="314">
        <f t="shared" si="907"/>
        <v>2.8333333333333335E-2</v>
      </c>
      <c r="DB229" s="315">
        <f t="shared" si="908"/>
        <v>2.8333333333333335E-2</v>
      </c>
      <c r="DC229" s="315">
        <f t="shared" si="909"/>
        <v>2.8333333333333335E-2</v>
      </c>
      <c r="DD229" s="315">
        <f t="shared" si="910"/>
        <v>2.8333333333333335E-2</v>
      </c>
      <c r="DE229" s="314">
        <f t="shared" si="911"/>
        <v>2.8333333333333335E-2</v>
      </c>
      <c r="DF229" s="314">
        <f t="shared" si="912"/>
        <v>2.8333333333333335E-2</v>
      </c>
      <c r="DG229" s="314">
        <f t="shared" si="913"/>
        <v>0.17</v>
      </c>
      <c r="DH229" s="314" t="str">
        <f t="shared" si="914"/>
        <v/>
      </c>
      <c r="DI229" s="314" t="str">
        <f t="shared" si="915"/>
        <v/>
      </c>
      <c r="DJ229" s="313" t="str">
        <f t="shared" si="916"/>
        <v/>
      </c>
      <c r="DK229" s="312" t="str">
        <f t="shared" si="917"/>
        <v/>
      </c>
      <c r="DL229" s="428">
        <f t="shared" si="918"/>
        <v>9</v>
      </c>
      <c r="DM229" s="66">
        <f t="shared" si="919"/>
        <v>9</v>
      </c>
      <c r="DN229" s="66">
        <f t="shared" si="920"/>
        <v>9</v>
      </c>
      <c r="DO229" s="66">
        <f t="shared" si="921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6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82"/>
        <v>4</v>
      </c>
      <c r="CA230" s="373">
        <f t="shared" si="883"/>
        <v>3</v>
      </c>
      <c r="CB230" s="373">
        <f t="shared" si="884"/>
        <v>2</v>
      </c>
      <c r="CC230" s="462">
        <f t="shared" si="885"/>
        <v>2</v>
      </c>
      <c r="CD230" s="1109" t="str">
        <f t="shared" si="899"/>
        <v/>
      </c>
      <c r="CE230" s="1110" t="str">
        <f t="shared" si="926"/>
        <v/>
      </c>
      <c r="CF230" s="1111" t="str">
        <f t="shared" si="926"/>
        <v/>
      </c>
      <c r="CG230" s="1111" t="str">
        <f t="shared" si="926"/>
        <v/>
      </c>
      <c r="CH230" s="1111">
        <f t="shared" si="926"/>
        <v>4</v>
      </c>
      <c r="CI230" s="1111">
        <f t="shared" si="926"/>
        <v>4</v>
      </c>
      <c r="CJ230" s="1111">
        <f t="shared" si="926"/>
        <v>4</v>
      </c>
      <c r="CK230" s="1112">
        <f t="shared" si="926"/>
        <v>4</v>
      </c>
      <c r="CL230" s="1112">
        <f t="shared" si="926"/>
        <v>4</v>
      </c>
      <c r="CM230" s="1112">
        <f t="shared" si="926"/>
        <v>4</v>
      </c>
      <c r="CN230" s="1111">
        <f t="shared" si="926"/>
        <v>4</v>
      </c>
      <c r="CO230" s="1111">
        <f t="shared" si="926"/>
        <v>4</v>
      </c>
      <c r="CP230" s="1111">
        <f t="shared" si="926"/>
        <v>4</v>
      </c>
      <c r="CQ230" s="1111" t="str">
        <f t="shared" si="926"/>
        <v/>
      </c>
      <c r="CR230" s="1111" t="str">
        <f t="shared" si="926"/>
        <v/>
      </c>
      <c r="CS230" s="1110" t="str">
        <f t="shared" si="926"/>
        <v/>
      </c>
      <c r="CT230" s="1113" t="str">
        <f t="shared" si="926"/>
        <v/>
      </c>
      <c r="CU230" s="324" t="str">
        <f t="shared" si="901"/>
        <v/>
      </c>
      <c r="CV230" s="325" t="str">
        <f t="shared" si="902"/>
        <v/>
      </c>
      <c r="CW230" s="326" t="str">
        <f t="shared" si="903"/>
        <v/>
      </c>
      <c r="CX230" s="326" t="str">
        <f t="shared" si="904"/>
        <v/>
      </c>
      <c r="CY230" s="326">
        <f t="shared" si="905"/>
        <v>3</v>
      </c>
      <c r="CZ230" s="326">
        <f t="shared" si="906"/>
        <v>3</v>
      </c>
      <c r="DA230" s="326">
        <f t="shared" si="907"/>
        <v>3</v>
      </c>
      <c r="DB230" s="327">
        <f t="shared" si="908"/>
        <v>3</v>
      </c>
      <c r="DC230" s="327">
        <f t="shared" si="909"/>
        <v>3</v>
      </c>
      <c r="DD230" s="327">
        <f t="shared" si="910"/>
        <v>3</v>
      </c>
      <c r="DE230" s="326">
        <f t="shared" si="911"/>
        <v>3</v>
      </c>
      <c r="DF230" s="326">
        <f t="shared" si="912"/>
        <v>3</v>
      </c>
      <c r="DG230" s="326">
        <f t="shared" si="913"/>
        <v>3</v>
      </c>
      <c r="DH230" s="326" t="str">
        <f t="shared" si="914"/>
        <v/>
      </c>
      <c r="DI230" s="326" t="str">
        <f t="shared" si="915"/>
        <v/>
      </c>
      <c r="DJ230" s="325" t="str">
        <f t="shared" si="916"/>
        <v/>
      </c>
      <c r="DK230" s="324" t="str">
        <f t="shared" si="917"/>
        <v/>
      </c>
      <c r="DL230" s="428">
        <f t="shared" si="918"/>
        <v>9</v>
      </c>
      <c r="DM230" s="66">
        <f t="shared" si="919"/>
        <v>9</v>
      </c>
      <c r="DN230" s="66">
        <f t="shared" si="920"/>
        <v>9</v>
      </c>
      <c r="DO230" s="66">
        <f t="shared" si="921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5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82"/>
        <v>0.16999999999999998</v>
      </c>
      <c r="CA231" s="373">
        <f t="shared" si="883"/>
        <v>0.16999999999999998</v>
      </c>
      <c r="CB231" s="373">
        <f t="shared" si="884"/>
        <v>0.16999999999999998</v>
      </c>
      <c r="CC231" s="462">
        <f t="shared" si="885"/>
        <v>0.16999999999999998</v>
      </c>
      <c r="CD231" s="1114" t="str">
        <f t="shared" si="899"/>
        <v/>
      </c>
      <c r="CE231" s="1115" t="str">
        <f t="shared" ref="CE231:CT241" si="92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6" t="str">
        <f t="shared" si="927"/>
        <v/>
      </c>
      <c r="CG231" s="1116" t="str">
        <f t="shared" si="927"/>
        <v/>
      </c>
      <c r="CH231" s="1116">
        <f t="shared" si="927"/>
        <v>0.17</v>
      </c>
      <c r="CI231" s="1116">
        <f t="shared" si="927"/>
        <v>0.17</v>
      </c>
      <c r="CJ231" s="1116">
        <f t="shared" si="927"/>
        <v>0.17</v>
      </c>
      <c r="CK231" s="1117">
        <f t="shared" si="927"/>
        <v>0.17</v>
      </c>
      <c r="CL231" s="1117">
        <f t="shared" si="927"/>
        <v>0.17</v>
      </c>
      <c r="CM231" s="1117">
        <f t="shared" si="927"/>
        <v>0.17</v>
      </c>
      <c r="CN231" s="1116">
        <f t="shared" si="927"/>
        <v>0.17</v>
      </c>
      <c r="CO231" s="1116">
        <f t="shared" si="927"/>
        <v>0.17</v>
      </c>
      <c r="CP231" s="1116">
        <f t="shared" si="927"/>
        <v>0.17</v>
      </c>
      <c r="CQ231" s="1116" t="str">
        <f t="shared" si="927"/>
        <v/>
      </c>
      <c r="CR231" s="1116" t="str">
        <f t="shared" si="927"/>
        <v/>
      </c>
      <c r="CS231" s="1115" t="str">
        <f t="shared" si="927"/>
        <v/>
      </c>
      <c r="CT231" s="1118" t="str">
        <f t="shared" si="927"/>
        <v/>
      </c>
      <c r="CU231" s="324" t="str">
        <f t="shared" si="901"/>
        <v/>
      </c>
      <c r="CV231" s="325" t="str">
        <f t="shared" si="902"/>
        <v/>
      </c>
      <c r="CW231" s="326" t="str">
        <f t="shared" si="903"/>
        <v/>
      </c>
      <c r="CX231" s="326" t="str">
        <f t="shared" si="904"/>
        <v/>
      </c>
      <c r="CY231" s="326">
        <f t="shared" si="905"/>
        <v>0.17</v>
      </c>
      <c r="CZ231" s="326">
        <f t="shared" si="906"/>
        <v>0.17</v>
      </c>
      <c r="DA231" s="326">
        <f t="shared" si="907"/>
        <v>0.17</v>
      </c>
      <c r="DB231" s="327">
        <f t="shared" si="908"/>
        <v>0.17</v>
      </c>
      <c r="DC231" s="327">
        <f t="shared" si="909"/>
        <v>0.17</v>
      </c>
      <c r="DD231" s="327">
        <f t="shared" si="910"/>
        <v>0.17</v>
      </c>
      <c r="DE231" s="326">
        <f t="shared" si="911"/>
        <v>0.17</v>
      </c>
      <c r="DF231" s="326">
        <f t="shared" si="912"/>
        <v>0.17</v>
      </c>
      <c r="DG231" s="326">
        <f t="shared" si="913"/>
        <v>0.17</v>
      </c>
      <c r="DH231" s="326" t="str">
        <f t="shared" si="914"/>
        <v/>
      </c>
      <c r="DI231" s="326" t="str">
        <f t="shared" si="915"/>
        <v/>
      </c>
      <c r="DJ231" s="325" t="str">
        <f t="shared" si="916"/>
        <v/>
      </c>
      <c r="DK231" s="324" t="str">
        <f t="shared" si="917"/>
        <v/>
      </c>
      <c r="DL231" s="428">
        <f t="shared" si="918"/>
        <v>9</v>
      </c>
      <c r="DM231" s="66">
        <f t="shared" si="919"/>
        <v>9</v>
      </c>
      <c r="DN231" s="66">
        <f t="shared" si="920"/>
        <v>9</v>
      </c>
      <c r="DO231" s="66">
        <f t="shared" si="921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28">IF(B230="","",(B230/12)*B231)</f>
        <v>5.6666666666666671E-2</v>
      </c>
      <c r="C232" s="408">
        <f t="shared" si="928"/>
        <v>5.6666666666666671E-2</v>
      </c>
      <c r="D232" s="408">
        <f t="shared" si="928"/>
        <v>5.6666666666666671E-2</v>
      </c>
      <c r="E232" s="408">
        <f t="shared" si="928"/>
        <v>5.6666666666666671E-2</v>
      </c>
      <c r="F232" s="408">
        <f t="shared" si="928"/>
        <v>5.6666666666666671E-2</v>
      </c>
      <c r="G232" s="408">
        <f t="shared" si="928"/>
        <v>5.6666666666666671E-2</v>
      </c>
      <c r="H232" s="408">
        <f t="shared" si="928"/>
        <v>5.6666666666666671E-2</v>
      </c>
      <c r="I232" s="408">
        <f t="shared" si="928"/>
        <v>5.6666666666666671E-2</v>
      </c>
      <c r="J232" s="408">
        <f t="shared" si="928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595"/>
      <c r="T232" s="408">
        <f t="shared" ref="T232:AB232" si="929">IF(T230="","",(T230/12)*T231)</f>
        <v>4.2500000000000003E-2</v>
      </c>
      <c r="U232" s="408">
        <f t="shared" si="929"/>
        <v>4.2500000000000003E-2</v>
      </c>
      <c r="V232" s="408">
        <f t="shared" si="929"/>
        <v>4.2500000000000003E-2</v>
      </c>
      <c r="W232" s="408">
        <f t="shared" si="929"/>
        <v>4.2500000000000003E-2</v>
      </c>
      <c r="X232" s="408">
        <f t="shared" si="929"/>
        <v>4.2500000000000003E-2</v>
      </c>
      <c r="Y232" s="408">
        <f t="shared" si="929"/>
        <v>4.2500000000000003E-2</v>
      </c>
      <c r="Z232" s="408">
        <f t="shared" si="929"/>
        <v>4.2500000000000003E-2</v>
      </c>
      <c r="AA232" s="408">
        <f t="shared" si="929"/>
        <v>4.2500000000000003E-2</v>
      </c>
      <c r="AB232" s="408">
        <f t="shared" si="929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930">IF(AL230="","",(AL230/12)*AL231)</f>
        <v>2.8333333333333335E-2</v>
      </c>
      <c r="AM232" s="408">
        <f t="shared" si="930"/>
        <v>2.8333333333333335E-2</v>
      </c>
      <c r="AN232" s="408">
        <f t="shared" si="930"/>
        <v>2.8333333333333335E-2</v>
      </c>
      <c r="AO232" s="408">
        <f t="shared" si="930"/>
        <v>2.8333333333333335E-2</v>
      </c>
      <c r="AP232" s="408">
        <f t="shared" si="930"/>
        <v>2.8333333333333335E-2</v>
      </c>
      <c r="AQ232" s="408">
        <f t="shared" si="930"/>
        <v>2.8333333333333335E-2</v>
      </c>
      <c r="AR232" s="408">
        <f t="shared" si="930"/>
        <v>2.8333333333333335E-2</v>
      </c>
      <c r="AS232" s="408">
        <f t="shared" si="930"/>
        <v>2.8333333333333335E-2</v>
      </c>
      <c r="AT232" s="408">
        <f t="shared" si="930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931">IF(BD230="","",(BD230/12)*BD231)</f>
        <v>2.8333333333333335E-2</v>
      </c>
      <c r="BE232" s="408">
        <f t="shared" si="931"/>
        <v>2.8333333333333335E-2</v>
      </c>
      <c r="BF232" s="408">
        <f t="shared" si="931"/>
        <v>2.8333333333333335E-2</v>
      </c>
      <c r="BG232" s="408">
        <f t="shared" si="931"/>
        <v>2.8333333333333335E-2</v>
      </c>
      <c r="BH232" s="408">
        <f t="shared" si="931"/>
        <v>2.8333333333333335E-2</v>
      </c>
      <c r="BI232" s="408">
        <f t="shared" si="931"/>
        <v>2.8333333333333335E-2</v>
      </c>
      <c r="BJ232" s="408">
        <f t="shared" si="931"/>
        <v>2.8333333333333335E-2</v>
      </c>
      <c r="BK232" s="408">
        <f t="shared" si="931"/>
        <v>2.8333333333333335E-2</v>
      </c>
      <c r="BL232" s="408">
        <f t="shared" si="931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82"/>
        <v>5.6666666666666657E-2</v>
      </c>
      <c r="CA232" s="398">
        <f t="shared" si="883"/>
        <v>4.2499999999999996E-2</v>
      </c>
      <c r="CB232" s="398">
        <f t="shared" si="884"/>
        <v>2.8333333333333328E-2</v>
      </c>
      <c r="CC232" s="465">
        <f t="shared" si="885"/>
        <v>2.8333333333333328E-2</v>
      </c>
      <c r="CD232" s="1114" t="str">
        <f t="shared" si="899"/>
        <v/>
      </c>
      <c r="CE232" s="1115" t="str">
        <f t="shared" si="927"/>
        <v/>
      </c>
      <c r="CF232" s="1116" t="str">
        <f t="shared" si="927"/>
        <v/>
      </c>
      <c r="CG232" s="1116" t="str">
        <f t="shared" si="927"/>
        <v/>
      </c>
      <c r="CH232" s="1116">
        <f t="shared" si="927"/>
        <v>5.6666666666666671E-2</v>
      </c>
      <c r="CI232" s="1116">
        <f t="shared" si="927"/>
        <v>5.6666666666666671E-2</v>
      </c>
      <c r="CJ232" s="1116">
        <f t="shared" si="927"/>
        <v>5.6666666666666671E-2</v>
      </c>
      <c r="CK232" s="1117">
        <f t="shared" si="927"/>
        <v>5.6666666666666671E-2</v>
      </c>
      <c r="CL232" s="1117">
        <f t="shared" si="927"/>
        <v>5.6666666666666671E-2</v>
      </c>
      <c r="CM232" s="1117">
        <f t="shared" si="927"/>
        <v>5.6666666666666671E-2</v>
      </c>
      <c r="CN232" s="1116">
        <f t="shared" si="927"/>
        <v>5.6666666666666671E-2</v>
      </c>
      <c r="CO232" s="1116">
        <f t="shared" si="927"/>
        <v>5.6666666666666671E-2</v>
      </c>
      <c r="CP232" s="1116">
        <f t="shared" si="927"/>
        <v>5.6666666666666671E-2</v>
      </c>
      <c r="CQ232" s="1116" t="str">
        <f t="shared" si="927"/>
        <v/>
      </c>
      <c r="CR232" s="1116" t="str">
        <f t="shared" si="927"/>
        <v/>
      </c>
      <c r="CS232" s="1115" t="str">
        <f t="shared" si="927"/>
        <v/>
      </c>
      <c r="CT232" s="1118" t="str">
        <f t="shared" si="927"/>
        <v/>
      </c>
      <c r="CU232" s="312" t="str">
        <f t="shared" si="901"/>
        <v/>
      </c>
      <c r="CV232" s="313" t="str">
        <f t="shared" si="902"/>
        <v/>
      </c>
      <c r="CW232" s="314" t="str">
        <f t="shared" si="903"/>
        <v/>
      </c>
      <c r="CX232" s="314" t="str">
        <f t="shared" si="904"/>
        <v/>
      </c>
      <c r="CY232" s="314">
        <f t="shared" si="905"/>
        <v>4.2500000000000003E-2</v>
      </c>
      <c r="CZ232" s="314">
        <f t="shared" si="906"/>
        <v>4.2500000000000003E-2</v>
      </c>
      <c r="DA232" s="314">
        <f t="shared" si="907"/>
        <v>4.2500000000000003E-2</v>
      </c>
      <c r="DB232" s="315">
        <f t="shared" si="908"/>
        <v>4.2500000000000003E-2</v>
      </c>
      <c r="DC232" s="315">
        <f t="shared" si="909"/>
        <v>4.2500000000000003E-2</v>
      </c>
      <c r="DD232" s="315">
        <f t="shared" si="910"/>
        <v>4.2500000000000003E-2</v>
      </c>
      <c r="DE232" s="314">
        <f t="shared" si="911"/>
        <v>4.2500000000000003E-2</v>
      </c>
      <c r="DF232" s="314">
        <f t="shared" si="912"/>
        <v>4.2500000000000003E-2</v>
      </c>
      <c r="DG232" s="314">
        <f t="shared" si="913"/>
        <v>4.2500000000000003E-2</v>
      </c>
      <c r="DH232" s="314" t="str">
        <f t="shared" si="914"/>
        <v/>
      </c>
      <c r="DI232" s="314" t="str">
        <f t="shared" si="915"/>
        <v/>
      </c>
      <c r="DJ232" s="313" t="str">
        <f t="shared" si="916"/>
        <v/>
      </c>
      <c r="DK232" s="312" t="str">
        <f t="shared" si="917"/>
        <v/>
      </c>
      <c r="DL232" s="428">
        <f t="shared" si="918"/>
        <v>9</v>
      </c>
      <c r="DM232" s="66">
        <f t="shared" si="919"/>
        <v>9</v>
      </c>
      <c r="DN232" s="66">
        <f t="shared" si="920"/>
        <v>9</v>
      </c>
      <c r="DO232" s="66">
        <f t="shared" si="921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82"/>
        <v/>
      </c>
      <c r="CA233" s="373" t="str">
        <f t="shared" si="883"/>
        <v/>
      </c>
      <c r="CB233" s="373" t="str">
        <f t="shared" si="884"/>
        <v/>
      </c>
      <c r="CC233" s="462" t="str">
        <f t="shared" si="885"/>
        <v/>
      </c>
      <c r="CD233" s="1109" t="str">
        <f t="shared" ref="CD233:CD241" si="93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0" t="str">
        <f t="shared" si="927"/>
        <v/>
      </c>
      <c r="CF233" s="1111" t="str">
        <f t="shared" si="927"/>
        <v/>
      </c>
      <c r="CG233" s="1111" t="str">
        <f t="shared" si="927"/>
        <v/>
      </c>
      <c r="CH233" s="1111" t="str">
        <f t="shared" si="927"/>
        <v/>
      </c>
      <c r="CI233" s="1111" t="str">
        <f t="shared" si="927"/>
        <v/>
      </c>
      <c r="CJ233" s="1111" t="str">
        <f t="shared" si="927"/>
        <v/>
      </c>
      <c r="CK233" s="1112" t="str">
        <f t="shared" si="927"/>
        <v/>
      </c>
      <c r="CL233" s="1112" t="str">
        <f t="shared" si="927"/>
        <v/>
      </c>
      <c r="CM233" s="1112" t="str">
        <f t="shared" si="927"/>
        <v/>
      </c>
      <c r="CN233" s="1111" t="str">
        <f t="shared" si="927"/>
        <v/>
      </c>
      <c r="CO233" s="1111" t="str">
        <f t="shared" si="927"/>
        <v/>
      </c>
      <c r="CP233" s="1111" t="str">
        <f t="shared" si="927"/>
        <v/>
      </c>
      <c r="CQ233" s="1111" t="str">
        <f t="shared" si="927"/>
        <v/>
      </c>
      <c r="CR233" s="1111" t="str">
        <f t="shared" si="927"/>
        <v/>
      </c>
      <c r="CS233" s="1110" t="str">
        <f t="shared" si="927"/>
        <v/>
      </c>
      <c r="CT233" s="1113" t="str">
        <f t="shared" si="927"/>
        <v/>
      </c>
      <c r="CU233" s="324" t="str">
        <f t="shared" si="901"/>
        <v/>
      </c>
      <c r="CV233" s="325" t="str">
        <f t="shared" si="902"/>
        <v/>
      </c>
      <c r="CW233" s="326" t="str">
        <f t="shared" si="903"/>
        <v/>
      </c>
      <c r="CX233" s="326" t="str">
        <f t="shared" si="904"/>
        <v/>
      </c>
      <c r="CY233" s="326" t="str">
        <f t="shared" si="905"/>
        <v/>
      </c>
      <c r="CZ233" s="326" t="str">
        <f t="shared" si="906"/>
        <v/>
      </c>
      <c r="DA233" s="326" t="str">
        <f t="shared" si="907"/>
        <v/>
      </c>
      <c r="DB233" s="327" t="str">
        <f t="shared" si="908"/>
        <v/>
      </c>
      <c r="DC233" s="327" t="str">
        <f t="shared" si="909"/>
        <v/>
      </c>
      <c r="DD233" s="327" t="str">
        <f t="shared" si="910"/>
        <v/>
      </c>
      <c r="DE233" s="326" t="str">
        <f t="shared" si="911"/>
        <v/>
      </c>
      <c r="DF233" s="326" t="str">
        <f t="shared" si="912"/>
        <v/>
      </c>
      <c r="DG233" s="326" t="str">
        <f t="shared" si="913"/>
        <v/>
      </c>
      <c r="DH233" s="326" t="str">
        <f t="shared" si="914"/>
        <v/>
      </c>
      <c r="DI233" s="326" t="str">
        <f t="shared" si="915"/>
        <v/>
      </c>
      <c r="DJ233" s="325" t="str">
        <f t="shared" si="916"/>
        <v/>
      </c>
      <c r="DK233" s="324" t="str">
        <f t="shared" si="917"/>
        <v/>
      </c>
      <c r="DL233" s="428">
        <f t="shared" si="918"/>
        <v>0</v>
      </c>
      <c r="DM233" s="66">
        <f t="shared" si="919"/>
        <v>0</v>
      </c>
      <c r="DN233" s="66">
        <f t="shared" si="920"/>
        <v>0</v>
      </c>
      <c r="DO233" s="66">
        <f t="shared" si="921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82"/>
        <v/>
      </c>
      <c r="CA234" s="373" t="str">
        <f t="shared" si="883"/>
        <v/>
      </c>
      <c r="CB234" s="373" t="str">
        <f t="shared" si="884"/>
        <v/>
      </c>
      <c r="CC234" s="462" t="str">
        <f t="shared" si="885"/>
        <v/>
      </c>
      <c r="CD234" s="1109" t="str">
        <f t="shared" si="932"/>
        <v/>
      </c>
      <c r="CE234" s="1110" t="str">
        <f t="shared" si="927"/>
        <v/>
      </c>
      <c r="CF234" s="1111" t="str">
        <f t="shared" si="927"/>
        <v/>
      </c>
      <c r="CG234" s="1111" t="str">
        <f t="shared" si="927"/>
        <v/>
      </c>
      <c r="CH234" s="1111" t="str">
        <f t="shared" si="927"/>
        <v/>
      </c>
      <c r="CI234" s="1111" t="str">
        <f t="shared" si="927"/>
        <v/>
      </c>
      <c r="CJ234" s="1111" t="str">
        <f t="shared" si="927"/>
        <v/>
      </c>
      <c r="CK234" s="1112" t="str">
        <f t="shared" si="927"/>
        <v/>
      </c>
      <c r="CL234" s="1112" t="str">
        <f t="shared" si="927"/>
        <v/>
      </c>
      <c r="CM234" s="1112" t="str">
        <f t="shared" si="927"/>
        <v/>
      </c>
      <c r="CN234" s="1111" t="str">
        <f t="shared" si="927"/>
        <v/>
      </c>
      <c r="CO234" s="1111" t="str">
        <f t="shared" si="927"/>
        <v/>
      </c>
      <c r="CP234" s="1111" t="str">
        <f t="shared" si="927"/>
        <v/>
      </c>
      <c r="CQ234" s="1111" t="str">
        <f t="shared" si="927"/>
        <v/>
      </c>
      <c r="CR234" s="1111" t="str">
        <f t="shared" si="927"/>
        <v/>
      </c>
      <c r="CS234" s="1110" t="str">
        <f t="shared" si="927"/>
        <v/>
      </c>
      <c r="CT234" s="1113" t="str">
        <f t="shared" si="927"/>
        <v/>
      </c>
      <c r="CU234" s="324" t="str">
        <f t="shared" si="901"/>
        <v/>
      </c>
      <c r="CV234" s="325" t="str">
        <f t="shared" si="902"/>
        <v/>
      </c>
      <c r="CW234" s="326" t="str">
        <f t="shared" si="903"/>
        <v/>
      </c>
      <c r="CX234" s="326" t="str">
        <f t="shared" si="904"/>
        <v/>
      </c>
      <c r="CY234" s="326" t="str">
        <f t="shared" si="905"/>
        <v/>
      </c>
      <c r="CZ234" s="326" t="str">
        <f t="shared" si="906"/>
        <v/>
      </c>
      <c r="DA234" s="326" t="str">
        <f t="shared" si="907"/>
        <v/>
      </c>
      <c r="DB234" s="327" t="str">
        <f t="shared" si="908"/>
        <v/>
      </c>
      <c r="DC234" s="327" t="str">
        <f t="shared" si="909"/>
        <v/>
      </c>
      <c r="DD234" s="327" t="str">
        <f t="shared" si="910"/>
        <v/>
      </c>
      <c r="DE234" s="326" t="str">
        <f t="shared" si="911"/>
        <v/>
      </c>
      <c r="DF234" s="326" t="str">
        <f t="shared" si="912"/>
        <v/>
      </c>
      <c r="DG234" s="326" t="str">
        <f t="shared" si="913"/>
        <v/>
      </c>
      <c r="DH234" s="326" t="str">
        <f t="shared" si="914"/>
        <v/>
      </c>
      <c r="DI234" s="326" t="str">
        <f t="shared" si="915"/>
        <v/>
      </c>
      <c r="DJ234" s="325" t="str">
        <f t="shared" si="916"/>
        <v/>
      </c>
      <c r="DK234" s="324" t="str">
        <f t="shared" si="917"/>
        <v/>
      </c>
      <c r="DL234" s="428">
        <f t="shared" si="918"/>
        <v>0</v>
      </c>
      <c r="DM234" s="66">
        <f t="shared" si="919"/>
        <v>0</v>
      </c>
      <c r="DN234" s="66">
        <f t="shared" si="920"/>
        <v>0</v>
      </c>
      <c r="DO234" s="66">
        <f t="shared" si="921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33">IF(B233="","",B233*B234)</f>
        <v/>
      </c>
      <c r="C235" s="405" t="str">
        <f t="shared" si="933"/>
        <v/>
      </c>
      <c r="D235" s="405" t="str">
        <f t="shared" si="933"/>
        <v/>
      </c>
      <c r="E235" s="405" t="str">
        <f t="shared" si="933"/>
        <v/>
      </c>
      <c r="F235" s="405" t="str">
        <f t="shared" si="933"/>
        <v/>
      </c>
      <c r="G235" s="405" t="str">
        <f t="shared" si="933"/>
        <v/>
      </c>
      <c r="H235" s="405" t="str">
        <f t="shared" si="933"/>
        <v/>
      </c>
      <c r="I235" s="405" t="str">
        <f t="shared" si="933"/>
        <v/>
      </c>
      <c r="J235" s="405" t="str">
        <f t="shared" si="933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34">IF(T233="","",T233*T234)</f>
        <v/>
      </c>
      <c r="U235" s="405" t="str">
        <f t="shared" si="934"/>
        <v/>
      </c>
      <c r="V235" s="405" t="str">
        <f t="shared" si="934"/>
        <v/>
      </c>
      <c r="W235" s="405" t="str">
        <f t="shared" si="934"/>
        <v/>
      </c>
      <c r="X235" s="405" t="str">
        <f t="shared" si="934"/>
        <v/>
      </c>
      <c r="Y235" s="405" t="str">
        <f t="shared" si="934"/>
        <v/>
      </c>
      <c r="Z235" s="405" t="str">
        <f t="shared" si="934"/>
        <v/>
      </c>
      <c r="AA235" s="405" t="str">
        <f t="shared" si="934"/>
        <v/>
      </c>
      <c r="AB235" s="405" t="str">
        <f t="shared" si="934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935">IF(AL233="","",AL233*AL234)</f>
        <v/>
      </c>
      <c r="AM235" s="405" t="str">
        <f t="shared" si="935"/>
        <v/>
      </c>
      <c r="AN235" s="405" t="str">
        <f t="shared" si="935"/>
        <v/>
      </c>
      <c r="AO235" s="405" t="str">
        <f t="shared" si="935"/>
        <v/>
      </c>
      <c r="AP235" s="405" t="str">
        <f t="shared" si="935"/>
        <v/>
      </c>
      <c r="AQ235" s="405" t="str">
        <f t="shared" si="935"/>
        <v/>
      </c>
      <c r="AR235" s="405" t="str">
        <f t="shared" si="935"/>
        <v/>
      </c>
      <c r="AS235" s="405" t="str">
        <f t="shared" si="935"/>
        <v/>
      </c>
      <c r="AT235" s="405" t="str">
        <f t="shared" si="935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936">IF(BD233="","",BD233*BD234)</f>
        <v/>
      </c>
      <c r="BE235" s="405" t="str">
        <f t="shared" si="936"/>
        <v/>
      </c>
      <c r="BF235" s="405" t="str">
        <f t="shared" si="936"/>
        <v/>
      </c>
      <c r="BG235" s="405" t="str">
        <f t="shared" si="936"/>
        <v/>
      </c>
      <c r="BH235" s="405" t="str">
        <f t="shared" si="936"/>
        <v/>
      </c>
      <c r="BI235" s="405" t="str">
        <f t="shared" si="936"/>
        <v/>
      </c>
      <c r="BJ235" s="405" t="str">
        <f t="shared" si="936"/>
        <v/>
      </c>
      <c r="BK235" s="405" t="str">
        <f t="shared" si="936"/>
        <v/>
      </c>
      <c r="BL235" s="405" t="str">
        <f t="shared" si="936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82"/>
        <v/>
      </c>
      <c r="CA235" s="373" t="str">
        <f t="shared" si="883"/>
        <v/>
      </c>
      <c r="CB235" s="373" t="str">
        <f t="shared" si="884"/>
        <v/>
      </c>
      <c r="CC235" s="462" t="str">
        <f t="shared" si="885"/>
        <v/>
      </c>
      <c r="CD235" s="1109" t="str">
        <f t="shared" si="932"/>
        <v/>
      </c>
      <c r="CE235" s="1110" t="str">
        <f t="shared" si="927"/>
        <v/>
      </c>
      <c r="CF235" s="1111" t="str">
        <f t="shared" si="927"/>
        <v/>
      </c>
      <c r="CG235" s="1111" t="str">
        <f t="shared" si="927"/>
        <v/>
      </c>
      <c r="CH235" s="1111" t="str">
        <f t="shared" si="927"/>
        <v/>
      </c>
      <c r="CI235" s="1111" t="str">
        <f t="shared" si="927"/>
        <v/>
      </c>
      <c r="CJ235" s="1111" t="str">
        <f t="shared" si="927"/>
        <v/>
      </c>
      <c r="CK235" s="1112" t="str">
        <f t="shared" si="927"/>
        <v/>
      </c>
      <c r="CL235" s="1112" t="str">
        <f t="shared" si="927"/>
        <v/>
      </c>
      <c r="CM235" s="1112" t="str">
        <f t="shared" si="927"/>
        <v/>
      </c>
      <c r="CN235" s="1111" t="str">
        <f t="shared" si="927"/>
        <v/>
      </c>
      <c r="CO235" s="1111" t="str">
        <f t="shared" si="927"/>
        <v/>
      </c>
      <c r="CP235" s="1111" t="str">
        <f t="shared" si="927"/>
        <v/>
      </c>
      <c r="CQ235" s="1111" t="str">
        <f t="shared" si="927"/>
        <v/>
      </c>
      <c r="CR235" s="1111" t="str">
        <f t="shared" si="927"/>
        <v/>
      </c>
      <c r="CS235" s="1110" t="str">
        <f t="shared" si="927"/>
        <v/>
      </c>
      <c r="CT235" s="1113" t="str">
        <f t="shared" si="927"/>
        <v/>
      </c>
      <c r="CU235" s="324" t="str">
        <f t="shared" si="901"/>
        <v/>
      </c>
      <c r="CV235" s="325" t="str">
        <f t="shared" si="902"/>
        <v/>
      </c>
      <c r="CW235" s="326" t="str">
        <f t="shared" si="903"/>
        <v/>
      </c>
      <c r="CX235" s="326" t="str">
        <f t="shared" si="904"/>
        <v/>
      </c>
      <c r="CY235" s="326" t="str">
        <f t="shared" si="905"/>
        <v/>
      </c>
      <c r="CZ235" s="326" t="str">
        <f t="shared" si="906"/>
        <v/>
      </c>
      <c r="DA235" s="326" t="str">
        <f t="shared" si="907"/>
        <v/>
      </c>
      <c r="DB235" s="327" t="str">
        <f t="shared" si="908"/>
        <v/>
      </c>
      <c r="DC235" s="327" t="str">
        <f t="shared" si="909"/>
        <v/>
      </c>
      <c r="DD235" s="327" t="str">
        <f t="shared" si="910"/>
        <v/>
      </c>
      <c r="DE235" s="326" t="str">
        <f t="shared" si="911"/>
        <v/>
      </c>
      <c r="DF235" s="326" t="str">
        <f t="shared" si="912"/>
        <v/>
      </c>
      <c r="DG235" s="326" t="str">
        <f t="shared" si="913"/>
        <v/>
      </c>
      <c r="DH235" s="326" t="str">
        <f t="shared" si="914"/>
        <v/>
      </c>
      <c r="DI235" s="326" t="str">
        <f t="shared" si="915"/>
        <v/>
      </c>
      <c r="DJ235" s="325" t="str">
        <f t="shared" si="916"/>
        <v/>
      </c>
      <c r="DK235" s="324" t="str">
        <f t="shared" si="917"/>
        <v/>
      </c>
      <c r="DL235" s="428">
        <f t="shared" si="918"/>
        <v>0</v>
      </c>
      <c r="DM235" s="66">
        <f t="shared" si="919"/>
        <v>0</v>
      </c>
      <c r="DN235" s="66">
        <f t="shared" si="920"/>
        <v>0</v>
      </c>
      <c r="DO235" s="66">
        <f t="shared" si="921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82"/>
        <v>164.28571428571428</v>
      </c>
      <c r="CA236" s="373">
        <f t="shared" si="883"/>
        <v>350</v>
      </c>
      <c r="CB236" s="373">
        <f t="shared" si="884"/>
        <v>4757.1428571428569</v>
      </c>
      <c r="CC236" s="462">
        <f t="shared" si="885"/>
        <v>9214.2857142857138</v>
      </c>
      <c r="CD236" s="1109" t="str">
        <f t="shared" si="932"/>
        <v/>
      </c>
      <c r="CE236" s="1110" t="str">
        <f t="shared" si="927"/>
        <v/>
      </c>
      <c r="CF236" s="1111" t="str">
        <f t="shared" si="927"/>
        <v/>
      </c>
      <c r="CG236" s="1111" t="str">
        <f t="shared" si="927"/>
        <v/>
      </c>
      <c r="CH236" s="1111">
        <f t="shared" si="927"/>
        <v>100</v>
      </c>
      <c r="CI236" s="1111">
        <f t="shared" si="927"/>
        <v>100</v>
      </c>
      <c r="CJ236" s="1111">
        <f t="shared" si="927"/>
        <v>150</v>
      </c>
      <c r="CK236" s="1112">
        <f t="shared" si="927"/>
        <v>150</v>
      </c>
      <c r="CL236" s="1112">
        <f t="shared" si="927"/>
        <v>150</v>
      </c>
      <c r="CM236" s="1112">
        <f t="shared" si="927"/>
        <v>170</v>
      </c>
      <c r="CN236" s="1111">
        <f t="shared" si="927"/>
        <v>200</v>
      </c>
      <c r="CO236" s="1111">
        <f t="shared" si="927"/>
        <v>230</v>
      </c>
      <c r="CP236" s="1111">
        <f t="shared" si="927"/>
        <v>460</v>
      </c>
      <c r="CQ236" s="1111" t="str">
        <f t="shared" si="927"/>
        <v/>
      </c>
      <c r="CR236" s="1111" t="str">
        <f t="shared" si="927"/>
        <v/>
      </c>
      <c r="CS236" s="1110" t="str">
        <f t="shared" si="927"/>
        <v/>
      </c>
      <c r="CT236" s="1113" t="str">
        <f t="shared" si="927"/>
        <v/>
      </c>
      <c r="CU236" s="324" t="str">
        <f t="shared" si="901"/>
        <v/>
      </c>
      <c r="CV236" s="325" t="str">
        <f t="shared" si="902"/>
        <v/>
      </c>
      <c r="CW236" s="326" t="str">
        <f t="shared" si="903"/>
        <v/>
      </c>
      <c r="CX236" s="326" t="str">
        <f t="shared" si="904"/>
        <v/>
      </c>
      <c r="CY236" s="326">
        <f t="shared" si="905"/>
        <v>200</v>
      </c>
      <c r="CZ236" s="326">
        <f t="shared" si="906"/>
        <v>250</v>
      </c>
      <c r="DA236" s="326">
        <f t="shared" si="907"/>
        <v>250</v>
      </c>
      <c r="DB236" s="327">
        <f t="shared" si="908"/>
        <v>250</v>
      </c>
      <c r="DC236" s="327">
        <f t="shared" si="909"/>
        <v>250</v>
      </c>
      <c r="DD236" s="327">
        <f t="shared" si="910"/>
        <v>450</v>
      </c>
      <c r="DE236" s="326">
        <f t="shared" si="911"/>
        <v>500</v>
      </c>
      <c r="DF236" s="326">
        <f t="shared" si="912"/>
        <v>500</v>
      </c>
      <c r="DG236" s="326">
        <f t="shared" si="913"/>
        <v>750</v>
      </c>
      <c r="DH236" s="326" t="str">
        <f t="shared" si="914"/>
        <v/>
      </c>
      <c r="DI236" s="326" t="str">
        <f t="shared" si="915"/>
        <v/>
      </c>
      <c r="DJ236" s="325" t="str">
        <f t="shared" si="916"/>
        <v/>
      </c>
      <c r="DK236" s="324" t="str">
        <f t="shared" si="917"/>
        <v/>
      </c>
      <c r="DL236" s="428">
        <f t="shared" si="918"/>
        <v>9</v>
      </c>
      <c r="DM236" s="66">
        <f t="shared" si="919"/>
        <v>9</v>
      </c>
      <c r="DN236" s="66">
        <f t="shared" si="920"/>
        <v>9</v>
      </c>
      <c r="DO236" s="66">
        <f t="shared" si="921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37">3630*$K$1</f>
        <v>3630</v>
      </c>
      <c r="C237" s="476">
        <f t="shared" si="937"/>
        <v>3630</v>
      </c>
      <c r="D237" s="476">
        <f t="shared" si="937"/>
        <v>3630</v>
      </c>
      <c r="E237" s="476">
        <f t="shared" si="937"/>
        <v>3630</v>
      </c>
      <c r="F237" s="476">
        <f t="shared" si="937"/>
        <v>3630</v>
      </c>
      <c r="G237" s="476">
        <f t="shared" si="937"/>
        <v>3630</v>
      </c>
      <c r="H237" s="476">
        <f t="shared" si="937"/>
        <v>3630</v>
      </c>
      <c r="I237" s="476">
        <f t="shared" si="937"/>
        <v>3630</v>
      </c>
      <c r="J237" s="476">
        <f t="shared" si="937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938">3630*$K$1</f>
        <v>3630</v>
      </c>
      <c r="U237" s="476">
        <f t="shared" si="938"/>
        <v>3630</v>
      </c>
      <c r="V237" s="476">
        <f t="shared" si="938"/>
        <v>3630</v>
      </c>
      <c r="W237" s="476">
        <f t="shared" si="938"/>
        <v>3630</v>
      </c>
      <c r="X237" s="476">
        <f t="shared" si="938"/>
        <v>3630</v>
      </c>
      <c r="Y237" s="476">
        <f t="shared" si="938"/>
        <v>3630</v>
      </c>
      <c r="Z237" s="476">
        <f t="shared" si="938"/>
        <v>3630</v>
      </c>
      <c r="AA237" s="476">
        <f t="shared" si="938"/>
        <v>3630</v>
      </c>
      <c r="AB237" s="476">
        <f t="shared" si="938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939">3630*$K$1</f>
        <v>3630</v>
      </c>
      <c r="AM237" s="476">
        <f t="shared" si="939"/>
        <v>3630</v>
      </c>
      <c r="AN237" s="476">
        <f t="shared" si="939"/>
        <v>3630</v>
      </c>
      <c r="AO237" s="476">
        <f t="shared" si="939"/>
        <v>3630</v>
      </c>
      <c r="AP237" s="476">
        <f t="shared" si="939"/>
        <v>3630</v>
      </c>
      <c r="AQ237" s="476">
        <f t="shared" si="939"/>
        <v>3630</v>
      </c>
      <c r="AR237" s="476">
        <f t="shared" si="939"/>
        <v>3630</v>
      </c>
      <c r="AS237" s="476">
        <f t="shared" si="939"/>
        <v>3630</v>
      </c>
      <c r="AT237" s="476">
        <f t="shared" si="939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940">3630*$K$1</f>
        <v>3630</v>
      </c>
      <c r="BE237" s="476">
        <f t="shared" si="940"/>
        <v>3630</v>
      </c>
      <c r="BF237" s="476">
        <f t="shared" si="940"/>
        <v>3630</v>
      </c>
      <c r="BG237" s="476">
        <f t="shared" si="940"/>
        <v>3630</v>
      </c>
      <c r="BH237" s="476">
        <f t="shared" si="940"/>
        <v>3630</v>
      </c>
      <c r="BI237" s="476">
        <f t="shared" si="940"/>
        <v>3630</v>
      </c>
      <c r="BJ237" s="476">
        <f t="shared" si="940"/>
        <v>3630</v>
      </c>
      <c r="BK237" s="476">
        <f t="shared" si="940"/>
        <v>3630</v>
      </c>
      <c r="BL237" s="476">
        <f t="shared" si="940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82"/>
        <v>3630</v>
      </c>
      <c r="CA237" s="373">
        <f t="shared" si="883"/>
        <v>3630</v>
      </c>
      <c r="CB237" s="373">
        <f t="shared" si="884"/>
        <v>3630</v>
      </c>
      <c r="CC237" s="462">
        <f t="shared" si="885"/>
        <v>3630</v>
      </c>
      <c r="CD237" s="1109" t="str">
        <f t="shared" si="932"/>
        <v/>
      </c>
      <c r="CE237" s="1110" t="str">
        <f t="shared" si="927"/>
        <v/>
      </c>
      <c r="CF237" s="1111" t="str">
        <f t="shared" si="927"/>
        <v/>
      </c>
      <c r="CG237" s="1111" t="str">
        <f t="shared" si="927"/>
        <v/>
      </c>
      <c r="CH237" s="1111">
        <f t="shared" si="927"/>
        <v>3630</v>
      </c>
      <c r="CI237" s="1111">
        <f t="shared" si="927"/>
        <v>3630</v>
      </c>
      <c r="CJ237" s="1111">
        <f t="shared" si="927"/>
        <v>3630</v>
      </c>
      <c r="CK237" s="1112">
        <f t="shared" si="927"/>
        <v>3630</v>
      </c>
      <c r="CL237" s="1112">
        <f t="shared" si="927"/>
        <v>3630</v>
      </c>
      <c r="CM237" s="1112">
        <f t="shared" si="927"/>
        <v>3630</v>
      </c>
      <c r="CN237" s="1111">
        <f t="shared" si="927"/>
        <v>3630</v>
      </c>
      <c r="CO237" s="1111">
        <f t="shared" si="927"/>
        <v>3630</v>
      </c>
      <c r="CP237" s="1111">
        <f t="shared" si="927"/>
        <v>3630</v>
      </c>
      <c r="CQ237" s="1111" t="str">
        <f t="shared" si="927"/>
        <v/>
      </c>
      <c r="CR237" s="1111" t="str">
        <f t="shared" si="927"/>
        <v/>
      </c>
      <c r="CS237" s="1110" t="str">
        <f t="shared" si="927"/>
        <v/>
      </c>
      <c r="CT237" s="1113" t="str">
        <f t="shared" si="927"/>
        <v/>
      </c>
      <c r="CU237" s="324" t="str">
        <f t="shared" si="901"/>
        <v/>
      </c>
      <c r="CV237" s="325" t="str">
        <f t="shared" si="902"/>
        <v/>
      </c>
      <c r="CW237" s="326" t="str">
        <f t="shared" si="903"/>
        <v/>
      </c>
      <c r="CX237" s="326" t="str">
        <f t="shared" si="904"/>
        <v/>
      </c>
      <c r="CY237" s="326">
        <f t="shared" si="905"/>
        <v>3630</v>
      </c>
      <c r="CZ237" s="326">
        <f t="shared" si="906"/>
        <v>3630</v>
      </c>
      <c r="DA237" s="326">
        <f t="shared" si="907"/>
        <v>3630</v>
      </c>
      <c r="DB237" s="327">
        <f t="shared" si="908"/>
        <v>3630</v>
      </c>
      <c r="DC237" s="327">
        <f t="shared" si="909"/>
        <v>3630</v>
      </c>
      <c r="DD237" s="327">
        <f t="shared" si="910"/>
        <v>3630</v>
      </c>
      <c r="DE237" s="326">
        <f t="shared" si="911"/>
        <v>3630</v>
      </c>
      <c r="DF237" s="326">
        <f t="shared" si="912"/>
        <v>3630</v>
      </c>
      <c r="DG237" s="326">
        <f t="shared" si="913"/>
        <v>3630</v>
      </c>
      <c r="DH237" s="326" t="str">
        <f t="shared" si="914"/>
        <v/>
      </c>
      <c r="DI237" s="326" t="str">
        <f t="shared" si="915"/>
        <v/>
      </c>
      <c r="DJ237" s="325" t="str">
        <f t="shared" si="916"/>
        <v/>
      </c>
      <c r="DK237" s="324" t="str">
        <f t="shared" si="917"/>
        <v/>
      </c>
      <c r="DL237" s="428">
        <f t="shared" si="918"/>
        <v>9</v>
      </c>
      <c r="DM237" s="479">
        <f t="shared" si="919"/>
        <v>9</v>
      </c>
      <c r="DN237" s="479">
        <f t="shared" si="920"/>
        <v>9</v>
      </c>
      <c r="DO237" s="479">
        <f t="shared" si="921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82"/>
        <v/>
      </c>
      <c r="CA238" s="373">
        <f t="shared" si="883"/>
        <v>250</v>
      </c>
      <c r="CB238" s="373">
        <f t="shared" si="884"/>
        <v>3692.8571428571427</v>
      </c>
      <c r="CC238" s="462">
        <f t="shared" si="885"/>
        <v>7435.7142857142853</v>
      </c>
      <c r="CD238" s="1109" t="str">
        <f t="shared" si="932"/>
        <v/>
      </c>
      <c r="CE238" s="1110" t="str">
        <f t="shared" si="927"/>
        <v/>
      </c>
      <c r="CF238" s="1111" t="str">
        <f t="shared" si="927"/>
        <v/>
      </c>
      <c r="CG238" s="1111" t="str">
        <f t="shared" si="927"/>
        <v/>
      </c>
      <c r="CH238" s="1111" t="str">
        <f t="shared" si="927"/>
        <v/>
      </c>
      <c r="CI238" s="1111" t="str">
        <f t="shared" si="927"/>
        <v/>
      </c>
      <c r="CJ238" s="1111" t="str">
        <f t="shared" si="927"/>
        <v/>
      </c>
      <c r="CK238" s="1112" t="str">
        <f t="shared" si="927"/>
        <v/>
      </c>
      <c r="CL238" s="1112">
        <f t="shared" si="927"/>
        <v>100</v>
      </c>
      <c r="CM238" s="1112" t="str">
        <f t="shared" si="927"/>
        <v/>
      </c>
      <c r="CN238" s="1111" t="str">
        <f t="shared" si="927"/>
        <v/>
      </c>
      <c r="CO238" s="1111" t="str">
        <f t="shared" si="927"/>
        <v/>
      </c>
      <c r="CP238" s="1111" t="str">
        <f t="shared" si="927"/>
        <v/>
      </c>
      <c r="CQ238" s="1111" t="str">
        <f t="shared" si="927"/>
        <v/>
      </c>
      <c r="CR238" s="1111" t="str">
        <f t="shared" si="927"/>
        <v/>
      </c>
      <c r="CS238" s="1110" t="str">
        <f t="shared" si="927"/>
        <v/>
      </c>
      <c r="CT238" s="1113" t="str">
        <f t="shared" si="927"/>
        <v/>
      </c>
      <c r="CU238" s="324" t="str">
        <f t="shared" si="901"/>
        <v/>
      </c>
      <c r="CV238" s="325" t="str">
        <f t="shared" si="902"/>
        <v/>
      </c>
      <c r="CW238" s="326" t="str">
        <f t="shared" si="903"/>
        <v/>
      </c>
      <c r="CX238" s="326" t="str">
        <f t="shared" si="904"/>
        <v/>
      </c>
      <c r="CY238" s="326" t="str">
        <f t="shared" si="905"/>
        <v/>
      </c>
      <c r="CZ238" s="326" t="str">
        <f t="shared" si="906"/>
        <v/>
      </c>
      <c r="DA238" s="326" t="str">
        <f t="shared" si="907"/>
        <v/>
      </c>
      <c r="DB238" s="327">
        <f t="shared" si="908"/>
        <v>150</v>
      </c>
      <c r="DC238" s="327">
        <f t="shared" si="909"/>
        <v>250</v>
      </c>
      <c r="DD238" s="327">
        <f t="shared" si="910"/>
        <v>350</v>
      </c>
      <c r="DE238" s="326" t="str">
        <f t="shared" si="911"/>
        <v/>
      </c>
      <c r="DF238" s="326" t="str">
        <f t="shared" si="912"/>
        <v/>
      </c>
      <c r="DG238" s="326" t="str">
        <f t="shared" si="913"/>
        <v/>
      </c>
      <c r="DH238" s="326" t="str">
        <f t="shared" si="914"/>
        <v/>
      </c>
      <c r="DI238" s="326" t="str">
        <f t="shared" si="915"/>
        <v/>
      </c>
      <c r="DJ238" s="325" t="str">
        <f t="shared" si="916"/>
        <v/>
      </c>
      <c r="DK238" s="324" t="str">
        <f t="shared" si="917"/>
        <v/>
      </c>
      <c r="DL238" s="428">
        <f t="shared" si="918"/>
        <v>1</v>
      </c>
      <c r="DM238" s="66">
        <f t="shared" si="919"/>
        <v>3</v>
      </c>
      <c r="DN238" s="66">
        <f t="shared" si="920"/>
        <v>9</v>
      </c>
      <c r="DO238" s="66">
        <f t="shared" si="921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7" t="str">
        <f t="shared" si="882"/>
        <v/>
      </c>
      <c r="CA239" s="1087">
        <f t="shared" si="883"/>
        <v>1.3999999999999995</v>
      </c>
      <c r="CB239" s="1087">
        <f t="shared" si="884"/>
        <v>1.3285714285714287</v>
      </c>
      <c r="CC239" s="1088">
        <f t="shared" si="885"/>
        <v>1.3571428571428572</v>
      </c>
      <c r="CD239" s="1147" t="str">
        <f t="shared" si="932"/>
        <v/>
      </c>
      <c r="CE239" s="1148" t="str">
        <f t="shared" si="927"/>
        <v/>
      </c>
      <c r="CF239" s="1149" t="str">
        <f t="shared" si="927"/>
        <v/>
      </c>
      <c r="CG239" s="1149" t="str">
        <f t="shared" si="927"/>
        <v/>
      </c>
      <c r="CH239" s="1149" t="str">
        <f t="shared" si="927"/>
        <v/>
      </c>
      <c r="CI239" s="1149" t="str">
        <f t="shared" si="927"/>
        <v/>
      </c>
      <c r="CJ239" s="1149" t="str">
        <f t="shared" si="927"/>
        <v/>
      </c>
      <c r="CK239" s="1150" t="str">
        <f t="shared" si="927"/>
        <v/>
      </c>
      <c r="CL239" s="1150">
        <f t="shared" si="927"/>
        <v>1.3</v>
      </c>
      <c r="CM239" s="1150" t="str">
        <f t="shared" si="927"/>
        <v/>
      </c>
      <c r="CN239" s="1149" t="str">
        <f t="shared" si="927"/>
        <v/>
      </c>
      <c r="CO239" s="1149" t="str">
        <f t="shared" si="927"/>
        <v/>
      </c>
      <c r="CP239" s="1149" t="str">
        <f t="shared" si="927"/>
        <v/>
      </c>
      <c r="CQ239" s="1149" t="str">
        <f t="shared" si="927"/>
        <v/>
      </c>
      <c r="CR239" s="1149" t="str">
        <f t="shared" si="927"/>
        <v/>
      </c>
      <c r="CS239" s="1148" t="str">
        <f t="shared" si="927"/>
        <v/>
      </c>
      <c r="CT239" s="1151" t="str">
        <f t="shared" si="927"/>
        <v/>
      </c>
      <c r="CU239" s="324" t="str">
        <f t="shared" si="901"/>
        <v/>
      </c>
      <c r="CV239" s="325" t="str">
        <f t="shared" si="902"/>
        <v/>
      </c>
      <c r="CW239" s="326" t="str">
        <f t="shared" si="903"/>
        <v/>
      </c>
      <c r="CX239" s="326" t="str">
        <f t="shared" si="904"/>
        <v/>
      </c>
      <c r="CY239" s="326" t="str">
        <f t="shared" si="905"/>
        <v/>
      </c>
      <c r="CZ239" s="326" t="str">
        <f t="shared" si="906"/>
        <v/>
      </c>
      <c r="DA239" s="326" t="str">
        <f t="shared" si="907"/>
        <v/>
      </c>
      <c r="DB239" s="327">
        <f t="shared" si="908"/>
        <v>1.4</v>
      </c>
      <c r="DC239" s="327">
        <f t="shared" si="909"/>
        <v>1.4</v>
      </c>
      <c r="DD239" s="327">
        <f t="shared" si="910"/>
        <v>1.4</v>
      </c>
      <c r="DE239" s="326" t="str">
        <f t="shared" si="911"/>
        <v/>
      </c>
      <c r="DF239" s="326" t="str">
        <f t="shared" si="912"/>
        <v/>
      </c>
      <c r="DG239" s="326" t="str">
        <f t="shared" si="913"/>
        <v/>
      </c>
      <c r="DH239" s="326" t="str">
        <f t="shared" si="914"/>
        <v/>
      </c>
      <c r="DI239" s="326" t="str">
        <f t="shared" si="915"/>
        <v/>
      </c>
      <c r="DJ239" s="325" t="str">
        <f t="shared" si="916"/>
        <v/>
      </c>
      <c r="DK239" s="324" t="str">
        <f t="shared" si="917"/>
        <v/>
      </c>
      <c r="DL239" s="428">
        <f t="shared" si="918"/>
        <v>1</v>
      </c>
      <c r="DM239" s="66">
        <f t="shared" si="919"/>
        <v>3</v>
      </c>
      <c r="DN239" s="66">
        <f t="shared" si="920"/>
        <v>9</v>
      </c>
      <c r="DO239" s="66">
        <f t="shared" si="921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41">IF(B238="","",B238*B239)</f>
        <v/>
      </c>
      <c r="C240" s="405" t="str">
        <f t="shared" si="941"/>
        <v/>
      </c>
      <c r="D240" s="405" t="str">
        <f t="shared" si="941"/>
        <v/>
      </c>
      <c r="E240" s="405" t="str">
        <f t="shared" si="941"/>
        <v/>
      </c>
      <c r="F240" s="405">
        <f t="shared" si="941"/>
        <v>130</v>
      </c>
      <c r="G240" s="405" t="str">
        <f t="shared" si="941"/>
        <v/>
      </c>
      <c r="H240" s="405" t="str">
        <f t="shared" si="941"/>
        <v/>
      </c>
      <c r="I240" s="405" t="str">
        <f t="shared" si="941"/>
        <v/>
      </c>
      <c r="J240" s="405" t="str">
        <f t="shared" si="941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42">IF(T238="","",T238*T239)</f>
        <v/>
      </c>
      <c r="U240" s="405" t="str">
        <f t="shared" si="942"/>
        <v/>
      </c>
      <c r="V240" s="405" t="str">
        <f t="shared" si="942"/>
        <v/>
      </c>
      <c r="W240" s="405">
        <f t="shared" si="942"/>
        <v>210</v>
      </c>
      <c r="X240" s="405">
        <f t="shared" si="942"/>
        <v>350</v>
      </c>
      <c r="Y240" s="405">
        <f t="shared" si="942"/>
        <v>489.99999999999994</v>
      </c>
      <c r="Z240" s="405" t="str">
        <f t="shared" si="942"/>
        <v/>
      </c>
      <c r="AA240" s="405" t="str">
        <f t="shared" si="942"/>
        <v/>
      </c>
      <c r="AB240" s="405" t="str">
        <f t="shared" si="942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82"/>
        <v/>
      </c>
      <c r="CA240" s="373">
        <f t="shared" si="883"/>
        <v>350.00000000000006</v>
      </c>
      <c r="CB240" s="373">
        <f t="shared" si="884"/>
        <v>4732.7142857142853</v>
      </c>
      <c r="CC240" s="462">
        <f t="shared" si="885"/>
        <v>9855</v>
      </c>
      <c r="CD240" s="1109" t="str">
        <f t="shared" si="932"/>
        <v/>
      </c>
      <c r="CE240" s="1110" t="str">
        <f t="shared" si="927"/>
        <v/>
      </c>
      <c r="CF240" s="1111" t="str">
        <f t="shared" si="927"/>
        <v/>
      </c>
      <c r="CG240" s="1111" t="str">
        <f t="shared" si="927"/>
        <v/>
      </c>
      <c r="CH240" s="1111" t="str">
        <f t="shared" si="927"/>
        <v/>
      </c>
      <c r="CI240" s="1111" t="str">
        <f t="shared" si="927"/>
        <v/>
      </c>
      <c r="CJ240" s="1111" t="str">
        <f t="shared" si="927"/>
        <v/>
      </c>
      <c r="CK240" s="1112" t="str">
        <f t="shared" si="927"/>
        <v/>
      </c>
      <c r="CL240" s="1112">
        <f t="shared" si="927"/>
        <v>130</v>
      </c>
      <c r="CM240" s="1112" t="str">
        <f t="shared" si="927"/>
        <v/>
      </c>
      <c r="CN240" s="1111" t="str">
        <f t="shared" si="927"/>
        <v/>
      </c>
      <c r="CO240" s="1111" t="str">
        <f t="shared" si="927"/>
        <v/>
      </c>
      <c r="CP240" s="1111" t="str">
        <f t="shared" si="927"/>
        <v/>
      </c>
      <c r="CQ240" s="1111" t="str">
        <f t="shared" si="927"/>
        <v/>
      </c>
      <c r="CR240" s="1111" t="str">
        <f t="shared" si="927"/>
        <v/>
      </c>
      <c r="CS240" s="1110" t="str">
        <f t="shared" si="927"/>
        <v/>
      </c>
      <c r="CT240" s="1113" t="str">
        <f t="shared" si="927"/>
        <v/>
      </c>
      <c r="CU240" s="324" t="str">
        <f t="shared" si="901"/>
        <v/>
      </c>
      <c r="CV240" s="325" t="str">
        <f t="shared" si="902"/>
        <v/>
      </c>
      <c r="CW240" s="326" t="str">
        <f t="shared" si="903"/>
        <v/>
      </c>
      <c r="CX240" s="326" t="str">
        <f t="shared" si="904"/>
        <v/>
      </c>
      <c r="CY240" s="326" t="str">
        <f t="shared" si="905"/>
        <v/>
      </c>
      <c r="CZ240" s="326" t="str">
        <f t="shared" si="906"/>
        <v/>
      </c>
      <c r="DA240" s="326" t="str">
        <f t="shared" si="907"/>
        <v/>
      </c>
      <c r="DB240" s="327">
        <f t="shared" si="908"/>
        <v>210</v>
      </c>
      <c r="DC240" s="327">
        <f t="shared" si="909"/>
        <v>350</v>
      </c>
      <c r="DD240" s="327">
        <f t="shared" si="910"/>
        <v>489.99999999999994</v>
      </c>
      <c r="DE240" s="326" t="str">
        <f t="shared" si="911"/>
        <v/>
      </c>
      <c r="DF240" s="326" t="str">
        <f t="shared" si="912"/>
        <v/>
      </c>
      <c r="DG240" s="326" t="str">
        <f t="shared" si="913"/>
        <v/>
      </c>
      <c r="DH240" s="326" t="str">
        <f t="shared" si="914"/>
        <v/>
      </c>
      <c r="DI240" s="326" t="str">
        <f t="shared" si="915"/>
        <v/>
      </c>
      <c r="DJ240" s="325" t="str">
        <f t="shared" si="916"/>
        <v/>
      </c>
      <c r="DK240" s="324" t="str">
        <f t="shared" si="917"/>
        <v/>
      </c>
      <c r="DL240" s="428">
        <f t="shared" si="918"/>
        <v>1</v>
      </c>
      <c r="DM240" s="66">
        <f t="shared" si="919"/>
        <v>3</v>
      </c>
      <c r="DN240" s="66">
        <f t="shared" si="920"/>
        <v>9</v>
      </c>
      <c r="DO240" s="66">
        <f t="shared" si="921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82"/>
        <v/>
      </c>
      <c r="CA241" s="373" t="str">
        <f t="shared" si="883"/>
        <v/>
      </c>
      <c r="CB241" s="373">
        <f t="shared" si="884"/>
        <v>420</v>
      </c>
      <c r="CC241" s="462">
        <f t="shared" si="885"/>
        <v>1090</v>
      </c>
      <c r="CD241" s="1109" t="str">
        <f t="shared" si="932"/>
        <v/>
      </c>
      <c r="CE241" s="1110" t="str">
        <f t="shared" si="927"/>
        <v/>
      </c>
      <c r="CF241" s="1111" t="str">
        <f t="shared" si="927"/>
        <v/>
      </c>
      <c r="CG241" s="1111" t="str">
        <f t="shared" si="927"/>
        <v/>
      </c>
      <c r="CH241" s="1111" t="str">
        <f t="shared" si="927"/>
        <v/>
      </c>
      <c r="CI241" s="1111" t="str">
        <f t="shared" si="927"/>
        <v/>
      </c>
      <c r="CJ241" s="1111" t="str">
        <f t="shared" si="927"/>
        <v/>
      </c>
      <c r="CK241" s="1112" t="str">
        <f t="shared" si="927"/>
        <v/>
      </c>
      <c r="CL241" s="1112">
        <f t="shared" si="927"/>
        <v>60</v>
      </c>
      <c r="CM241" s="1112" t="str">
        <f t="shared" si="927"/>
        <v/>
      </c>
      <c r="CN241" s="1111" t="str">
        <f t="shared" si="927"/>
        <v/>
      </c>
      <c r="CO241" s="1111" t="str">
        <f t="shared" si="927"/>
        <v/>
      </c>
      <c r="CP241" s="1111" t="str">
        <f t="shared" si="927"/>
        <v/>
      </c>
      <c r="CQ241" s="1111" t="str">
        <f t="shared" si="927"/>
        <v/>
      </c>
      <c r="CR241" s="1111" t="str">
        <f t="shared" si="927"/>
        <v/>
      </c>
      <c r="CS241" s="1110" t="str">
        <f t="shared" si="927"/>
        <v/>
      </c>
      <c r="CT241" s="1113" t="str">
        <f t="shared" si="927"/>
        <v/>
      </c>
      <c r="CU241" s="324" t="str">
        <f t="shared" si="901"/>
        <v/>
      </c>
      <c r="CV241" s="325" t="str">
        <f t="shared" si="902"/>
        <v/>
      </c>
      <c r="CW241" s="326" t="str">
        <f t="shared" si="903"/>
        <v/>
      </c>
      <c r="CX241" s="326" t="str">
        <f t="shared" si="904"/>
        <v/>
      </c>
      <c r="CY241" s="326" t="str">
        <f t="shared" si="905"/>
        <v/>
      </c>
      <c r="CZ241" s="326" t="str">
        <f t="shared" si="906"/>
        <v/>
      </c>
      <c r="DA241" s="326" t="str">
        <f t="shared" si="907"/>
        <v/>
      </c>
      <c r="DB241" s="327" t="str">
        <f t="shared" si="908"/>
        <v/>
      </c>
      <c r="DC241" s="327" t="str">
        <f t="shared" si="909"/>
        <v/>
      </c>
      <c r="DD241" s="327" t="str">
        <f t="shared" si="910"/>
        <v/>
      </c>
      <c r="DE241" s="326" t="str">
        <f t="shared" si="911"/>
        <v/>
      </c>
      <c r="DF241" s="326" t="str">
        <f t="shared" si="912"/>
        <v/>
      </c>
      <c r="DG241" s="326" t="str">
        <f t="shared" si="913"/>
        <v/>
      </c>
      <c r="DH241" s="326" t="str">
        <f t="shared" si="914"/>
        <v/>
      </c>
      <c r="DI241" s="326" t="str">
        <f t="shared" si="915"/>
        <v/>
      </c>
      <c r="DJ241" s="325" t="str">
        <f t="shared" si="916"/>
        <v/>
      </c>
      <c r="DK241" s="324" t="str">
        <f t="shared" si="917"/>
        <v/>
      </c>
      <c r="DL241" s="428">
        <f t="shared" si="918"/>
        <v>1</v>
      </c>
      <c r="DM241" s="66">
        <f t="shared" si="919"/>
        <v>0</v>
      </c>
      <c r="DN241" s="66">
        <f t="shared" si="920"/>
        <v>9</v>
      </c>
      <c r="DO241" s="66">
        <f t="shared" si="921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46">IF(T236="","",(T236-T238-T241)*T237/T$46/365/$G$1)</f>
        <v>0.11839530332681018</v>
      </c>
      <c r="U242" s="408">
        <f t="shared" si="946"/>
        <v>0.19373776908023482</v>
      </c>
      <c r="V242" s="408">
        <f t="shared" si="946"/>
        <v>9.8662752772341808E-2</v>
      </c>
      <c r="W242" s="408">
        <f t="shared" si="946"/>
        <v>0.28414872798434443</v>
      </c>
      <c r="X242" s="408">
        <f t="shared" si="946"/>
        <v>0.14799412915851273</v>
      </c>
      <c r="Y242" s="408">
        <f t="shared" si="946"/>
        <v>0.10148168856583731</v>
      </c>
      <c r="Z242" s="408">
        <f t="shared" si="946"/>
        <v>0.14799412915851273</v>
      </c>
      <c r="AA242" s="408">
        <f t="shared" si="946"/>
        <v>0.11839530332681018</v>
      </c>
      <c r="AB242" s="408">
        <f t="shared" si="946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947">IF(AL236="","",(AL236-AL238-AL241)*AL237/AL$46/365/$G$1)</f>
        <v>0.30136986301369861</v>
      </c>
      <c r="AM242" s="408">
        <f t="shared" si="947"/>
        <v>0.37886497064579255</v>
      </c>
      <c r="AN242" s="408">
        <f t="shared" si="947"/>
        <v>0.34926614481409002</v>
      </c>
      <c r="AO242" s="408">
        <f t="shared" si="947"/>
        <v>0.14799412915851273</v>
      </c>
      <c r="AP242" s="408">
        <f t="shared" si="947"/>
        <v>0.47358121330724073</v>
      </c>
      <c r="AQ242" s="408">
        <f t="shared" si="947"/>
        <v>0.11839530332681018</v>
      </c>
      <c r="AR242" s="408">
        <f t="shared" si="947"/>
        <v>0.35518590998043054</v>
      </c>
      <c r="AS242" s="408">
        <f t="shared" si="947"/>
        <v>0.35518590998043054</v>
      </c>
      <c r="AT242" s="408">
        <f t="shared" si="947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948">IF(BD236="","",(BD236-BD238-BD241)*BD237/BD$46/365/$G$1)</f>
        <v>0.69063926940639275</v>
      </c>
      <c r="BE242" s="408">
        <f t="shared" si="948"/>
        <v>0.61170906718851925</v>
      </c>
      <c r="BF242" s="408">
        <f t="shared" si="948"/>
        <v>0.71037181996086107</v>
      </c>
      <c r="BG242" s="408">
        <f t="shared" si="948"/>
        <v>0.71037181996086107</v>
      </c>
      <c r="BH242" s="408">
        <f t="shared" si="948"/>
        <v>0.37412915851272016</v>
      </c>
      <c r="BI242" s="408">
        <f t="shared" si="948"/>
        <v>0.33827229521945767</v>
      </c>
      <c r="BJ242" s="408">
        <f t="shared" si="948"/>
        <v>0.31572080887149384</v>
      </c>
      <c r="BK242" s="408">
        <f t="shared" si="948"/>
        <v>0.49331376386170905</v>
      </c>
      <c r="BL242" s="408">
        <f t="shared" si="948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82"/>
        <v>0.10732091270950651</v>
      </c>
      <c r="CA242" s="398">
        <f t="shared" si="883"/>
        <v>0.14244778146092099</v>
      </c>
      <c r="CB242" s="398">
        <f t="shared" si="884"/>
        <v>0.30352250489236793</v>
      </c>
      <c r="CC242" s="465">
        <f t="shared" si="885"/>
        <v>0.50487945471730755</v>
      </c>
      <c r="CD242" s="111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5" t="str">
        <f t="shared" ref="CE242:CT248" si="94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6" t="str">
        <f t="shared" si="949"/>
        <v/>
      </c>
      <c r="CG242" s="1116" t="str">
        <f t="shared" si="949"/>
        <v/>
      </c>
      <c r="CH242" s="1116">
        <f t="shared" si="949"/>
        <v>3.946510110893673E-2</v>
      </c>
      <c r="CI242" s="1116">
        <f t="shared" si="949"/>
        <v>7.893020221787346E-2</v>
      </c>
      <c r="CJ242" s="1116">
        <f t="shared" si="949"/>
        <v>7.893020221787346E-2</v>
      </c>
      <c r="CK242" s="1117">
        <f t="shared" si="949"/>
        <v>0.10063600782778866</v>
      </c>
      <c r="CL242" s="1117">
        <f t="shared" si="949"/>
        <v>0.10148168856583731</v>
      </c>
      <c r="CM242" s="1117">
        <f t="shared" si="949"/>
        <v>0.11501258037461559</v>
      </c>
      <c r="CN242" s="1116">
        <f t="shared" si="949"/>
        <v>0.11839530332681018</v>
      </c>
      <c r="CO242" s="1116">
        <f t="shared" si="949"/>
        <v>0.15786040443574692</v>
      </c>
      <c r="CP242" s="1116">
        <f t="shared" si="949"/>
        <v>0.21784735812133074</v>
      </c>
      <c r="CQ242" s="1116" t="str">
        <f t="shared" si="949"/>
        <v/>
      </c>
      <c r="CR242" s="1116" t="str">
        <f t="shared" si="949"/>
        <v/>
      </c>
      <c r="CS242" s="1115" t="str">
        <f t="shared" si="949"/>
        <v/>
      </c>
      <c r="CT242" s="1118" t="str">
        <f t="shared" si="949"/>
        <v/>
      </c>
      <c r="CU242" s="312" t="str">
        <f t="shared" si="901"/>
        <v/>
      </c>
      <c r="CV242" s="313" t="str">
        <f t="shared" si="902"/>
        <v/>
      </c>
      <c r="CW242" s="314" t="str">
        <f t="shared" si="903"/>
        <v/>
      </c>
      <c r="CX242" s="314" t="str">
        <f t="shared" si="904"/>
        <v/>
      </c>
      <c r="CY242" s="314">
        <f t="shared" si="905"/>
        <v>9.8662752772341808E-2</v>
      </c>
      <c r="CZ242" s="314">
        <f t="shared" si="906"/>
        <v>0.10148168856583731</v>
      </c>
      <c r="DA242" s="314">
        <f t="shared" si="907"/>
        <v>0.11839530332681018</v>
      </c>
      <c r="DB242" s="315">
        <f t="shared" si="908"/>
        <v>0.11839530332681018</v>
      </c>
      <c r="DC242" s="315">
        <f t="shared" si="909"/>
        <v>0.14799412915851273</v>
      </c>
      <c r="DD242" s="315">
        <f t="shared" si="910"/>
        <v>0.14799412915851273</v>
      </c>
      <c r="DE242" s="314">
        <f t="shared" si="911"/>
        <v>0.16913614760972884</v>
      </c>
      <c r="DF242" s="314">
        <f t="shared" si="912"/>
        <v>0.19373776908023482</v>
      </c>
      <c r="DG242" s="314">
        <f t="shared" si="913"/>
        <v>0.28414872798434443</v>
      </c>
      <c r="DH242" s="314" t="str">
        <f t="shared" si="914"/>
        <v/>
      </c>
      <c r="DI242" s="314" t="str">
        <f t="shared" si="915"/>
        <v/>
      </c>
      <c r="DJ242" s="313" t="str">
        <f t="shared" si="916"/>
        <v/>
      </c>
      <c r="DK242" s="312" t="str">
        <f t="shared" si="917"/>
        <v/>
      </c>
      <c r="DL242" s="428">
        <f t="shared" si="918"/>
        <v>9</v>
      </c>
      <c r="DM242" s="66">
        <f t="shared" si="919"/>
        <v>9</v>
      </c>
      <c r="DN242" s="66">
        <f t="shared" si="920"/>
        <v>9</v>
      </c>
      <c r="DO242" s="66">
        <f t="shared" si="921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82"/>
        <v/>
      </c>
      <c r="CA243" s="373" t="str">
        <f t="shared" si="883"/>
        <v/>
      </c>
      <c r="CB243" s="373">
        <f t="shared" si="884"/>
        <v>150</v>
      </c>
      <c r="CC243" s="462" t="str">
        <f t="shared" si="885"/>
        <v/>
      </c>
      <c r="CD243" s="1109" t="str">
        <f t="shared" ref="CD243:CD248" si="95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0" t="str">
        <f t="shared" si="949"/>
        <v/>
      </c>
      <c r="CF243" s="1111" t="str">
        <f t="shared" si="949"/>
        <v/>
      </c>
      <c r="CG243" s="1111" t="str">
        <f t="shared" si="949"/>
        <v/>
      </c>
      <c r="CH243" s="1111" t="str">
        <f t="shared" si="949"/>
        <v/>
      </c>
      <c r="CI243" s="1111" t="str">
        <f t="shared" si="949"/>
        <v/>
      </c>
      <c r="CJ243" s="1111" t="str">
        <f t="shared" si="949"/>
        <v/>
      </c>
      <c r="CK243" s="1112" t="str">
        <f t="shared" si="949"/>
        <v/>
      </c>
      <c r="CL243" s="1112">
        <f t="shared" si="949"/>
        <v>100</v>
      </c>
      <c r="CM243" s="1112" t="str">
        <f t="shared" si="949"/>
        <v/>
      </c>
      <c r="CN243" s="1111" t="str">
        <f t="shared" si="949"/>
        <v/>
      </c>
      <c r="CO243" s="1111" t="str">
        <f t="shared" si="949"/>
        <v/>
      </c>
      <c r="CP243" s="1111" t="str">
        <f t="shared" si="949"/>
        <v/>
      </c>
      <c r="CQ243" s="1111" t="str">
        <f t="shared" si="949"/>
        <v/>
      </c>
      <c r="CR243" s="1111" t="str">
        <f t="shared" si="949"/>
        <v/>
      </c>
      <c r="CS243" s="1110" t="str">
        <f t="shared" si="949"/>
        <v/>
      </c>
      <c r="CT243" s="1113" t="str">
        <f t="shared" si="949"/>
        <v/>
      </c>
      <c r="CU243" s="324" t="str">
        <f t="shared" si="901"/>
        <v/>
      </c>
      <c r="CV243" s="325" t="str">
        <f t="shared" si="902"/>
        <v/>
      </c>
      <c r="CW243" s="326" t="str">
        <f t="shared" si="903"/>
        <v/>
      </c>
      <c r="CX243" s="326" t="str">
        <f t="shared" si="904"/>
        <v/>
      </c>
      <c r="CY243" s="326" t="str">
        <f t="shared" si="905"/>
        <v/>
      </c>
      <c r="CZ243" s="326" t="str">
        <f t="shared" si="906"/>
        <v/>
      </c>
      <c r="DA243" s="326" t="str">
        <f t="shared" si="907"/>
        <v/>
      </c>
      <c r="DB243" s="327" t="str">
        <f t="shared" si="908"/>
        <v/>
      </c>
      <c r="DC243" s="327">
        <f t="shared" si="909"/>
        <v>40</v>
      </c>
      <c r="DD243" s="327" t="str">
        <f t="shared" si="910"/>
        <v/>
      </c>
      <c r="DE243" s="326" t="str">
        <f t="shared" si="911"/>
        <v/>
      </c>
      <c r="DF243" s="326" t="str">
        <f t="shared" si="912"/>
        <v/>
      </c>
      <c r="DG243" s="326" t="str">
        <f t="shared" si="913"/>
        <v/>
      </c>
      <c r="DH243" s="326" t="str">
        <f t="shared" si="914"/>
        <v/>
      </c>
      <c r="DI243" s="326" t="str">
        <f t="shared" si="915"/>
        <v/>
      </c>
      <c r="DJ243" s="325" t="str">
        <f t="shared" si="916"/>
        <v/>
      </c>
      <c r="DK243" s="324" t="str">
        <f t="shared" si="917"/>
        <v/>
      </c>
      <c r="DL243" s="428">
        <f t="shared" si="918"/>
        <v>1</v>
      </c>
      <c r="DM243" s="66">
        <f t="shared" si="919"/>
        <v>1</v>
      </c>
      <c r="DN243" s="66">
        <f t="shared" si="920"/>
        <v>3</v>
      </c>
      <c r="DO243" s="66">
        <f t="shared" si="921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1">3550*$K$1</f>
        <v>3550</v>
      </c>
      <c r="C244" s="476">
        <f t="shared" si="951"/>
        <v>3550</v>
      </c>
      <c r="D244" s="476">
        <f t="shared" si="951"/>
        <v>3550</v>
      </c>
      <c r="E244" s="476">
        <f t="shared" si="951"/>
        <v>3550</v>
      </c>
      <c r="F244" s="476"/>
      <c r="G244" s="476">
        <f t="shared" si="951"/>
        <v>3550</v>
      </c>
      <c r="H244" s="476">
        <f t="shared" si="951"/>
        <v>3550</v>
      </c>
      <c r="I244" s="476">
        <f t="shared" si="951"/>
        <v>3550</v>
      </c>
      <c r="J244" s="476">
        <f t="shared" si="951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952">3550*$K$1</f>
        <v>3550</v>
      </c>
      <c r="U244" s="476">
        <f t="shared" si="952"/>
        <v>3550</v>
      </c>
      <c r="V244" s="476">
        <f t="shared" si="952"/>
        <v>3550</v>
      </c>
      <c r="W244" s="476">
        <f t="shared" si="952"/>
        <v>3550</v>
      </c>
      <c r="X244" s="476">
        <v>3550</v>
      </c>
      <c r="Y244" s="476">
        <f t="shared" si="952"/>
        <v>3550</v>
      </c>
      <c r="Z244" s="476">
        <f t="shared" si="952"/>
        <v>3550</v>
      </c>
      <c r="AA244" s="476">
        <f t="shared" si="952"/>
        <v>3550</v>
      </c>
      <c r="AB244" s="476">
        <f t="shared" si="952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953">3550*$K$1</f>
        <v>3550</v>
      </c>
      <c r="AN244" s="476">
        <f t="shared" si="953"/>
        <v>3550</v>
      </c>
      <c r="AO244" s="476">
        <f t="shared" si="953"/>
        <v>3550</v>
      </c>
      <c r="AP244" s="476">
        <f t="shared" si="953"/>
        <v>3550</v>
      </c>
      <c r="AQ244" s="476">
        <f t="shared" si="953"/>
        <v>3550</v>
      </c>
      <c r="AR244" s="476">
        <f t="shared" si="953"/>
        <v>3550</v>
      </c>
      <c r="AS244" s="476">
        <f t="shared" si="953"/>
        <v>3550</v>
      </c>
      <c r="AT244" s="476">
        <f t="shared" si="953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954">3550*$K$1</f>
        <v>3550</v>
      </c>
      <c r="BE244" s="476">
        <f t="shared" si="954"/>
        <v>3550</v>
      </c>
      <c r="BF244" s="476">
        <f t="shared" si="954"/>
        <v>3550</v>
      </c>
      <c r="BG244" s="476">
        <f t="shared" si="954"/>
        <v>3550</v>
      </c>
      <c r="BH244" s="476">
        <f t="shared" si="954"/>
        <v>3550</v>
      </c>
      <c r="BI244" s="476">
        <f t="shared" si="954"/>
        <v>3550</v>
      </c>
      <c r="BJ244" s="476">
        <f t="shared" si="954"/>
        <v>3550</v>
      </c>
      <c r="BK244" s="476">
        <f t="shared" si="954"/>
        <v>3550</v>
      </c>
      <c r="BL244" s="476">
        <f t="shared" si="954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82"/>
        <v>3550</v>
      </c>
      <c r="CA244" s="373">
        <f t="shared" si="883"/>
        <v>3550</v>
      </c>
      <c r="CB244" s="373">
        <f t="shared" si="884"/>
        <v>3550</v>
      </c>
      <c r="CC244" s="462">
        <f t="shared" si="885"/>
        <v>3550</v>
      </c>
      <c r="CD244" s="1109" t="str">
        <f t="shared" si="950"/>
        <v/>
      </c>
      <c r="CE244" s="1110" t="str">
        <f t="shared" si="949"/>
        <v/>
      </c>
      <c r="CF244" s="1111" t="str">
        <f t="shared" si="949"/>
        <v/>
      </c>
      <c r="CG244" s="1111" t="str">
        <f t="shared" si="949"/>
        <v/>
      </c>
      <c r="CH244" s="1111" t="str">
        <f t="shared" si="949"/>
        <v/>
      </c>
      <c r="CI244" s="1111">
        <f t="shared" si="949"/>
        <v>3550</v>
      </c>
      <c r="CJ244" s="1111">
        <f t="shared" si="949"/>
        <v>3550</v>
      </c>
      <c r="CK244" s="1112">
        <f t="shared" si="949"/>
        <v>3550</v>
      </c>
      <c r="CL244" s="1112">
        <f t="shared" si="949"/>
        <v>3550</v>
      </c>
      <c r="CM244" s="1112">
        <f t="shared" si="949"/>
        <v>3550</v>
      </c>
      <c r="CN244" s="1111">
        <f t="shared" si="949"/>
        <v>3550</v>
      </c>
      <c r="CO244" s="1111">
        <f t="shared" si="949"/>
        <v>3550</v>
      </c>
      <c r="CP244" s="1111">
        <f t="shared" si="949"/>
        <v>3550</v>
      </c>
      <c r="CQ244" s="1111" t="str">
        <f t="shared" si="949"/>
        <v/>
      </c>
      <c r="CR244" s="1111" t="str">
        <f t="shared" si="949"/>
        <v/>
      </c>
      <c r="CS244" s="1110" t="str">
        <f t="shared" si="949"/>
        <v/>
      </c>
      <c r="CT244" s="1113" t="str">
        <f t="shared" si="949"/>
        <v/>
      </c>
      <c r="CU244" s="324" t="str">
        <f t="shared" si="901"/>
        <v/>
      </c>
      <c r="CV244" s="325" t="str">
        <f t="shared" si="902"/>
        <v/>
      </c>
      <c r="CW244" s="326" t="str">
        <f t="shared" si="903"/>
        <v/>
      </c>
      <c r="CX244" s="326" t="str">
        <f t="shared" si="904"/>
        <v/>
      </c>
      <c r="CY244" s="326">
        <f t="shared" si="905"/>
        <v>3550</v>
      </c>
      <c r="CZ244" s="326">
        <f t="shared" si="906"/>
        <v>3550</v>
      </c>
      <c r="DA244" s="326">
        <f t="shared" si="907"/>
        <v>3550</v>
      </c>
      <c r="DB244" s="327">
        <f t="shared" si="908"/>
        <v>3550</v>
      </c>
      <c r="DC244" s="327">
        <f t="shared" si="909"/>
        <v>3550</v>
      </c>
      <c r="DD244" s="327">
        <f t="shared" si="910"/>
        <v>3550</v>
      </c>
      <c r="DE244" s="326">
        <f t="shared" si="911"/>
        <v>3550</v>
      </c>
      <c r="DF244" s="326">
        <f t="shared" si="912"/>
        <v>3550</v>
      </c>
      <c r="DG244" s="326">
        <f t="shared" si="913"/>
        <v>3550</v>
      </c>
      <c r="DH244" s="326" t="str">
        <f t="shared" si="914"/>
        <v/>
      </c>
      <c r="DI244" s="326" t="str">
        <f t="shared" si="915"/>
        <v/>
      </c>
      <c r="DJ244" s="325" t="str">
        <f t="shared" si="916"/>
        <v/>
      </c>
      <c r="DK244" s="324" t="str">
        <f t="shared" si="917"/>
        <v/>
      </c>
      <c r="DL244" s="428">
        <f t="shared" si="918"/>
        <v>8</v>
      </c>
      <c r="DM244" s="66">
        <f t="shared" si="919"/>
        <v>9</v>
      </c>
      <c r="DN244" s="66">
        <f t="shared" si="920"/>
        <v>9</v>
      </c>
      <c r="DO244" s="66">
        <f t="shared" si="921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882"/>
        <v/>
      </c>
      <c r="CA245" s="373" t="str">
        <f t="shared" si="883"/>
        <v/>
      </c>
      <c r="CB245" s="373" t="str">
        <f t="shared" si="884"/>
        <v/>
      </c>
      <c r="CC245" s="462" t="str">
        <f t="shared" si="885"/>
        <v/>
      </c>
      <c r="CD245" s="1109" t="str">
        <f t="shared" si="950"/>
        <v/>
      </c>
      <c r="CE245" s="1110" t="str">
        <f t="shared" si="949"/>
        <v/>
      </c>
      <c r="CF245" s="1111" t="str">
        <f t="shared" si="949"/>
        <v/>
      </c>
      <c r="CG245" s="1111" t="str">
        <f t="shared" si="949"/>
        <v/>
      </c>
      <c r="CH245" s="1111" t="str">
        <f t="shared" si="949"/>
        <v/>
      </c>
      <c r="CI245" s="1111" t="str">
        <f t="shared" si="949"/>
        <v/>
      </c>
      <c r="CJ245" s="1111" t="str">
        <f t="shared" si="949"/>
        <v/>
      </c>
      <c r="CK245" s="1112" t="str">
        <f t="shared" si="949"/>
        <v/>
      </c>
      <c r="CL245" s="1112" t="str">
        <f t="shared" si="949"/>
        <v/>
      </c>
      <c r="CM245" s="1112" t="str">
        <f t="shared" si="949"/>
        <v/>
      </c>
      <c r="CN245" s="1111" t="str">
        <f t="shared" si="949"/>
        <v/>
      </c>
      <c r="CO245" s="1111" t="str">
        <f t="shared" si="949"/>
        <v/>
      </c>
      <c r="CP245" s="1111" t="str">
        <f t="shared" si="949"/>
        <v/>
      </c>
      <c r="CQ245" s="1111" t="str">
        <f t="shared" si="949"/>
        <v/>
      </c>
      <c r="CR245" s="1111" t="str">
        <f t="shared" si="949"/>
        <v/>
      </c>
      <c r="CS245" s="1110" t="str">
        <f t="shared" si="949"/>
        <v/>
      </c>
      <c r="CT245" s="1113" t="str">
        <f t="shared" si="949"/>
        <v/>
      </c>
      <c r="CU245" s="324" t="str">
        <f t="shared" si="901"/>
        <v/>
      </c>
      <c r="CV245" s="325" t="str">
        <f t="shared" si="902"/>
        <v/>
      </c>
      <c r="CW245" s="326" t="str">
        <f t="shared" si="903"/>
        <v/>
      </c>
      <c r="CX245" s="326" t="str">
        <f t="shared" si="904"/>
        <v/>
      </c>
      <c r="CY245" s="326" t="str">
        <f t="shared" si="905"/>
        <v/>
      </c>
      <c r="CZ245" s="326" t="str">
        <f t="shared" si="906"/>
        <v/>
      </c>
      <c r="DA245" s="326" t="str">
        <f t="shared" si="907"/>
        <v/>
      </c>
      <c r="DB245" s="327" t="str">
        <f t="shared" si="908"/>
        <v/>
      </c>
      <c r="DC245" s="327" t="str">
        <f t="shared" si="909"/>
        <v/>
      </c>
      <c r="DD245" s="327" t="str">
        <f t="shared" si="910"/>
        <v/>
      </c>
      <c r="DE245" s="326" t="str">
        <f t="shared" si="911"/>
        <v/>
      </c>
      <c r="DF245" s="326" t="str">
        <f t="shared" si="912"/>
        <v/>
      </c>
      <c r="DG245" s="326" t="str">
        <f t="shared" si="913"/>
        <v/>
      </c>
      <c r="DH245" s="326" t="str">
        <f t="shared" si="914"/>
        <v/>
      </c>
      <c r="DI245" s="326" t="str">
        <f t="shared" si="915"/>
        <v/>
      </c>
      <c r="DJ245" s="325" t="str">
        <f t="shared" si="916"/>
        <v/>
      </c>
      <c r="DK245" s="324" t="str">
        <f t="shared" si="917"/>
        <v/>
      </c>
      <c r="DL245" s="428">
        <f t="shared" si="918"/>
        <v>0</v>
      </c>
      <c r="DM245" s="66">
        <f t="shared" si="919"/>
        <v>0</v>
      </c>
      <c r="DN245" s="66">
        <f t="shared" si="920"/>
        <v>1</v>
      </c>
      <c r="DO245" s="66">
        <f t="shared" si="921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882"/>
        <v/>
      </c>
      <c r="CA246" s="373" t="str">
        <f t="shared" si="883"/>
        <v/>
      </c>
      <c r="CB246" s="373" t="str">
        <f t="shared" si="884"/>
        <v/>
      </c>
      <c r="CC246" s="462" t="str">
        <f t="shared" si="885"/>
        <v/>
      </c>
      <c r="CD246" s="1109" t="str">
        <f t="shared" si="950"/>
        <v/>
      </c>
      <c r="CE246" s="1110" t="str">
        <f t="shared" si="949"/>
        <v/>
      </c>
      <c r="CF246" s="1111" t="str">
        <f t="shared" si="949"/>
        <v/>
      </c>
      <c r="CG246" s="1111" t="str">
        <f t="shared" si="949"/>
        <v/>
      </c>
      <c r="CH246" s="1111" t="str">
        <f t="shared" si="949"/>
        <v/>
      </c>
      <c r="CI246" s="1111" t="str">
        <f t="shared" si="949"/>
        <v/>
      </c>
      <c r="CJ246" s="1111" t="str">
        <f t="shared" si="949"/>
        <v/>
      </c>
      <c r="CK246" s="1112" t="str">
        <f t="shared" si="949"/>
        <v/>
      </c>
      <c r="CL246" s="1112" t="str">
        <f t="shared" si="949"/>
        <v/>
      </c>
      <c r="CM246" s="1112" t="str">
        <f t="shared" si="949"/>
        <v/>
      </c>
      <c r="CN246" s="1111" t="str">
        <f t="shared" si="949"/>
        <v/>
      </c>
      <c r="CO246" s="1111" t="str">
        <f t="shared" si="949"/>
        <v/>
      </c>
      <c r="CP246" s="1111" t="str">
        <f t="shared" si="949"/>
        <v/>
      </c>
      <c r="CQ246" s="1111" t="str">
        <f t="shared" si="949"/>
        <v/>
      </c>
      <c r="CR246" s="1111" t="str">
        <f t="shared" si="949"/>
        <v/>
      </c>
      <c r="CS246" s="1110" t="str">
        <f t="shared" si="949"/>
        <v/>
      </c>
      <c r="CT246" s="1113" t="str">
        <f t="shared" si="949"/>
        <v/>
      </c>
      <c r="CU246" s="324" t="str">
        <f t="shared" si="901"/>
        <v/>
      </c>
      <c r="CV246" s="325" t="str">
        <f t="shared" si="902"/>
        <v/>
      </c>
      <c r="CW246" s="326" t="str">
        <f t="shared" si="903"/>
        <v/>
      </c>
      <c r="CX246" s="326" t="str">
        <f t="shared" si="904"/>
        <v/>
      </c>
      <c r="CY246" s="326" t="str">
        <f t="shared" si="905"/>
        <v/>
      </c>
      <c r="CZ246" s="326" t="str">
        <f t="shared" si="906"/>
        <v/>
      </c>
      <c r="DA246" s="326" t="str">
        <f t="shared" si="907"/>
        <v/>
      </c>
      <c r="DB246" s="327" t="str">
        <f t="shared" si="908"/>
        <v/>
      </c>
      <c r="DC246" s="327" t="str">
        <f t="shared" si="909"/>
        <v/>
      </c>
      <c r="DD246" s="327" t="str">
        <f t="shared" si="910"/>
        <v/>
      </c>
      <c r="DE246" s="326" t="str">
        <f t="shared" si="911"/>
        <v/>
      </c>
      <c r="DF246" s="326" t="str">
        <f t="shared" si="912"/>
        <v/>
      </c>
      <c r="DG246" s="326" t="str">
        <f t="shared" si="913"/>
        <v/>
      </c>
      <c r="DH246" s="326" t="str">
        <f t="shared" si="914"/>
        <v/>
      </c>
      <c r="DI246" s="326" t="str">
        <f t="shared" si="915"/>
        <v/>
      </c>
      <c r="DJ246" s="325" t="str">
        <f t="shared" si="916"/>
        <v/>
      </c>
      <c r="DK246" s="324" t="str">
        <f t="shared" si="917"/>
        <v/>
      </c>
      <c r="DL246" s="428">
        <f t="shared" si="918"/>
        <v>0</v>
      </c>
      <c r="DM246" s="66">
        <f t="shared" si="919"/>
        <v>0</v>
      </c>
      <c r="DN246" s="66">
        <f t="shared" si="920"/>
        <v>1</v>
      </c>
      <c r="DO246" s="66">
        <f t="shared" si="921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5">IF(B245="","",B245*B246)</f>
        <v/>
      </c>
      <c r="C247" s="405" t="str">
        <f t="shared" si="955"/>
        <v/>
      </c>
      <c r="D247" s="405" t="str">
        <f t="shared" si="955"/>
        <v/>
      </c>
      <c r="E247" s="405" t="str">
        <f t="shared" si="955"/>
        <v/>
      </c>
      <c r="F247" s="405" t="str">
        <f t="shared" si="955"/>
        <v/>
      </c>
      <c r="G247" s="405" t="str">
        <f t="shared" si="955"/>
        <v/>
      </c>
      <c r="H247" s="405" t="str">
        <f t="shared" si="955"/>
        <v/>
      </c>
      <c r="I247" s="405" t="str">
        <f t="shared" si="955"/>
        <v/>
      </c>
      <c r="J247" s="405" t="str">
        <f t="shared" si="955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56">IF(T245="","",T245*T246)</f>
        <v/>
      </c>
      <c r="U247" s="405" t="str">
        <f t="shared" si="956"/>
        <v/>
      </c>
      <c r="V247" s="405" t="str">
        <f t="shared" si="956"/>
        <v/>
      </c>
      <c r="W247" s="405" t="str">
        <f t="shared" si="956"/>
        <v/>
      </c>
      <c r="X247" s="405" t="str">
        <f t="shared" si="956"/>
        <v/>
      </c>
      <c r="Y247" s="405" t="str">
        <f t="shared" si="956"/>
        <v/>
      </c>
      <c r="Z247" s="405" t="str">
        <f t="shared" si="956"/>
        <v/>
      </c>
      <c r="AA247" s="405" t="str">
        <f t="shared" si="956"/>
        <v/>
      </c>
      <c r="AB247" s="405" t="str">
        <f t="shared" si="956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957">IF(AL245="","",AL245*AL246)</f>
        <v/>
      </c>
      <c r="AM247" s="405" t="str">
        <f t="shared" si="957"/>
        <v/>
      </c>
      <c r="AN247" s="405" t="str">
        <f t="shared" si="957"/>
        <v/>
      </c>
      <c r="AO247" s="405" t="str">
        <f t="shared" si="957"/>
        <v/>
      </c>
      <c r="AP247" s="405" t="str">
        <f t="shared" si="957"/>
        <v/>
      </c>
      <c r="AQ247" s="405">
        <f t="shared" si="957"/>
        <v>180</v>
      </c>
      <c r="AR247" s="405" t="str">
        <f t="shared" si="957"/>
        <v/>
      </c>
      <c r="AS247" s="405" t="str">
        <f t="shared" si="957"/>
        <v/>
      </c>
      <c r="AT247" s="405" t="str">
        <f t="shared" si="957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958">IF(BD245="","",BD245*BD246)</f>
        <v/>
      </c>
      <c r="BE247" s="405" t="str">
        <f t="shared" si="958"/>
        <v/>
      </c>
      <c r="BF247" s="405" t="str">
        <f t="shared" si="958"/>
        <v/>
      </c>
      <c r="BG247" s="405" t="str">
        <f t="shared" si="958"/>
        <v/>
      </c>
      <c r="BH247" s="405" t="str">
        <f t="shared" si="958"/>
        <v/>
      </c>
      <c r="BI247" s="405" t="str">
        <f t="shared" si="958"/>
        <v/>
      </c>
      <c r="BJ247" s="405" t="str">
        <f t="shared" si="958"/>
        <v/>
      </c>
      <c r="BK247" s="405" t="str">
        <f t="shared" si="958"/>
        <v/>
      </c>
      <c r="BL247" s="405" t="str">
        <f t="shared" si="958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82"/>
        <v/>
      </c>
      <c r="CA247" s="373" t="str">
        <f t="shared" si="883"/>
        <v/>
      </c>
      <c r="CB247" s="373" t="str">
        <f t="shared" si="884"/>
        <v/>
      </c>
      <c r="CC247" s="462" t="str">
        <f t="shared" si="885"/>
        <v/>
      </c>
      <c r="CD247" s="1109" t="str">
        <f t="shared" si="950"/>
        <v/>
      </c>
      <c r="CE247" s="1110" t="str">
        <f t="shared" si="949"/>
        <v/>
      </c>
      <c r="CF247" s="1111" t="str">
        <f t="shared" si="949"/>
        <v/>
      </c>
      <c r="CG247" s="1111" t="str">
        <f t="shared" si="949"/>
        <v/>
      </c>
      <c r="CH247" s="1111" t="str">
        <f t="shared" si="949"/>
        <v/>
      </c>
      <c r="CI247" s="1111" t="str">
        <f t="shared" si="949"/>
        <v/>
      </c>
      <c r="CJ247" s="1111" t="str">
        <f t="shared" si="949"/>
        <v/>
      </c>
      <c r="CK247" s="1112" t="str">
        <f t="shared" si="949"/>
        <v/>
      </c>
      <c r="CL247" s="1112" t="str">
        <f t="shared" si="949"/>
        <v/>
      </c>
      <c r="CM247" s="1112" t="str">
        <f t="shared" si="949"/>
        <v/>
      </c>
      <c r="CN247" s="1111" t="str">
        <f t="shared" si="949"/>
        <v/>
      </c>
      <c r="CO247" s="1111" t="str">
        <f t="shared" si="949"/>
        <v/>
      </c>
      <c r="CP247" s="1111" t="str">
        <f t="shared" si="949"/>
        <v/>
      </c>
      <c r="CQ247" s="1111" t="str">
        <f t="shared" si="949"/>
        <v/>
      </c>
      <c r="CR247" s="1111" t="str">
        <f t="shared" si="949"/>
        <v/>
      </c>
      <c r="CS247" s="1110" t="str">
        <f t="shared" si="949"/>
        <v/>
      </c>
      <c r="CT247" s="1113" t="str">
        <f t="shared" si="949"/>
        <v/>
      </c>
      <c r="CU247" s="324" t="str">
        <f t="shared" si="901"/>
        <v/>
      </c>
      <c r="CV247" s="325" t="str">
        <f t="shared" si="902"/>
        <v/>
      </c>
      <c r="CW247" s="326" t="str">
        <f t="shared" si="903"/>
        <v/>
      </c>
      <c r="CX247" s="326" t="str">
        <f t="shared" si="904"/>
        <v/>
      </c>
      <c r="CY247" s="326" t="str">
        <f t="shared" si="905"/>
        <v/>
      </c>
      <c r="CZ247" s="326" t="str">
        <f t="shared" si="906"/>
        <v/>
      </c>
      <c r="DA247" s="326" t="str">
        <f t="shared" si="907"/>
        <v/>
      </c>
      <c r="DB247" s="327" t="str">
        <f t="shared" si="908"/>
        <v/>
      </c>
      <c r="DC247" s="327" t="str">
        <f t="shared" si="909"/>
        <v/>
      </c>
      <c r="DD247" s="327" t="str">
        <f t="shared" si="910"/>
        <v/>
      </c>
      <c r="DE247" s="326" t="str">
        <f t="shared" si="911"/>
        <v/>
      </c>
      <c r="DF247" s="326" t="str">
        <f t="shared" si="912"/>
        <v/>
      </c>
      <c r="DG247" s="326" t="str">
        <f t="shared" si="913"/>
        <v/>
      </c>
      <c r="DH247" s="326" t="str">
        <f t="shared" si="914"/>
        <v/>
      </c>
      <c r="DI247" s="326" t="str">
        <f t="shared" si="915"/>
        <v/>
      </c>
      <c r="DJ247" s="325" t="str">
        <f t="shared" si="916"/>
        <v/>
      </c>
      <c r="DK247" s="324" t="str">
        <f t="shared" si="917"/>
        <v/>
      </c>
      <c r="DL247" s="428">
        <f t="shared" si="918"/>
        <v>0</v>
      </c>
      <c r="DM247" s="66">
        <f t="shared" si="919"/>
        <v>0</v>
      </c>
      <c r="DN247" s="66">
        <f t="shared" si="920"/>
        <v>1</v>
      </c>
      <c r="DO247" s="66">
        <f t="shared" si="921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82"/>
        <v/>
      </c>
      <c r="CA248" s="373" t="str">
        <f t="shared" si="883"/>
        <v/>
      </c>
      <c r="CB248" s="373" t="str">
        <f t="shared" si="884"/>
        <v/>
      </c>
      <c r="CC248" s="462" t="str">
        <f t="shared" si="885"/>
        <v/>
      </c>
      <c r="CD248" s="1109" t="str">
        <f t="shared" si="950"/>
        <v/>
      </c>
      <c r="CE248" s="1110" t="str">
        <f t="shared" si="949"/>
        <v/>
      </c>
      <c r="CF248" s="1111" t="str">
        <f t="shared" si="949"/>
        <v/>
      </c>
      <c r="CG248" s="1111" t="str">
        <f t="shared" si="949"/>
        <v/>
      </c>
      <c r="CH248" s="1111" t="str">
        <f t="shared" si="949"/>
        <v/>
      </c>
      <c r="CI248" s="1111" t="str">
        <f t="shared" si="949"/>
        <v/>
      </c>
      <c r="CJ248" s="1111" t="str">
        <f t="shared" si="949"/>
        <v/>
      </c>
      <c r="CK248" s="1112" t="str">
        <f t="shared" si="949"/>
        <v/>
      </c>
      <c r="CL248" s="1112">
        <f t="shared" si="949"/>
        <v>1</v>
      </c>
      <c r="CM248" s="1112" t="str">
        <f t="shared" si="949"/>
        <v/>
      </c>
      <c r="CN248" s="1111" t="str">
        <f t="shared" si="949"/>
        <v/>
      </c>
      <c r="CO248" s="1111" t="str">
        <f t="shared" si="949"/>
        <v/>
      </c>
      <c r="CP248" s="1111" t="str">
        <f t="shared" si="949"/>
        <v/>
      </c>
      <c r="CQ248" s="1111" t="str">
        <f t="shared" si="949"/>
        <v/>
      </c>
      <c r="CR248" s="1111" t="str">
        <f t="shared" si="949"/>
        <v/>
      </c>
      <c r="CS248" s="1110" t="str">
        <f t="shared" si="949"/>
        <v/>
      </c>
      <c r="CT248" s="1113" t="str">
        <f t="shared" si="949"/>
        <v/>
      </c>
      <c r="CU248" s="324" t="str">
        <f t="shared" si="901"/>
        <v/>
      </c>
      <c r="CV248" s="325" t="str">
        <f t="shared" si="902"/>
        <v/>
      </c>
      <c r="CW248" s="326" t="str">
        <f t="shared" si="903"/>
        <v/>
      </c>
      <c r="CX248" s="326" t="str">
        <f t="shared" si="904"/>
        <v/>
      </c>
      <c r="CY248" s="326" t="str">
        <f t="shared" si="905"/>
        <v/>
      </c>
      <c r="CZ248" s="326" t="str">
        <f t="shared" si="906"/>
        <v/>
      </c>
      <c r="DA248" s="326" t="str">
        <f t="shared" si="907"/>
        <v/>
      </c>
      <c r="DB248" s="327" t="str">
        <f t="shared" si="908"/>
        <v/>
      </c>
      <c r="DC248" s="327" t="str">
        <f t="shared" si="909"/>
        <v/>
      </c>
      <c r="DD248" s="327" t="str">
        <f t="shared" si="910"/>
        <v/>
      </c>
      <c r="DE248" s="326" t="str">
        <f t="shared" si="911"/>
        <v/>
      </c>
      <c r="DF248" s="326" t="str">
        <f t="shared" si="912"/>
        <v/>
      </c>
      <c r="DG248" s="326" t="str">
        <f t="shared" si="913"/>
        <v/>
      </c>
      <c r="DH248" s="326" t="str">
        <f t="shared" si="914"/>
        <v/>
      </c>
      <c r="DI248" s="326" t="str">
        <f t="shared" si="915"/>
        <v/>
      </c>
      <c r="DJ248" s="325" t="str">
        <f t="shared" si="916"/>
        <v/>
      </c>
      <c r="DK248" s="324" t="str">
        <f t="shared" si="917"/>
        <v/>
      </c>
      <c r="DL248" s="428">
        <f t="shared" si="918"/>
        <v>1</v>
      </c>
      <c r="DM248" s="66">
        <f t="shared" si="919"/>
        <v>0</v>
      </c>
      <c r="DN248" s="66">
        <f t="shared" si="920"/>
        <v>0</v>
      </c>
      <c r="DO248" s="66">
        <f t="shared" si="921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59">IF(B243="","",(B243-B245-B248)*B244/B$46/365/$G$1)</f>
        <v/>
      </c>
      <c r="C249" s="408" t="str">
        <f t="shared" si="959"/>
        <v/>
      </c>
      <c r="D249" s="408" t="str">
        <f t="shared" si="959"/>
        <v/>
      </c>
      <c r="E249" s="408" t="str">
        <f t="shared" si="959"/>
        <v/>
      </c>
      <c r="F249" s="408" t="str">
        <f t="shared" si="959"/>
        <v/>
      </c>
      <c r="G249" s="408" t="str">
        <f t="shared" si="959"/>
        <v/>
      </c>
      <c r="H249" s="408" t="str">
        <f t="shared" si="959"/>
        <v/>
      </c>
      <c r="I249" s="408" t="str">
        <f t="shared" si="959"/>
        <v/>
      </c>
      <c r="J249" s="408">
        <f t="shared" si="959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0">IF(T243="","",(T243-T245-T248)*T244/T$46/365/$G$1)</f>
        <v/>
      </c>
      <c r="U249" s="408" t="str">
        <f t="shared" si="960"/>
        <v/>
      </c>
      <c r="V249" s="408" t="str">
        <f t="shared" si="960"/>
        <v/>
      </c>
      <c r="W249" s="408" t="str">
        <f t="shared" si="960"/>
        <v/>
      </c>
      <c r="X249" s="408" t="str">
        <f t="shared" si="960"/>
        <v/>
      </c>
      <c r="Y249" s="408" t="str">
        <f t="shared" si="960"/>
        <v/>
      </c>
      <c r="Z249" s="408">
        <f t="shared" si="960"/>
        <v>2.315720808871494E-2</v>
      </c>
      <c r="AA249" s="408" t="str">
        <f t="shared" si="960"/>
        <v/>
      </c>
      <c r="AB249" s="408" t="str">
        <f t="shared" si="960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961">IF(AL243="","",(AL243-AL245-AL248)*AL244/AL$46/365/$G$1)</f>
        <v/>
      </c>
      <c r="AM249" s="408" t="str">
        <f t="shared" si="961"/>
        <v/>
      </c>
      <c r="AN249" s="408" t="str">
        <f t="shared" si="961"/>
        <v/>
      </c>
      <c r="AO249" s="408" t="str">
        <f t="shared" si="961"/>
        <v/>
      </c>
      <c r="AP249" s="408" t="str">
        <f t="shared" si="961"/>
        <v/>
      </c>
      <c r="AQ249" s="408">
        <f t="shared" si="961"/>
        <v>7.7190693629049789E-2</v>
      </c>
      <c r="AR249" s="408" t="str">
        <f t="shared" si="961"/>
        <v/>
      </c>
      <c r="AS249" s="408">
        <f t="shared" si="961"/>
        <v>5.7893020221787342E-2</v>
      </c>
      <c r="AT249" s="408">
        <f t="shared" si="961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962">IF(BD243="","",(BD243-BD245-BD248)*BD244/BD$46/365/$G$1)</f>
        <v/>
      </c>
      <c r="BE249" s="408" t="str">
        <f t="shared" si="962"/>
        <v/>
      </c>
      <c r="BF249" s="408" t="str">
        <f t="shared" si="962"/>
        <v/>
      </c>
      <c r="BG249" s="408" t="str">
        <f t="shared" si="962"/>
        <v/>
      </c>
      <c r="BH249" s="408" t="str">
        <f t="shared" si="962"/>
        <v/>
      </c>
      <c r="BI249" s="408" t="str">
        <f t="shared" si="962"/>
        <v/>
      </c>
      <c r="BJ249" s="408" t="str">
        <f t="shared" si="962"/>
        <v/>
      </c>
      <c r="BK249" s="408" t="str">
        <f t="shared" si="962"/>
        <v/>
      </c>
      <c r="BL249" s="408">
        <f t="shared" si="962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82"/>
        <v/>
      </c>
      <c r="CA249" s="398" t="str">
        <f t="shared" si="883"/>
        <v/>
      </c>
      <c r="CB249" s="398">
        <f t="shared" si="884"/>
        <v>6.9471624266144782E-2</v>
      </c>
      <c r="CC249" s="465" t="str">
        <f t="shared" si="885"/>
        <v/>
      </c>
      <c r="CD249" s="111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5" t="str">
        <f t="shared" ref="CE249:CT255" si="96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6" t="str">
        <f t="shared" si="963"/>
        <v/>
      </c>
      <c r="CG249" s="1116" t="str">
        <f t="shared" si="963"/>
        <v/>
      </c>
      <c r="CH249" s="1116" t="str">
        <f t="shared" si="963"/>
        <v/>
      </c>
      <c r="CI249" s="1116" t="str">
        <f t="shared" si="963"/>
        <v/>
      </c>
      <c r="CJ249" s="1116" t="str">
        <f t="shared" si="963"/>
        <v/>
      </c>
      <c r="CK249" s="1117" t="str">
        <f t="shared" si="963"/>
        <v/>
      </c>
      <c r="CL249" s="1117">
        <f t="shared" si="963"/>
        <v>6.5501817165222243E-2</v>
      </c>
      <c r="CM249" s="1117" t="str">
        <f t="shared" si="963"/>
        <v/>
      </c>
      <c r="CN249" s="1116" t="str">
        <f t="shared" si="963"/>
        <v/>
      </c>
      <c r="CO249" s="1116" t="str">
        <f t="shared" si="963"/>
        <v/>
      </c>
      <c r="CP249" s="1116" t="str">
        <f t="shared" si="963"/>
        <v/>
      </c>
      <c r="CQ249" s="1116" t="str">
        <f t="shared" si="963"/>
        <v/>
      </c>
      <c r="CR249" s="1116" t="str">
        <f t="shared" si="963"/>
        <v/>
      </c>
      <c r="CS249" s="1115" t="str">
        <f t="shared" si="963"/>
        <v/>
      </c>
      <c r="CT249" s="1118" t="str">
        <f t="shared" si="963"/>
        <v/>
      </c>
      <c r="CU249" s="312" t="str">
        <f t="shared" si="901"/>
        <v/>
      </c>
      <c r="CV249" s="313" t="str">
        <f t="shared" si="902"/>
        <v/>
      </c>
      <c r="CW249" s="314" t="str">
        <f t="shared" si="903"/>
        <v/>
      </c>
      <c r="CX249" s="314" t="str">
        <f t="shared" si="904"/>
        <v/>
      </c>
      <c r="CY249" s="314" t="str">
        <f t="shared" si="905"/>
        <v/>
      </c>
      <c r="CZ249" s="314" t="str">
        <f t="shared" si="906"/>
        <v/>
      </c>
      <c r="DA249" s="314" t="str">
        <f t="shared" si="907"/>
        <v/>
      </c>
      <c r="DB249" s="315" t="str">
        <f t="shared" si="908"/>
        <v/>
      </c>
      <c r="DC249" s="315">
        <f t="shared" si="909"/>
        <v>2.315720808871494E-2</v>
      </c>
      <c r="DD249" s="315" t="str">
        <f t="shared" si="910"/>
        <v/>
      </c>
      <c r="DE249" s="314" t="str">
        <f t="shared" si="911"/>
        <v/>
      </c>
      <c r="DF249" s="314" t="str">
        <f t="shared" si="912"/>
        <v/>
      </c>
      <c r="DG249" s="314" t="str">
        <f t="shared" si="913"/>
        <v/>
      </c>
      <c r="DH249" s="314" t="str">
        <f t="shared" si="914"/>
        <v/>
      </c>
      <c r="DI249" s="314" t="str">
        <f t="shared" si="915"/>
        <v/>
      </c>
      <c r="DJ249" s="313" t="str">
        <f t="shared" si="916"/>
        <v/>
      </c>
      <c r="DK249" s="312" t="str">
        <f t="shared" si="917"/>
        <v/>
      </c>
      <c r="DL249" s="428">
        <f t="shared" si="918"/>
        <v>1</v>
      </c>
      <c r="DM249" s="66">
        <f t="shared" si="919"/>
        <v>1</v>
      </c>
      <c r="DN249" s="66">
        <f t="shared" si="920"/>
        <v>3</v>
      </c>
      <c r="DO249" s="66">
        <f t="shared" si="921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82"/>
        <v/>
      </c>
      <c r="CA250" s="373" t="str">
        <f t="shared" si="883"/>
        <v/>
      </c>
      <c r="CB250" s="373" t="str">
        <f t="shared" si="884"/>
        <v/>
      </c>
      <c r="CC250" s="462" t="str">
        <f t="shared" si="885"/>
        <v/>
      </c>
      <c r="CD250" s="1109" t="str">
        <f t="shared" ref="CD250:CD255" si="96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0" t="str">
        <f t="shared" si="963"/>
        <v/>
      </c>
      <c r="CF250" s="1111" t="str">
        <f t="shared" si="963"/>
        <v/>
      </c>
      <c r="CG250" s="1111" t="str">
        <f t="shared" si="963"/>
        <v/>
      </c>
      <c r="CH250" s="1111" t="str">
        <f t="shared" si="963"/>
        <v/>
      </c>
      <c r="CI250" s="1111" t="str">
        <f t="shared" si="963"/>
        <v/>
      </c>
      <c r="CJ250" s="1111" t="str">
        <f t="shared" si="963"/>
        <v/>
      </c>
      <c r="CK250" s="1112" t="str">
        <f t="shared" si="963"/>
        <v/>
      </c>
      <c r="CL250" s="1112" t="str">
        <f t="shared" si="963"/>
        <v/>
      </c>
      <c r="CM250" s="1112" t="str">
        <f t="shared" si="963"/>
        <v/>
      </c>
      <c r="CN250" s="1111" t="str">
        <f t="shared" si="963"/>
        <v/>
      </c>
      <c r="CO250" s="1111" t="str">
        <f t="shared" si="963"/>
        <v/>
      </c>
      <c r="CP250" s="1111" t="str">
        <f t="shared" si="963"/>
        <v/>
      </c>
      <c r="CQ250" s="1111" t="str">
        <f t="shared" si="963"/>
        <v/>
      </c>
      <c r="CR250" s="1111" t="str">
        <f t="shared" si="963"/>
        <v/>
      </c>
      <c r="CS250" s="1110" t="str">
        <f t="shared" si="963"/>
        <v/>
      </c>
      <c r="CT250" s="1113" t="str">
        <f t="shared" si="963"/>
        <v/>
      </c>
      <c r="CU250" s="324" t="str">
        <f t="shared" si="901"/>
        <v/>
      </c>
      <c r="CV250" s="325" t="str">
        <f t="shared" si="902"/>
        <v/>
      </c>
      <c r="CW250" s="326" t="str">
        <f t="shared" si="903"/>
        <v/>
      </c>
      <c r="CX250" s="326" t="str">
        <f t="shared" si="904"/>
        <v/>
      </c>
      <c r="CY250" s="326" t="str">
        <f t="shared" si="905"/>
        <v/>
      </c>
      <c r="CZ250" s="326" t="str">
        <f t="shared" si="906"/>
        <v/>
      </c>
      <c r="DA250" s="326" t="str">
        <f t="shared" si="907"/>
        <v/>
      </c>
      <c r="DB250" s="327" t="str">
        <f t="shared" si="908"/>
        <v/>
      </c>
      <c r="DC250" s="327" t="str">
        <f t="shared" si="909"/>
        <v/>
      </c>
      <c r="DD250" s="327" t="str">
        <f t="shared" si="910"/>
        <v/>
      </c>
      <c r="DE250" s="326" t="str">
        <f t="shared" si="911"/>
        <v/>
      </c>
      <c r="DF250" s="326" t="str">
        <f t="shared" si="912"/>
        <v/>
      </c>
      <c r="DG250" s="326" t="str">
        <f t="shared" si="913"/>
        <v/>
      </c>
      <c r="DH250" s="326" t="str">
        <f t="shared" si="914"/>
        <v/>
      </c>
      <c r="DI250" s="326" t="str">
        <f t="shared" si="915"/>
        <v/>
      </c>
      <c r="DJ250" s="325" t="str">
        <f t="shared" si="916"/>
        <v/>
      </c>
      <c r="DK250" s="324" t="str">
        <f t="shared" si="917"/>
        <v/>
      </c>
      <c r="DL250" s="428">
        <f t="shared" si="918"/>
        <v>0</v>
      </c>
      <c r="DM250" s="66">
        <f t="shared" si="919"/>
        <v>0</v>
      </c>
      <c r="DN250" s="66">
        <f t="shared" si="920"/>
        <v>0</v>
      </c>
      <c r="DO250" s="66">
        <f t="shared" si="921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65">3450*$K$1</f>
        <v>3450</v>
      </c>
      <c r="C251" s="476">
        <f t="shared" si="965"/>
        <v>3450</v>
      </c>
      <c r="D251" s="476">
        <f t="shared" si="965"/>
        <v>3450</v>
      </c>
      <c r="E251" s="476">
        <f t="shared" si="965"/>
        <v>3450</v>
      </c>
      <c r="F251" s="476">
        <f t="shared" si="965"/>
        <v>3450</v>
      </c>
      <c r="G251" s="476">
        <f t="shared" si="965"/>
        <v>3450</v>
      </c>
      <c r="H251" s="476">
        <f t="shared" si="965"/>
        <v>3450</v>
      </c>
      <c r="I251" s="476">
        <f t="shared" si="965"/>
        <v>3450</v>
      </c>
      <c r="J251" s="476">
        <f t="shared" si="965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966">3450*$K$1</f>
        <v>3450</v>
      </c>
      <c r="U251" s="476">
        <v>0</v>
      </c>
      <c r="V251" s="476">
        <f t="shared" si="966"/>
        <v>3450</v>
      </c>
      <c r="W251" s="476">
        <f t="shared" si="966"/>
        <v>3450</v>
      </c>
      <c r="X251" s="476">
        <f t="shared" si="966"/>
        <v>3450</v>
      </c>
      <c r="Y251" s="476">
        <f t="shared" si="966"/>
        <v>3450</v>
      </c>
      <c r="Z251" s="476">
        <f t="shared" si="966"/>
        <v>3450</v>
      </c>
      <c r="AA251" s="476">
        <f t="shared" si="966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967">3450*$K$1</f>
        <v>3450</v>
      </c>
      <c r="AM251" s="476">
        <f t="shared" si="967"/>
        <v>3450</v>
      </c>
      <c r="AN251" s="476">
        <f t="shared" si="967"/>
        <v>3450</v>
      </c>
      <c r="AO251" s="476">
        <f t="shared" si="967"/>
        <v>3450</v>
      </c>
      <c r="AP251" s="476">
        <f t="shared" si="967"/>
        <v>3450</v>
      </c>
      <c r="AQ251" s="476">
        <f t="shared" si="967"/>
        <v>3450</v>
      </c>
      <c r="AR251" s="476">
        <f t="shared" si="967"/>
        <v>3450</v>
      </c>
      <c r="AS251" s="476">
        <f t="shared" si="967"/>
        <v>3450</v>
      </c>
      <c r="AT251" s="476">
        <f t="shared" si="967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968">3450*$K$1</f>
        <v>3450</v>
      </c>
      <c r="BE251" s="476">
        <f t="shared" si="968"/>
        <v>3450</v>
      </c>
      <c r="BF251" s="476">
        <f t="shared" si="968"/>
        <v>3450</v>
      </c>
      <c r="BG251" s="476">
        <f t="shared" si="968"/>
        <v>3450</v>
      </c>
      <c r="BH251" s="476">
        <f t="shared" si="968"/>
        <v>3450</v>
      </c>
      <c r="BI251" s="476">
        <f t="shared" si="968"/>
        <v>3450</v>
      </c>
      <c r="BJ251" s="476">
        <f t="shared" si="968"/>
        <v>3450</v>
      </c>
      <c r="BK251" s="476">
        <f t="shared" si="968"/>
        <v>3450</v>
      </c>
      <c r="BL251" s="476">
        <f t="shared" si="968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82"/>
        <v>3450</v>
      </c>
      <c r="CA251" s="373">
        <f t="shared" si="883"/>
        <v>2957.1428571428573</v>
      </c>
      <c r="CB251" s="373">
        <f t="shared" si="884"/>
        <v>3450</v>
      </c>
      <c r="CC251" s="462">
        <f t="shared" si="885"/>
        <v>3450</v>
      </c>
      <c r="CD251" s="1109" t="str">
        <f t="shared" si="964"/>
        <v/>
      </c>
      <c r="CE251" s="1110" t="str">
        <f t="shared" si="963"/>
        <v/>
      </c>
      <c r="CF251" s="1111" t="str">
        <f t="shared" si="963"/>
        <v/>
      </c>
      <c r="CG251" s="1111" t="str">
        <f t="shared" si="963"/>
        <v/>
      </c>
      <c r="CH251" s="1111">
        <f t="shared" si="963"/>
        <v>3450</v>
      </c>
      <c r="CI251" s="1111">
        <f t="shared" si="963"/>
        <v>3450</v>
      </c>
      <c r="CJ251" s="1111">
        <f t="shared" si="963"/>
        <v>3450</v>
      </c>
      <c r="CK251" s="1112">
        <f t="shared" si="963"/>
        <v>3450</v>
      </c>
      <c r="CL251" s="1112">
        <f t="shared" si="963"/>
        <v>3450</v>
      </c>
      <c r="CM251" s="1112">
        <f t="shared" si="963"/>
        <v>3450</v>
      </c>
      <c r="CN251" s="1111">
        <f t="shared" si="963"/>
        <v>3450</v>
      </c>
      <c r="CO251" s="1111">
        <f t="shared" si="963"/>
        <v>3450</v>
      </c>
      <c r="CP251" s="1111">
        <f t="shared" si="963"/>
        <v>3450</v>
      </c>
      <c r="CQ251" s="1111" t="str">
        <f t="shared" si="963"/>
        <v/>
      </c>
      <c r="CR251" s="1111" t="str">
        <f t="shared" si="963"/>
        <v/>
      </c>
      <c r="CS251" s="1110" t="str">
        <f t="shared" si="963"/>
        <v/>
      </c>
      <c r="CT251" s="1113" t="str">
        <f t="shared" si="963"/>
        <v/>
      </c>
      <c r="CU251" s="324" t="str">
        <f t="shared" si="901"/>
        <v/>
      </c>
      <c r="CV251" s="325" t="str">
        <f t="shared" si="902"/>
        <v/>
      </c>
      <c r="CW251" s="326" t="str">
        <f t="shared" si="903"/>
        <v/>
      </c>
      <c r="CX251" s="326" t="str">
        <f t="shared" si="904"/>
        <v/>
      </c>
      <c r="CY251" s="326">
        <f t="shared" si="905"/>
        <v>0</v>
      </c>
      <c r="CZ251" s="326">
        <f t="shared" si="906"/>
        <v>0</v>
      </c>
      <c r="DA251" s="326">
        <f t="shared" si="907"/>
        <v>3450</v>
      </c>
      <c r="DB251" s="327">
        <f t="shared" si="908"/>
        <v>3450</v>
      </c>
      <c r="DC251" s="327">
        <f t="shared" si="909"/>
        <v>3450</v>
      </c>
      <c r="DD251" s="327">
        <f t="shared" si="910"/>
        <v>3450</v>
      </c>
      <c r="DE251" s="326">
        <f t="shared" si="911"/>
        <v>3450</v>
      </c>
      <c r="DF251" s="326">
        <f t="shared" si="912"/>
        <v>3450</v>
      </c>
      <c r="DG251" s="326">
        <f t="shared" si="913"/>
        <v>3450</v>
      </c>
      <c r="DH251" s="326" t="str">
        <f t="shared" si="914"/>
        <v/>
      </c>
      <c r="DI251" s="326" t="str">
        <f t="shared" si="915"/>
        <v/>
      </c>
      <c r="DJ251" s="325" t="str">
        <f t="shared" si="916"/>
        <v/>
      </c>
      <c r="DK251" s="324" t="str">
        <f t="shared" si="917"/>
        <v/>
      </c>
      <c r="DL251" s="428">
        <f t="shared" si="918"/>
        <v>9</v>
      </c>
      <c r="DM251" s="66">
        <f t="shared" si="919"/>
        <v>9</v>
      </c>
      <c r="DN251" s="66">
        <f t="shared" si="920"/>
        <v>9</v>
      </c>
      <c r="DO251" s="66">
        <f t="shared" si="921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82"/>
        <v/>
      </c>
      <c r="CA252" s="373" t="str">
        <f t="shared" si="883"/>
        <v/>
      </c>
      <c r="CB252" s="373" t="str">
        <f t="shared" si="884"/>
        <v/>
      </c>
      <c r="CC252" s="462" t="str">
        <f t="shared" si="885"/>
        <v/>
      </c>
      <c r="CD252" s="1109" t="str">
        <f t="shared" si="964"/>
        <v/>
      </c>
      <c r="CE252" s="1110" t="str">
        <f t="shared" si="963"/>
        <v/>
      </c>
      <c r="CF252" s="1111" t="str">
        <f t="shared" si="963"/>
        <v/>
      </c>
      <c r="CG252" s="1111" t="str">
        <f t="shared" si="963"/>
        <v/>
      </c>
      <c r="CH252" s="1111" t="str">
        <f t="shared" si="963"/>
        <v/>
      </c>
      <c r="CI252" s="1111" t="str">
        <f t="shared" si="963"/>
        <v/>
      </c>
      <c r="CJ252" s="1111" t="str">
        <f t="shared" si="963"/>
        <v/>
      </c>
      <c r="CK252" s="1112" t="str">
        <f t="shared" si="963"/>
        <v/>
      </c>
      <c r="CL252" s="1112" t="str">
        <f t="shared" si="963"/>
        <v/>
      </c>
      <c r="CM252" s="1112" t="str">
        <f t="shared" si="963"/>
        <v/>
      </c>
      <c r="CN252" s="1111" t="str">
        <f t="shared" si="963"/>
        <v/>
      </c>
      <c r="CO252" s="1111" t="str">
        <f t="shared" si="963"/>
        <v/>
      </c>
      <c r="CP252" s="1111" t="str">
        <f t="shared" si="963"/>
        <v/>
      </c>
      <c r="CQ252" s="1111" t="str">
        <f t="shared" si="963"/>
        <v/>
      </c>
      <c r="CR252" s="1111" t="str">
        <f t="shared" si="963"/>
        <v/>
      </c>
      <c r="CS252" s="1110" t="str">
        <f t="shared" si="963"/>
        <v/>
      </c>
      <c r="CT252" s="1113" t="str">
        <f t="shared" si="963"/>
        <v/>
      </c>
      <c r="CU252" s="324" t="str">
        <f t="shared" si="901"/>
        <v/>
      </c>
      <c r="CV252" s="325" t="str">
        <f t="shared" si="902"/>
        <v/>
      </c>
      <c r="CW252" s="326" t="str">
        <f t="shared" si="903"/>
        <v/>
      </c>
      <c r="CX252" s="326" t="str">
        <f t="shared" si="904"/>
        <v/>
      </c>
      <c r="CY252" s="326" t="str">
        <f t="shared" si="905"/>
        <v/>
      </c>
      <c r="CZ252" s="326" t="str">
        <f t="shared" si="906"/>
        <v/>
      </c>
      <c r="DA252" s="326" t="str">
        <f t="shared" si="907"/>
        <v/>
      </c>
      <c r="DB252" s="327" t="str">
        <f t="shared" si="908"/>
        <v/>
      </c>
      <c r="DC252" s="327" t="str">
        <f t="shared" si="909"/>
        <v/>
      </c>
      <c r="DD252" s="327" t="str">
        <f t="shared" si="910"/>
        <v/>
      </c>
      <c r="DE252" s="326" t="str">
        <f t="shared" si="911"/>
        <v/>
      </c>
      <c r="DF252" s="326" t="str">
        <f t="shared" si="912"/>
        <v/>
      </c>
      <c r="DG252" s="326" t="str">
        <f t="shared" si="913"/>
        <v/>
      </c>
      <c r="DH252" s="326" t="str">
        <f t="shared" si="914"/>
        <v/>
      </c>
      <c r="DI252" s="326" t="str">
        <f t="shared" si="915"/>
        <v/>
      </c>
      <c r="DJ252" s="325" t="str">
        <f t="shared" si="916"/>
        <v/>
      </c>
      <c r="DK252" s="324" t="str">
        <f t="shared" si="917"/>
        <v/>
      </c>
      <c r="DL252" s="428">
        <f t="shared" si="918"/>
        <v>0</v>
      </c>
      <c r="DM252" s="66">
        <f t="shared" si="919"/>
        <v>0</v>
      </c>
      <c r="DN252" s="66">
        <f t="shared" si="920"/>
        <v>0</v>
      </c>
      <c r="DO252" s="66">
        <f t="shared" si="921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82"/>
        <v/>
      </c>
      <c r="CA253" s="373" t="str">
        <f t="shared" si="883"/>
        <v/>
      </c>
      <c r="CB253" s="373" t="str">
        <f t="shared" si="884"/>
        <v/>
      </c>
      <c r="CC253" s="462" t="str">
        <f t="shared" si="885"/>
        <v/>
      </c>
      <c r="CD253" s="1109" t="str">
        <f t="shared" si="964"/>
        <v/>
      </c>
      <c r="CE253" s="1110" t="str">
        <f t="shared" si="963"/>
        <v/>
      </c>
      <c r="CF253" s="1111" t="str">
        <f t="shared" si="963"/>
        <v/>
      </c>
      <c r="CG253" s="1111" t="str">
        <f t="shared" si="963"/>
        <v/>
      </c>
      <c r="CH253" s="1111" t="str">
        <f t="shared" si="963"/>
        <v/>
      </c>
      <c r="CI253" s="1111" t="str">
        <f t="shared" si="963"/>
        <v/>
      </c>
      <c r="CJ253" s="1111" t="str">
        <f t="shared" si="963"/>
        <v/>
      </c>
      <c r="CK253" s="1112" t="str">
        <f t="shared" si="963"/>
        <v/>
      </c>
      <c r="CL253" s="1112" t="str">
        <f t="shared" si="963"/>
        <v/>
      </c>
      <c r="CM253" s="1112" t="str">
        <f t="shared" si="963"/>
        <v/>
      </c>
      <c r="CN253" s="1111" t="str">
        <f t="shared" si="963"/>
        <v/>
      </c>
      <c r="CO253" s="1111" t="str">
        <f t="shared" si="963"/>
        <v/>
      </c>
      <c r="CP253" s="1111" t="str">
        <f t="shared" si="963"/>
        <v/>
      </c>
      <c r="CQ253" s="1111" t="str">
        <f t="shared" si="963"/>
        <v/>
      </c>
      <c r="CR253" s="1111" t="str">
        <f t="shared" si="963"/>
        <v/>
      </c>
      <c r="CS253" s="1110" t="str">
        <f t="shared" si="963"/>
        <v/>
      </c>
      <c r="CT253" s="1113" t="str">
        <f t="shared" si="963"/>
        <v/>
      </c>
      <c r="CU253" s="324" t="str">
        <f t="shared" si="901"/>
        <v/>
      </c>
      <c r="CV253" s="325" t="str">
        <f t="shared" si="902"/>
        <v/>
      </c>
      <c r="CW253" s="326" t="str">
        <f t="shared" si="903"/>
        <v/>
      </c>
      <c r="CX253" s="326" t="str">
        <f t="shared" si="904"/>
        <v/>
      </c>
      <c r="CY253" s="326" t="str">
        <f t="shared" si="905"/>
        <v/>
      </c>
      <c r="CZ253" s="326" t="str">
        <f t="shared" si="906"/>
        <v/>
      </c>
      <c r="DA253" s="326" t="str">
        <f t="shared" si="907"/>
        <v/>
      </c>
      <c r="DB253" s="327" t="str">
        <f t="shared" si="908"/>
        <v/>
      </c>
      <c r="DC253" s="327" t="str">
        <f t="shared" si="909"/>
        <v/>
      </c>
      <c r="DD253" s="327" t="str">
        <f t="shared" si="910"/>
        <v/>
      </c>
      <c r="DE253" s="326" t="str">
        <f t="shared" si="911"/>
        <v/>
      </c>
      <c r="DF253" s="326" t="str">
        <f t="shared" si="912"/>
        <v/>
      </c>
      <c r="DG253" s="326" t="str">
        <f t="shared" si="913"/>
        <v/>
      </c>
      <c r="DH253" s="326" t="str">
        <f t="shared" si="914"/>
        <v/>
      </c>
      <c r="DI253" s="326" t="str">
        <f t="shared" si="915"/>
        <v/>
      </c>
      <c r="DJ253" s="325" t="str">
        <f t="shared" si="916"/>
        <v/>
      </c>
      <c r="DK253" s="324" t="str">
        <f t="shared" si="917"/>
        <v/>
      </c>
      <c r="DL253" s="428">
        <f t="shared" si="918"/>
        <v>0</v>
      </c>
      <c r="DM253" s="66">
        <f t="shared" si="919"/>
        <v>0</v>
      </c>
      <c r="DN253" s="66">
        <f t="shared" si="920"/>
        <v>0</v>
      </c>
      <c r="DO253" s="66">
        <f t="shared" si="921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69">IF(B252="","",B252*B253)</f>
        <v/>
      </c>
      <c r="C254" s="405" t="str">
        <f t="shared" si="969"/>
        <v/>
      </c>
      <c r="D254" s="405" t="str">
        <f t="shared" si="969"/>
        <v/>
      </c>
      <c r="E254" s="405" t="str">
        <f t="shared" si="969"/>
        <v/>
      </c>
      <c r="F254" s="405" t="str">
        <f t="shared" si="969"/>
        <v/>
      </c>
      <c r="G254" s="405" t="str">
        <f t="shared" si="969"/>
        <v/>
      </c>
      <c r="H254" s="405" t="str">
        <f t="shared" si="969"/>
        <v/>
      </c>
      <c r="I254" s="405" t="str">
        <f t="shared" si="969"/>
        <v/>
      </c>
      <c r="J254" s="405" t="str">
        <f t="shared" si="969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0">IF(T252="","",T252*T253)</f>
        <v/>
      </c>
      <c r="U254" s="405" t="str">
        <f t="shared" si="970"/>
        <v/>
      </c>
      <c r="V254" s="405" t="str">
        <f t="shared" si="970"/>
        <v/>
      </c>
      <c r="W254" s="405" t="str">
        <f t="shared" si="970"/>
        <v/>
      </c>
      <c r="X254" s="405" t="str">
        <f t="shared" si="970"/>
        <v/>
      </c>
      <c r="Y254" s="405" t="str">
        <f t="shared" si="970"/>
        <v/>
      </c>
      <c r="Z254" s="405" t="str">
        <f t="shared" si="970"/>
        <v/>
      </c>
      <c r="AA254" s="405" t="str">
        <f t="shared" si="970"/>
        <v/>
      </c>
      <c r="AB254" s="405" t="str">
        <f t="shared" si="970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971">IF(AL252="","",AL252*AL253)</f>
        <v/>
      </c>
      <c r="AM254" s="405" t="str">
        <f t="shared" si="971"/>
        <v/>
      </c>
      <c r="AN254" s="405" t="str">
        <f t="shared" si="971"/>
        <v/>
      </c>
      <c r="AO254" s="405" t="str">
        <f t="shared" si="971"/>
        <v/>
      </c>
      <c r="AP254" s="405" t="str">
        <f t="shared" si="971"/>
        <v/>
      </c>
      <c r="AQ254" s="405" t="str">
        <f t="shared" si="971"/>
        <v/>
      </c>
      <c r="AR254" s="405" t="str">
        <f t="shared" si="971"/>
        <v/>
      </c>
      <c r="AS254" s="405" t="str">
        <f t="shared" si="971"/>
        <v/>
      </c>
      <c r="AT254" s="405" t="str">
        <f t="shared" si="971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972">IF(BD252="","",BD252*BD253)</f>
        <v/>
      </c>
      <c r="BE254" s="405" t="str">
        <f t="shared" si="972"/>
        <v/>
      </c>
      <c r="BF254" s="405" t="str">
        <f t="shared" si="972"/>
        <v/>
      </c>
      <c r="BG254" s="405" t="str">
        <f t="shared" si="972"/>
        <v/>
      </c>
      <c r="BH254" s="405" t="str">
        <f t="shared" si="972"/>
        <v/>
      </c>
      <c r="BI254" s="405" t="str">
        <f t="shared" si="972"/>
        <v/>
      </c>
      <c r="BJ254" s="405" t="str">
        <f t="shared" si="972"/>
        <v/>
      </c>
      <c r="BK254" s="405" t="str">
        <f t="shared" si="972"/>
        <v/>
      </c>
      <c r="BL254" s="405" t="str">
        <f t="shared" si="972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82"/>
        <v/>
      </c>
      <c r="CA254" s="373" t="str">
        <f t="shared" si="883"/>
        <v/>
      </c>
      <c r="CB254" s="373" t="str">
        <f t="shared" si="884"/>
        <v/>
      </c>
      <c r="CC254" s="462" t="str">
        <f t="shared" si="885"/>
        <v/>
      </c>
      <c r="CD254" s="1109" t="str">
        <f t="shared" si="964"/>
        <v/>
      </c>
      <c r="CE254" s="1110" t="str">
        <f t="shared" si="963"/>
        <v/>
      </c>
      <c r="CF254" s="1111" t="str">
        <f t="shared" si="963"/>
        <v/>
      </c>
      <c r="CG254" s="1111" t="str">
        <f t="shared" si="963"/>
        <v/>
      </c>
      <c r="CH254" s="1111" t="str">
        <f t="shared" si="963"/>
        <v/>
      </c>
      <c r="CI254" s="1111" t="str">
        <f t="shared" si="963"/>
        <v/>
      </c>
      <c r="CJ254" s="1111" t="str">
        <f t="shared" si="963"/>
        <v/>
      </c>
      <c r="CK254" s="1112" t="str">
        <f t="shared" si="963"/>
        <v/>
      </c>
      <c r="CL254" s="1112" t="str">
        <f t="shared" si="963"/>
        <v/>
      </c>
      <c r="CM254" s="1112" t="str">
        <f t="shared" si="963"/>
        <v/>
      </c>
      <c r="CN254" s="1111" t="str">
        <f t="shared" si="963"/>
        <v/>
      </c>
      <c r="CO254" s="1111" t="str">
        <f t="shared" si="963"/>
        <v/>
      </c>
      <c r="CP254" s="1111" t="str">
        <f t="shared" si="963"/>
        <v/>
      </c>
      <c r="CQ254" s="1111" t="str">
        <f t="shared" si="963"/>
        <v/>
      </c>
      <c r="CR254" s="1111" t="str">
        <f t="shared" si="963"/>
        <v/>
      </c>
      <c r="CS254" s="1110" t="str">
        <f t="shared" si="963"/>
        <v/>
      </c>
      <c r="CT254" s="1113" t="str">
        <f t="shared" si="963"/>
        <v/>
      </c>
      <c r="CU254" s="324" t="str">
        <f t="shared" si="901"/>
        <v/>
      </c>
      <c r="CV254" s="325" t="str">
        <f t="shared" si="902"/>
        <v/>
      </c>
      <c r="CW254" s="326" t="str">
        <f t="shared" si="903"/>
        <v/>
      </c>
      <c r="CX254" s="326" t="str">
        <f t="shared" si="904"/>
        <v/>
      </c>
      <c r="CY254" s="326" t="str">
        <f t="shared" si="905"/>
        <v/>
      </c>
      <c r="CZ254" s="326" t="str">
        <f t="shared" si="906"/>
        <v/>
      </c>
      <c r="DA254" s="326" t="str">
        <f t="shared" si="907"/>
        <v/>
      </c>
      <c r="DB254" s="327" t="str">
        <f t="shared" si="908"/>
        <v/>
      </c>
      <c r="DC254" s="327" t="str">
        <f t="shared" si="909"/>
        <v/>
      </c>
      <c r="DD254" s="327" t="str">
        <f t="shared" si="910"/>
        <v/>
      </c>
      <c r="DE254" s="326" t="str">
        <f t="shared" si="911"/>
        <v/>
      </c>
      <c r="DF254" s="326" t="str">
        <f t="shared" si="912"/>
        <v/>
      </c>
      <c r="DG254" s="326" t="str">
        <f t="shared" si="913"/>
        <v/>
      </c>
      <c r="DH254" s="326" t="str">
        <f t="shared" si="914"/>
        <v/>
      </c>
      <c r="DI254" s="326" t="str">
        <f t="shared" si="915"/>
        <v/>
      </c>
      <c r="DJ254" s="325" t="str">
        <f t="shared" si="916"/>
        <v/>
      </c>
      <c r="DK254" s="324" t="str">
        <f t="shared" si="917"/>
        <v/>
      </c>
      <c r="DL254" s="428">
        <f t="shared" si="918"/>
        <v>0</v>
      </c>
      <c r="DM254" s="66">
        <f t="shared" si="919"/>
        <v>0</v>
      </c>
      <c r="DN254" s="66">
        <f t="shared" si="920"/>
        <v>0</v>
      </c>
      <c r="DO254" s="66">
        <f t="shared" si="921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82"/>
        <v/>
      </c>
      <c r="CA255" s="373" t="str">
        <f t="shared" si="883"/>
        <v/>
      </c>
      <c r="CB255" s="373" t="str">
        <f t="shared" si="884"/>
        <v/>
      </c>
      <c r="CC255" s="462" t="str">
        <f t="shared" si="885"/>
        <v/>
      </c>
      <c r="CD255" s="1109" t="str">
        <f t="shared" si="964"/>
        <v/>
      </c>
      <c r="CE255" s="1110" t="str">
        <f t="shared" si="963"/>
        <v/>
      </c>
      <c r="CF255" s="1111" t="str">
        <f t="shared" si="963"/>
        <v/>
      </c>
      <c r="CG255" s="1111" t="str">
        <f t="shared" si="963"/>
        <v/>
      </c>
      <c r="CH255" s="1111" t="str">
        <f t="shared" si="963"/>
        <v/>
      </c>
      <c r="CI255" s="1111" t="str">
        <f t="shared" si="963"/>
        <v/>
      </c>
      <c r="CJ255" s="1111" t="str">
        <f t="shared" si="963"/>
        <v/>
      </c>
      <c r="CK255" s="1112" t="str">
        <f t="shared" si="963"/>
        <v/>
      </c>
      <c r="CL255" s="1112" t="str">
        <f t="shared" si="963"/>
        <v/>
      </c>
      <c r="CM255" s="1112" t="str">
        <f t="shared" si="963"/>
        <v/>
      </c>
      <c r="CN255" s="1111" t="str">
        <f t="shared" si="963"/>
        <v/>
      </c>
      <c r="CO255" s="1111" t="str">
        <f t="shared" si="963"/>
        <v/>
      </c>
      <c r="CP255" s="1111" t="str">
        <f t="shared" si="963"/>
        <v/>
      </c>
      <c r="CQ255" s="1111" t="str">
        <f t="shared" si="963"/>
        <v/>
      </c>
      <c r="CR255" s="1111" t="str">
        <f t="shared" si="963"/>
        <v/>
      </c>
      <c r="CS255" s="1110" t="str">
        <f t="shared" si="963"/>
        <v/>
      </c>
      <c r="CT255" s="1113" t="str">
        <f t="shared" si="963"/>
        <v/>
      </c>
      <c r="CU255" s="324" t="str">
        <f t="shared" si="901"/>
        <v/>
      </c>
      <c r="CV255" s="325" t="str">
        <f t="shared" si="902"/>
        <v/>
      </c>
      <c r="CW255" s="326" t="str">
        <f t="shared" si="903"/>
        <v/>
      </c>
      <c r="CX255" s="326" t="str">
        <f t="shared" si="904"/>
        <v/>
      </c>
      <c r="CY255" s="326" t="str">
        <f t="shared" si="905"/>
        <v/>
      </c>
      <c r="CZ255" s="326" t="str">
        <f t="shared" si="906"/>
        <v/>
      </c>
      <c r="DA255" s="326" t="str">
        <f t="shared" si="907"/>
        <v/>
      </c>
      <c r="DB255" s="327" t="str">
        <f t="shared" si="908"/>
        <v/>
      </c>
      <c r="DC255" s="327" t="str">
        <f t="shared" si="909"/>
        <v/>
      </c>
      <c r="DD255" s="327" t="str">
        <f t="shared" si="910"/>
        <v/>
      </c>
      <c r="DE255" s="326" t="str">
        <f t="shared" si="911"/>
        <v/>
      </c>
      <c r="DF255" s="326" t="str">
        <f t="shared" si="912"/>
        <v/>
      </c>
      <c r="DG255" s="326" t="str">
        <f t="shared" si="913"/>
        <v/>
      </c>
      <c r="DH255" s="326" t="str">
        <f t="shared" si="914"/>
        <v/>
      </c>
      <c r="DI255" s="326" t="str">
        <f t="shared" si="915"/>
        <v/>
      </c>
      <c r="DJ255" s="325" t="str">
        <f t="shared" si="916"/>
        <v/>
      </c>
      <c r="DK255" s="324" t="str">
        <f t="shared" si="917"/>
        <v/>
      </c>
      <c r="DL255" s="428">
        <f t="shared" si="918"/>
        <v>0</v>
      </c>
      <c r="DM255" s="66">
        <f t="shared" si="919"/>
        <v>0</v>
      </c>
      <c r="DN255" s="66">
        <f t="shared" si="920"/>
        <v>0</v>
      </c>
      <c r="DO255" s="66">
        <f t="shared" si="921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73">IF(B250="","",(B250-B252-B255)*B251/B$46/365/$G$1)</f>
        <v/>
      </c>
      <c r="C256" s="408" t="str">
        <f t="shared" si="973"/>
        <v/>
      </c>
      <c r="D256" s="408" t="str">
        <f t="shared" si="973"/>
        <v/>
      </c>
      <c r="E256" s="408" t="str">
        <f t="shared" si="973"/>
        <v/>
      </c>
      <c r="F256" s="408" t="str">
        <f t="shared" si="973"/>
        <v/>
      </c>
      <c r="G256" s="408" t="str">
        <f t="shared" si="973"/>
        <v/>
      </c>
      <c r="H256" s="408" t="str">
        <f t="shared" si="973"/>
        <v/>
      </c>
      <c r="I256" s="408" t="str">
        <f t="shared" si="973"/>
        <v/>
      </c>
      <c r="J256" s="408" t="str">
        <f t="shared" si="973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74">IF(T250="","",(T250-T252-T255)*T251/T$46/365/$G$1)</f>
        <v/>
      </c>
      <c r="U256" s="408" t="str">
        <f t="shared" si="974"/>
        <v/>
      </c>
      <c r="V256" s="408" t="str">
        <f t="shared" si="974"/>
        <v/>
      </c>
      <c r="W256" s="408" t="str">
        <f t="shared" si="974"/>
        <v/>
      </c>
      <c r="X256" s="408" t="str">
        <f t="shared" si="974"/>
        <v/>
      </c>
      <c r="Y256" s="408" t="str">
        <f t="shared" si="974"/>
        <v/>
      </c>
      <c r="Z256" s="408" t="str">
        <f t="shared" si="974"/>
        <v/>
      </c>
      <c r="AA256" s="408" t="str">
        <f t="shared" si="974"/>
        <v/>
      </c>
      <c r="AB256" s="408" t="str">
        <f t="shared" si="974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975">IF(AL250="","",(AL250-AL252-AL255)*AL251/AL$46/365/$G$1)</f>
        <v/>
      </c>
      <c r="AM256" s="408" t="str">
        <f t="shared" si="975"/>
        <v/>
      </c>
      <c r="AN256" s="408" t="str">
        <f t="shared" si="975"/>
        <v/>
      </c>
      <c r="AO256" s="408" t="str">
        <f t="shared" si="975"/>
        <v/>
      </c>
      <c r="AP256" s="408" t="str">
        <f t="shared" si="975"/>
        <v/>
      </c>
      <c r="AQ256" s="408" t="str">
        <f t="shared" si="975"/>
        <v/>
      </c>
      <c r="AR256" s="408" t="str">
        <f t="shared" si="975"/>
        <v/>
      </c>
      <c r="AS256" s="408" t="str">
        <f t="shared" si="975"/>
        <v/>
      </c>
      <c r="AT256" s="408" t="str">
        <f t="shared" si="975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976">IF(BD250="","",(BD250-BD252-BD255)*BD251/BD$46/365/$G$1)</f>
        <v/>
      </c>
      <c r="BE256" s="408" t="str">
        <f t="shared" si="976"/>
        <v/>
      </c>
      <c r="BF256" s="408" t="str">
        <f t="shared" si="976"/>
        <v/>
      </c>
      <c r="BG256" s="408" t="str">
        <f t="shared" si="976"/>
        <v/>
      </c>
      <c r="BH256" s="408" t="str">
        <f t="shared" si="976"/>
        <v/>
      </c>
      <c r="BI256" s="408" t="str">
        <f t="shared" si="976"/>
        <v/>
      </c>
      <c r="BJ256" s="408" t="str">
        <f t="shared" si="976"/>
        <v/>
      </c>
      <c r="BK256" s="408" t="str">
        <f t="shared" si="976"/>
        <v/>
      </c>
      <c r="BL256" s="408" t="str">
        <f t="shared" si="976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82"/>
        <v/>
      </c>
      <c r="CA256" s="398" t="str">
        <f t="shared" si="883"/>
        <v/>
      </c>
      <c r="CB256" s="398" t="str">
        <f t="shared" si="884"/>
        <v/>
      </c>
      <c r="CC256" s="465" t="str">
        <f t="shared" si="885"/>
        <v/>
      </c>
      <c r="CD256" s="111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5" t="str">
        <f t="shared" ref="CE256:CT262" si="97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6" t="str">
        <f t="shared" si="977"/>
        <v/>
      </c>
      <c r="CG256" s="1116" t="str">
        <f t="shared" si="977"/>
        <v/>
      </c>
      <c r="CH256" s="1116" t="str">
        <f t="shared" si="977"/>
        <v/>
      </c>
      <c r="CI256" s="1116" t="str">
        <f t="shared" si="977"/>
        <v/>
      </c>
      <c r="CJ256" s="1116" t="str">
        <f t="shared" si="977"/>
        <v/>
      </c>
      <c r="CK256" s="1117" t="str">
        <f t="shared" si="977"/>
        <v/>
      </c>
      <c r="CL256" s="1117" t="str">
        <f t="shared" si="977"/>
        <v/>
      </c>
      <c r="CM256" s="1117" t="str">
        <f t="shared" si="977"/>
        <v/>
      </c>
      <c r="CN256" s="1116" t="str">
        <f t="shared" si="977"/>
        <v/>
      </c>
      <c r="CO256" s="1116" t="str">
        <f t="shared" si="977"/>
        <v/>
      </c>
      <c r="CP256" s="1116" t="str">
        <f t="shared" si="977"/>
        <v/>
      </c>
      <c r="CQ256" s="1116" t="str">
        <f t="shared" si="977"/>
        <v/>
      </c>
      <c r="CR256" s="1116" t="str">
        <f t="shared" si="977"/>
        <v/>
      </c>
      <c r="CS256" s="1115" t="str">
        <f t="shared" si="977"/>
        <v/>
      </c>
      <c r="CT256" s="1118" t="str">
        <f t="shared" si="977"/>
        <v/>
      </c>
      <c r="CU256" s="312" t="str">
        <f t="shared" si="901"/>
        <v/>
      </c>
      <c r="CV256" s="313" t="str">
        <f t="shared" si="902"/>
        <v/>
      </c>
      <c r="CW256" s="314" t="str">
        <f t="shared" si="903"/>
        <v/>
      </c>
      <c r="CX256" s="314" t="str">
        <f t="shared" si="904"/>
        <v/>
      </c>
      <c r="CY256" s="314" t="str">
        <f t="shared" si="905"/>
        <v/>
      </c>
      <c r="CZ256" s="314" t="str">
        <f t="shared" si="906"/>
        <v/>
      </c>
      <c r="DA256" s="314" t="str">
        <f t="shared" si="907"/>
        <v/>
      </c>
      <c r="DB256" s="315" t="str">
        <f t="shared" si="908"/>
        <v/>
      </c>
      <c r="DC256" s="315" t="str">
        <f t="shared" si="909"/>
        <v/>
      </c>
      <c r="DD256" s="315" t="str">
        <f t="shared" si="910"/>
        <v/>
      </c>
      <c r="DE256" s="314" t="str">
        <f t="shared" si="911"/>
        <v/>
      </c>
      <c r="DF256" s="314" t="str">
        <f t="shared" si="912"/>
        <v/>
      </c>
      <c r="DG256" s="314" t="str">
        <f t="shared" si="913"/>
        <v/>
      </c>
      <c r="DH256" s="314" t="str">
        <f t="shared" si="914"/>
        <v/>
      </c>
      <c r="DI256" s="314" t="str">
        <f t="shared" si="915"/>
        <v/>
      </c>
      <c r="DJ256" s="313" t="str">
        <f t="shared" si="916"/>
        <v/>
      </c>
      <c r="DK256" s="312" t="str">
        <f t="shared" si="917"/>
        <v/>
      </c>
      <c r="DL256" s="428">
        <f t="shared" si="918"/>
        <v>0</v>
      </c>
      <c r="DM256" s="66">
        <f t="shared" si="919"/>
        <v>0</v>
      </c>
      <c r="DN256" s="66">
        <f t="shared" si="920"/>
        <v>0</v>
      </c>
      <c r="DO256" s="66">
        <f t="shared" si="921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82"/>
        <v/>
      </c>
      <c r="CA257" s="373" t="str">
        <f t="shared" si="883"/>
        <v/>
      </c>
      <c r="CB257" s="373" t="str">
        <f t="shared" si="884"/>
        <v/>
      </c>
      <c r="CC257" s="462" t="str">
        <f t="shared" si="885"/>
        <v/>
      </c>
      <c r="CD257" s="1109" t="str">
        <f t="shared" ref="CD257:CD262" si="97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0" t="str">
        <f t="shared" si="977"/>
        <v/>
      </c>
      <c r="CF257" s="1111" t="str">
        <f t="shared" si="977"/>
        <v/>
      </c>
      <c r="CG257" s="1111" t="str">
        <f t="shared" si="977"/>
        <v/>
      </c>
      <c r="CH257" s="1111" t="str">
        <f t="shared" si="977"/>
        <v/>
      </c>
      <c r="CI257" s="1111" t="str">
        <f t="shared" si="977"/>
        <v/>
      </c>
      <c r="CJ257" s="1111" t="str">
        <f t="shared" si="977"/>
        <v/>
      </c>
      <c r="CK257" s="1112" t="str">
        <f t="shared" si="977"/>
        <v/>
      </c>
      <c r="CL257" s="1112" t="str">
        <f t="shared" si="977"/>
        <v/>
      </c>
      <c r="CM257" s="1112" t="str">
        <f t="shared" si="977"/>
        <v/>
      </c>
      <c r="CN257" s="1111" t="str">
        <f t="shared" si="977"/>
        <v/>
      </c>
      <c r="CO257" s="1111" t="str">
        <f t="shared" si="977"/>
        <v/>
      </c>
      <c r="CP257" s="1111" t="str">
        <f t="shared" si="977"/>
        <v/>
      </c>
      <c r="CQ257" s="1111" t="str">
        <f t="shared" si="977"/>
        <v/>
      </c>
      <c r="CR257" s="1111" t="str">
        <f t="shared" si="977"/>
        <v/>
      </c>
      <c r="CS257" s="1110" t="str">
        <f t="shared" si="977"/>
        <v/>
      </c>
      <c r="CT257" s="1113" t="str">
        <f t="shared" si="977"/>
        <v/>
      </c>
      <c r="CU257" s="324" t="str">
        <f t="shared" si="901"/>
        <v/>
      </c>
      <c r="CV257" s="325" t="str">
        <f t="shared" si="902"/>
        <v/>
      </c>
      <c r="CW257" s="326" t="str">
        <f t="shared" si="903"/>
        <v/>
      </c>
      <c r="CX257" s="326" t="str">
        <f t="shared" si="904"/>
        <v/>
      </c>
      <c r="CY257" s="326" t="str">
        <f t="shared" si="905"/>
        <v/>
      </c>
      <c r="CZ257" s="326" t="str">
        <f t="shared" si="906"/>
        <v/>
      </c>
      <c r="DA257" s="326" t="str">
        <f t="shared" si="907"/>
        <v/>
      </c>
      <c r="DB257" s="327" t="str">
        <f t="shared" si="908"/>
        <v/>
      </c>
      <c r="DC257" s="327" t="str">
        <f t="shared" si="909"/>
        <v/>
      </c>
      <c r="DD257" s="327" t="str">
        <f t="shared" si="910"/>
        <v/>
      </c>
      <c r="DE257" s="326" t="str">
        <f t="shared" si="911"/>
        <v/>
      </c>
      <c r="DF257" s="326" t="str">
        <f t="shared" si="912"/>
        <v/>
      </c>
      <c r="DG257" s="326" t="str">
        <f t="shared" si="913"/>
        <v/>
      </c>
      <c r="DH257" s="326" t="str">
        <f t="shared" si="914"/>
        <v/>
      </c>
      <c r="DI257" s="326" t="str">
        <f t="shared" si="915"/>
        <v/>
      </c>
      <c r="DJ257" s="325" t="str">
        <f t="shared" si="916"/>
        <v/>
      </c>
      <c r="DK257" s="324" t="str">
        <f t="shared" si="917"/>
        <v/>
      </c>
      <c r="DL257" s="428">
        <f t="shared" si="918"/>
        <v>0</v>
      </c>
      <c r="DM257" s="66">
        <f t="shared" si="919"/>
        <v>0</v>
      </c>
      <c r="DN257" s="66">
        <f t="shared" si="920"/>
        <v>0</v>
      </c>
      <c r="DO257" s="66">
        <f t="shared" si="921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79">3500*$K$1</f>
        <v>3500</v>
      </c>
      <c r="C258" s="476">
        <f t="shared" si="979"/>
        <v>3500</v>
      </c>
      <c r="D258" s="476">
        <f t="shared" si="979"/>
        <v>3500</v>
      </c>
      <c r="E258" s="476">
        <f t="shared" si="979"/>
        <v>3500</v>
      </c>
      <c r="F258" s="476">
        <f t="shared" si="979"/>
        <v>3500</v>
      </c>
      <c r="G258" s="476">
        <f t="shared" si="979"/>
        <v>3500</v>
      </c>
      <c r="H258" s="476">
        <f t="shared" si="979"/>
        <v>3500</v>
      </c>
      <c r="I258" s="476">
        <f t="shared" si="979"/>
        <v>3500</v>
      </c>
      <c r="J258" s="476">
        <f t="shared" si="979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980">3500*$K$1</f>
        <v>3500</v>
      </c>
      <c r="U258" s="476">
        <f t="shared" si="980"/>
        <v>3500</v>
      </c>
      <c r="V258" s="476">
        <f t="shared" si="980"/>
        <v>3500</v>
      </c>
      <c r="W258" s="476">
        <f t="shared" si="980"/>
        <v>3500</v>
      </c>
      <c r="X258" s="476">
        <f t="shared" si="980"/>
        <v>3500</v>
      </c>
      <c r="Y258" s="476">
        <f t="shared" si="980"/>
        <v>3500</v>
      </c>
      <c r="Z258" s="476">
        <f t="shared" si="980"/>
        <v>3500</v>
      </c>
      <c r="AA258" s="476">
        <f t="shared" si="980"/>
        <v>3500</v>
      </c>
      <c r="AB258" s="476">
        <f t="shared" si="980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981">3500*$K$1</f>
        <v>3500</v>
      </c>
      <c r="AM258" s="476">
        <f t="shared" si="981"/>
        <v>3500</v>
      </c>
      <c r="AN258" s="476">
        <f t="shared" si="981"/>
        <v>3500</v>
      </c>
      <c r="AO258" s="476">
        <f t="shared" si="981"/>
        <v>3500</v>
      </c>
      <c r="AP258" s="476">
        <f t="shared" si="981"/>
        <v>3500</v>
      </c>
      <c r="AQ258" s="476">
        <f t="shared" si="981"/>
        <v>3500</v>
      </c>
      <c r="AR258" s="476">
        <f t="shared" si="981"/>
        <v>3500</v>
      </c>
      <c r="AS258" s="476">
        <f t="shared" si="981"/>
        <v>3500</v>
      </c>
      <c r="AT258" s="476">
        <f t="shared" si="981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982">3500*$K$1</f>
        <v>3500</v>
      </c>
      <c r="BE258" s="476">
        <f t="shared" si="982"/>
        <v>3500</v>
      </c>
      <c r="BF258" s="476">
        <f t="shared" si="982"/>
        <v>3500</v>
      </c>
      <c r="BG258" s="476">
        <f t="shared" si="982"/>
        <v>3500</v>
      </c>
      <c r="BH258" s="476">
        <f t="shared" si="982"/>
        <v>3500</v>
      </c>
      <c r="BI258" s="476">
        <f t="shared" si="982"/>
        <v>3500</v>
      </c>
      <c r="BJ258" s="476">
        <f t="shared" si="982"/>
        <v>3500</v>
      </c>
      <c r="BK258" s="476">
        <f t="shared" si="982"/>
        <v>3500</v>
      </c>
      <c r="BL258" s="476">
        <f t="shared" si="982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82"/>
        <v>3500</v>
      </c>
      <c r="CA258" s="373">
        <f t="shared" si="883"/>
        <v>3500</v>
      </c>
      <c r="CB258" s="373">
        <f t="shared" si="884"/>
        <v>3500</v>
      </c>
      <c r="CC258" s="462">
        <f t="shared" si="885"/>
        <v>3500</v>
      </c>
      <c r="CD258" s="1109" t="str">
        <f t="shared" si="978"/>
        <v/>
      </c>
      <c r="CE258" s="1110" t="str">
        <f t="shared" si="977"/>
        <v/>
      </c>
      <c r="CF258" s="1111" t="str">
        <f t="shared" si="977"/>
        <v/>
      </c>
      <c r="CG258" s="1111" t="str">
        <f t="shared" si="977"/>
        <v/>
      </c>
      <c r="CH258" s="1111">
        <f t="shared" si="977"/>
        <v>3500</v>
      </c>
      <c r="CI258" s="1111">
        <f t="shared" si="977"/>
        <v>3500</v>
      </c>
      <c r="CJ258" s="1111">
        <f t="shared" si="977"/>
        <v>3500</v>
      </c>
      <c r="CK258" s="1112">
        <f t="shared" si="977"/>
        <v>3500</v>
      </c>
      <c r="CL258" s="1112">
        <f t="shared" si="977"/>
        <v>3500</v>
      </c>
      <c r="CM258" s="1112">
        <f t="shared" si="977"/>
        <v>3500</v>
      </c>
      <c r="CN258" s="1111">
        <f t="shared" si="977"/>
        <v>3500</v>
      </c>
      <c r="CO258" s="1111">
        <f t="shared" si="977"/>
        <v>3500</v>
      </c>
      <c r="CP258" s="1111">
        <f t="shared" si="977"/>
        <v>3500</v>
      </c>
      <c r="CQ258" s="1111" t="str">
        <f t="shared" si="977"/>
        <v/>
      </c>
      <c r="CR258" s="1111" t="str">
        <f t="shared" si="977"/>
        <v/>
      </c>
      <c r="CS258" s="1110" t="str">
        <f t="shared" si="977"/>
        <v/>
      </c>
      <c r="CT258" s="1113" t="str">
        <f t="shared" si="977"/>
        <v/>
      </c>
      <c r="CU258" s="324" t="str">
        <f t="shared" si="901"/>
        <v/>
      </c>
      <c r="CV258" s="325" t="str">
        <f t="shared" si="902"/>
        <v/>
      </c>
      <c r="CW258" s="326" t="str">
        <f t="shared" si="903"/>
        <v/>
      </c>
      <c r="CX258" s="326" t="str">
        <f t="shared" si="904"/>
        <v/>
      </c>
      <c r="CY258" s="326">
        <f t="shared" si="905"/>
        <v>3500</v>
      </c>
      <c r="CZ258" s="326">
        <f t="shared" si="906"/>
        <v>3500</v>
      </c>
      <c r="DA258" s="326">
        <f t="shared" si="907"/>
        <v>3500</v>
      </c>
      <c r="DB258" s="327">
        <f t="shared" si="908"/>
        <v>3500</v>
      </c>
      <c r="DC258" s="327">
        <f t="shared" si="909"/>
        <v>3500</v>
      </c>
      <c r="DD258" s="327">
        <f t="shared" si="910"/>
        <v>3500</v>
      </c>
      <c r="DE258" s="326">
        <f t="shared" si="911"/>
        <v>3500</v>
      </c>
      <c r="DF258" s="326">
        <f t="shared" si="912"/>
        <v>3500</v>
      </c>
      <c r="DG258" s="326">
        <f t="shared" si="913"/>
        <v>3500</v>
      </c>
      <c r="DH258" s="326" t="str">
        <f t="shared" si="914"/>
        <v/>
      </c>
      <c r="DI258" s="326" t="str">
        <f t="shared" si="915"/>
        <v/>
      </c>
      <c r="DJ258" s="325" t="str">
        <f t="shared" si="916"/>
        <v/>
      </c>
      <c r="DK258" s="324" t="str">
        <f t="shared" si="917"/>
        <v/>
      </c>
      <c r="DL258" s="428">
        <f t="shared" si="918"/>
        <v>9</v>
      </c>
      <c r="DM258" s="66">
        <f t="shared" si="919"/>
        <v>9</v>
      </c>
      <c r="DN258" s="66">
        <f t="shared" si="920"/>
        <v>9</v>
      </c>
      <c r="DO258" s="66">
        <f t="shared" si="921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82"/>
        <v/>
      </c>
      <c r="CA259" s="373" t="str">
        <f t="shared" si="883"/>
        <v/>
      </c>
      <c r="CB259" s="373" t="str">
        <f t="shared" si="884"/>
        <v/>
      </c>
      <c r="CC259" s="462" t="str">
        <f t="shared" si="885"/>
        <v/>
      </c>
      <c r="CD259" s="1109" t="str">
        <f t="shared" si="978"/>
        <v/>
      </c>
      <c r="CE259" s="1110" t="str">
        <f t="shared" si="977"/>
        <v/>
      </c>
      <c r="CF259" s="1111" t="str">
        <f t="shared" si="977"/>
        <v/>
      </c>
      <c r="CG259" s="1111" t="str">
        <f t="shared" si="977"/>
        <v/>
      </c>
      <c r="CH259" s="1111" t="str">
        <f t="shared" si="977"/>
        <v/>
      </c>
      <c r="CI259" s="1111" t="str">
        <f t="shared" si="977"/>
        <v/>
      </c>
      <c r="CJ259" s="1111" t="str">
        <f t="shared" si="977"/>
        <v/>
      </c>
      <c r="CK259" s="1112" t="str">
        <f t="shared" si="977"/>
        <v/>
      </c>
      <c r="CL259" s="1112" t="str">
        <f t="shared" si="977"/>
        <v/>
      </c>
      <c r="CM259" s="1112" t="str">
        <f t="shared" si="977"/>
        <v/>
      </c>
      <c r="CN259" s="1111" t="str">
        <f t="shared" si="977"/>
        <v/>
      </c>
      <c r="CO259" s="1111" t="str">
        <f t="shared" si="977"/>
        <v/>
      </c>
      <c r="CP259" s="1111" t="str">
        <f t="shared" si="977"/>
        <v/>
      </c>
      <c r="CQ259" s="1111" t="str">
        <f t="shared" si="977"/>
        <v/>
      </c>
      <c r="CR259" s="1111" t="str">
        <f t="shared" si="977"/>
        <v/>
      </c>
      <c r="CS259" s="1110" t="str">
        <f t="shared" si="977"/>
        <v/>
      </c>
      <c r="CT259" s="1113" t="str">
        <f t="shared" si="977"/>
        <v/>
      </c>
      <c r="CU259" s="324" t="str">
        <f t="shared" si="901"/>
        <v/>
      </c>
      <c r="CV259" s="325" t="str">
        <f t="shared" si="902"/>
        <v/>
      </c>
      <c r="CW259" s="326" t="str">
        <f t="shared" si="903"/>
        <v/>
      </c>
      <c r="CX259" s="326" t="str">
        <f t="shared" si="904"/>
        <v/>
      </c>
      <c r="CY259" s="326" t="str">
        <f t="shared" si="905"/>
        <v/>
      </c>
      <c r="CZ259" s="326" t="str">
        <f t="shared" si="906"/>
        <v/>
      </c>
      <c r="DA259" s="326" t="str">
        <f t="shared" si="907"/>
        <v/>
      </c>
      <c r="DB259" s="327" t="str">
        <f t="shared" si="908"/>
        <v/>
      </c>
      <c r="DC259" s="327" t="str">
        <f t="shared" si="909"/>
        <v/>
      </c>
      <c r="DD259" s="327" t="str">
        <f t="shared" si="910"/>
        <v/>
      </c>
      <c r="DE259" s="326" t="str">
        <f t="shared" si="911"/>
        <v/>
      </c>
      <c r="DF259" s="326" t="str">
        <f t="shared" si="912"/>
        <v/>
      </c>
      <c r="DG259" s="326" t="str">
        <f t="shared" si="913"/>
        <v/>
      </c>
      <c r="DH259" s="326" t="str">
        <f t="shared" si="914"/>
        <v/>
      </c>
      <c r="DI259" s="326" t="str">
        <f t="shared" si="915"/>
        <v/>
      </c>
      <c r="DJ259" s="325" t="str">
        <f t="shared" si="916"/>
        <v/>
      </c>
      <c r="DK259" s="324" t="str">
        <f t="shared" si="917"/>
        <v/>
      </c>
      <c r="DL259" s="428">
        <f t="shared" si="918"/>
        <v>0</v>
      </c>
      <c r="DM259" s="66">
        <f t="shared" si="919"/>
        <v>0</v>
      </c>
      <c r="DN259" s="66">
        <f t="shared" si="920"/>
        <v>0</v>
      </c>
      <c r="DO259" s="66">
        <f t="shared" si="921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82"/>
        <v/>
      </c>
      <c r="CA260" s="373" t="str">
        <f t="shared" si="883"/>
        <v/>
      </c>
      <c r="CB260" s="373" t="str">
        <f t="shared" si="884"/>
        <v/>
      </c>
      <c r="CC260" s="462" t="str">
        <f t="shared" si="885"/>
        <v/>
      </c>
      <c r="CD260" s="1109" t="str">
        <f t="shared" si="978"/>
        <v/>
      </c>
      <c r="CE260" s="1110" t="str">
        <f t="shared" si="977"/>
        <v/>
      </c>
      <c r="CF260" s="1111" t="str">
        <f t="shared" si="977"/>
        <v/>
      </c>
      <c r="CG260" s="1111" t="str">
        <f t="shared" si="977"/>
        <v/>
      </c>
      <c r="CH260" s="1111" t="str">
        <f t="shared" si="977"/>
        <v/>
      </c>
      <c r="CI260" s="1111" t="str">
        <f t="shared" si="977"/>
        <v/>
      </c>
      <c r="CJ260" s="1111" t="str">
        <f t="shared" si="977"/>
        <v/>
      </c>
      <c r="CK260" s="1112" t="str">
        <f t="shared" si="977"/>
        <v/>
      </c>
      <c r="CL260" s="1112" t="str">
        <f t="shared" si="977"/>
        <v/>
      </c>
      <c r="CM260" s="1112" t="str">
        <f t="shared" si="977"/>
        <v/>
      </c>
      <c r="CN260" s="1111" t="str">
        <f t="shared" si="977"/>
        <v/>
      </c>
      <c r="CO260" s="1111" t="str">
        <f t="shared" si="977"/>
        <v/>
      </c>
      <c r="CP260" s="1111" t="str">
        <f t="shared" si="977"/>
        <v/>
      </c>
      <c r="CQ260" s="1111" t="str">
        <f t="shared" si="977"/>
        <v/>
      </c>
      <c r="CR260" s="1111" t="str">
        <f t="shared" si="977"/>
        <v/>
      </c>
      <c r="CS260" s="1110" t="str">
        <f t="shared" si="977"/>
        <v/>
      </c>
      <c r="CT260" s="1113" t="str">
        <f t="shared" si="977"/>
        <v/>
      </c>
      <c r="CU260" s="324" t="str">
        <f t="shared" si="901"/>
        <v/>
      </c>
      <c r="CV260" s="325" t="str">
        <f t="shared" si="902"/>
        <v/>
      </c>
      <c r="CW260" s="326" t="str">
        <f t="shared" si="903"/>
        <v/>
      </c>
      <c r="CX260" s="326" t="str">
        <f t="shared" si="904"/>
        <v/>
      </c>
      <c r="CY260" s="326" t="str">
        <f t="shared" si="905"/>
        <v/>
      </c>
      <c r="CZ260" s="326" t="str">
        <f t="shared" si="906"/>
        <v/>
      </c>
      <c r="DA260" s="326" t="str">
        <f t="shared" si="907"/>
        <v/>
      </c>
      <c r="DB260" s="327" t="str">
        <f t="shared" si="908"/>
        <v/>
      </c>
      <c r="DC260" s="327" t="str">
        <f t="shared" si="909"/>
        <v/>
      </c>
      <c r="DD260" s="327" t="str">
        <f t="shared" si="910"/>
        <v/>
      </c>
      <c r="DE260" s="326" t="str">
        <f t="shared" si="911"/>
        <v/>
      </c>
      <c r="DF260" s="326" t="str">
        <f t="shared" si="912"/>
        <v/>
      </c>
      <c r="DG260" s="326" t="str">
        <f t="shared" si="913"/>
        <v/>
      </c>
      <c r="DH260" s="326" t="str">
        <f t="shared" si="914"/>
        <v/>
      </c>
      <c r="DI260" s="326" t="str">
        <f t="shared" si="915"/>
        <v/>
      </c>
      <c r="DJ260" s="325" t="str">
        <f t="shared" si="916"/>
        <v/>
      </c>
      <c r="DK260" s="324" t="str">
        <f t="shared" si="917"/>
        <v/>
      </c>
      <c r="DL260" s="428">
        <f t="shared" si="918"/>
        <v>0</v>
      </c>
      <c r="DM260" s="66">
        <f t="shared" si="919"/>
        <v>0</v>
      </c>
      <c r="DN260" s="66">
        <f t="shared" si="920"/>
        <v>0</v>
      </c>
      <c r="DO260" s="66">
        <f t="shared" si="921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83">IF(B259="","",B259*B260)</f>
        <v/>
      </c>
      <c r="C261" s="405" t="str">
        <f t="shared" si="983"/>
        <v/>
      </c>
      <c r="D261" s="405" t="str">
        <f t="shared" si="983"/>
        <v/>
      </c>
      <c r="E261" s="405" t="str">
        <f t="shared" si="983"/>
        <v/>
      </c>
      <c r="F261" s="405" t="str">
        <f t="shared" si="983"/>
        <v/>
      </c>
      <c r="G261" s="405" t="str">
        <f t="shared" si="983"/>
        <v/>
      </c>
      <c r="H261" s="405" t="str">
        <f t="shared" si="983"/>
        <v/>
      </c>
      <c r="I261" s="405" t="str">
        <f t="shared" si="983"/>
        <v/>
      </c>
      <c r="J261" s="405" t="str">
        <f t="shared" si="983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84">IF(T259="","",T259*T260)</f>
        <v/>
      </c>
      <c r="U261" s="405" t="str">
        <f t="shared" si="984"/>
        <v/>
      </c>
      <c r="V261" s="405" t="str">
        <f t="shared" si="984"/>
        <v/>
      </c>
      <c r="W261" s="405" t="str">
        <f t="shared" si="984"/>
        <v/>
      </c>
      <c r="X261" s="405" t="str">
        <f t="shared" si="984"/>
        <v/>
      </c>
      <c r="Y261" s="405" t="str">
        <f t="shared" si="984"/>
        <v/>
      </c>
      <c r="Z261" s="405" t="str">
        <f t="shared" si="984"/>
        <v/>
      </c>
      <c r="AA261" s="405" t="str">
        <f t="shared" si="984"/>
        <v/>
      </c>
      <c r="AB261" s="405" t="str">
        <f t="shared" si="984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985">IF(AL259="","",AL259*AL260)</f>
        <v/>
      </c>
      <c r="AM261" s="405" t="str">
        <f t="shared" si="985"/>
        <v/>
      </c>
      <c r="AN261" s="405" t="str">
        <f t="shared" si="985"/>
        <v/>
      </c>
      <c r="AO261" s="405" t="str">
        <f t="shared" si="985"/>
        <v/>
      </c>
      <c r="AP261" s="405" t="str">
        <f t="shared" si="985"/>
        <v/>
      </c>
      <c r="AQ261" s="405" t="str">
        <f t="shared" si="985"/>
        <v/>
      </c>
      <c r="AR261" s="405" t="str">
        <f t="shared" si="985"/>
        <v/>
      </c>
      <c r="AS261" s="405" t="str">
        <f t="shared" si="985"/>
        <v/>
      </c>
      <c r="AT261" s="405" t="str">
        <f t="shared" si="985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986">IF(BD259="","",BD259*BD260)</f>
        <v/>
      </c>
      <c r="BE261" s="405" t="str">
        <f t="shared" si="986"/>
        <v/>
      </c>
      <c r="BF261" s="405" t="str">
        <f t="shared" si="986"/>
        <v/>
      </c>
      <c r="BG261" s="405" t="str">
        <f t="shared" si="986"/>
        <v/>
      </c>
      <c r="BH261" s="405" t="str">
        <f t="shared" si="986"/>
        <v/>
      </c>
      <c r="BI261" s="405" t="str">
        <f t="shared" si="986"/>
        <v/>
      </c>
      <c r="BJ261" s="405" t="str">
        <f t="shared" si="986"/>
        <v/>
      </c>
      <c r="BK261" s="405" t="str">
        <f t="shared" si="986"/>
        <v/>
      </c>
      <c r="BL261" s="405" t="str">
        <f t="shared" si="986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82"/>
        <v/>
      </c>
      <c r="CA261" s="373" t="str">
        <f t="shared" si="883"/>
        <v/>
      </c>
      <c r="CB261" s="373" t="str">
        <f t="shared" si="884"/>
        <v/>
      </c>
      <c r="CC261" s="462" t="str">
        <f t="shared" si="885"/>
        <v/>
      </c>
      <c r="CD261" s="1109" t="str">
        <f t="shared" si="978"/>
        <v/>
      </c>
      <c r="CE261" s="1110" t="str">
        <f t="shared" si="977"/>
        <v/>
      </c>
      <c r="CF261" s="1111" t="str">
        <f t="shared" si="977"/>
        <v/>
      </c>
      <c r="CG261" s="1111" t="str">
        <f t="shared" si="977"/>
        <v/>
      </c>
      <c r="CH261" s="1111" t="str">
        <f t="shared" si="977"/>
        <v/>
      </c>
      <c r="CI261" s="1111" t="str">
        <f t="shared" si="977"/>
        <v/>
      </c>
      <c r="CJ261" s="1111" t="str">
        <f t="shared" si="977"/>
        <v/>
      </c>
      <c r="CK261" s="1112" t="str">
        <f t="shared" si="977"/>
        <v/>
      </c>
      <c r="CL261" s="1112" t="str">
        <f t="shared" si="977"/>
        <v/>
      </c>
      <c r="CM261" s="1112" t="str">
        <f t="shared" si="977"/>
        <v/>
      </c>
      <c r="CN261" s="1111" t="str">
        <f t="shared" si="977"/>
        <v/>
      </c>
      <c r="CO261" s="1111" t="str">
        <f t="shared" si="977"/>
        <v/>
      </c>
      <c r="CP261" s="1111" t="str">
        <f t="shared" si="977"/>
        <v/>
      </c>
      <c r="CQ261" s="1111" t="str">
        <f t="shared" si="977"/>
        <v/>
      </c>
      <c r="CR261" s="1111" t="str">
        <f t="shared" si="977"/>
        <v/>
      </c>
      <c r="CS261" s="1110" t="str">
        <f t="shared" si="977"/>
        <v/>
      </c>
      <c r="CT261" s="1113" t="str">
        <f t="shared" si="977"/>
        <v/>
      </c>
      <c r="CU261" s="324" t="str">
        <f t="shared" si="901"/>
        <v/>
      </c>
      <c r="CV261" s="325" t="str">
        <f t="shared" si="902"/>
        <v/>
      </c>
      <c r="CW261" s="326" t="str">
        <f t="shared" si="903"/>
        <v/>
      </c>
      <c r="CX261" s="326" t="str">
        <f t="shared" si="904"/>
        <v/>
      </c>
      <c r="CY261" s="326" t="str">
        <f t="shared" si="905"/>
        <v/>
      </c>
      <c r="CZ261" s="326" t="str">
        <f t="shared" si="906"/>
        <v/>
      </c>
      <c r="DA261" s="326" t="str">
        <f t="shared" si="907"/>
        <v/>
      </c>
      <c r="DB261" s="327" t="str">
        <f t="shared" si="908"/>
        <v/>
      </c>
      <c r="DC261" s="327" t="str">
        <f t="shared" si="909"/>
        <v/>
      </c>
      <c r="DD261" s="327" t="str">
        <f t="shared" si="910"/>
        <v/>
      </c>
      <c r="DE261" s="326" t="str">
        <f t="shared" si="911"/>
        <v/>
      </c>
      <c r="DF261" s="326" t="str">
        <f t="shared" si="912"/>
        <v/>
      </c>
      <c r="DG261" s="326" t="str">
        <f t="shared" si="913"/>
        <v/>
      </c>
      <c r="DH261" s="326" t="str">
        <f t="shared" si="914"/>
        <v/>
      </c>
      <c r="DI261" s="326" t="str">
        <f t="shared" si="915"/>
        <v/>
      </c>
      <c r="DJ261" s="325" t="str">
        <f t="shared" si="916"/>
        <v/>
      </c>
      <c r="DK261" s="324" t="str">
        <f t="shared" si="917"/>
        <v/>
      </c>
      <c r="DL261" s="428">
        <f t="shared" si="918"/>
        <v>0</v>
      </c>
      <c r="DM261" s="66">
        <f t="shared" si="919"/>
        <v>0</v>
      </c>
      <c r="DN261" s="66">
        <f t="shared" si="920"/>
        <v>0</v>
      </c>
      <c r="DO261" s="66">
        <f t="shared" si="921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82"/>
        <v/>
      </c>
      <c r="CA262" s="373" t="str">
        <f t="shared" si="883"/>
        <v/>
      </c>
      <c r="CB262" s="373" t="str">
        <f t="shared" si="884"/>
        <v/>
      </c>
      <c r="CC262" s="462" t="str">
        <f t="shared" si="885"/>
        <v/>
      </c>
      <c r="CD262" s="1109" t="str">
        <f t="shared" si="978"/>
        <v/>
      </c>
      <c r="CE262" s="1110" t="str">
        <f t="shared" si="977"/>
        <v/>
      </c>
      <c r="CF262" s="1111" t="str">
        <f t="shared" si="977"/>
        <v/>
      </c>
      <c r="CG262" s="1111" t="str">
        <f t="shared" si="977"/>
        <v/>
      </c>
      <c r="CH262" s="1111" t="str">
        <f t="shared" si="977"/>
        <v/>
      </c>
      <c r="CI262" s="1111" t="str">
        <f t="shared" si="977"/>
        <v/>
      </c>
      <c r="CJ262" s="1111" t="str">
        <f t="shared" si="977"/>
        <v/>
      </c>
      <c r="CK262" s="1112" t="str">
        <f t="shared" si="977"/>
        <v/>
      </c>
      <c r="CL262" s="1112" t="str">
        <f t="shared" si="977"/>
        <v/>
      </c>
      <c r="CM262" s="1112" t="str">
        <f t="shared" si="977"/>
        <v/>
      </c>
      <c r="CN262" s="1111" t="str">
        <f t="shared" si="977"/>
        <v/>
      </c>
      <c r="CO262" s="1111" t="str">
        <f t="shared" si="977"/>
        <v/>
      </c>
      <c r="CP262" s="1111" t="str">
        <f t="shared" si="977"/>
        <v/>
      </c>
      <c r="CQ262" s="1111" t="str">
        <f t="shared" si="977"/>
        <v/>
      </c>
      <c r="CR262" s="1111" t="str">
        <f t="shared" si="977"/>
        <v/>
      </c>
      <c r="CS262" s="1110" t="str">
        <f t="shared" si="977"/>
        <v/>
      </c>
      <c r="CT262" s="1113" t="str">
        <f t="shared" si="977"/>
        <v/>
      </c>
      <c r="CU262" s="324" t="str">
        <f t="shared" si="901"/>
        <v/>
      </c>
      <c r="CV262" s="325" t="str">
        <f t="shared" si="902"/>
        <v/>
      </c>
      <c r="CW262" s="326" t="str">
        <f t="shared" si="903"/>
        <v/>
      </c>
      <c r="CX262" s="326" t="str">
        <f t="shared" si="904"/>
        <v/>
      </c>
      <c r="CY262" s="326" t="str">
        <f t="shared" si="905"/>
        <v/>
      </c>
      <c r="CZ262" s="326" t="str">
        <f t="shared" si="906"/>
        <v/>
      </c>
      <c r="DA262" s="326" t="str">
        <f t="shared" si="907"/>
        <v/>
      </c>
      <c r="DB262" s="327" t="str">
        <f t="shared" si="908"/>
        <v/>
      </c>
      <c r="DC262" s="327" t="str">
        <f t="shared" si="909"/>
        <v/>
      </c>
      <c r="DD262" s="327" t="str">
        <f t="shared" si="910"/>
        <v/>
      </c>
      <c r="DE262" s="326" t="str">
        <f t="shared" si="911"/>
        <v/>
      </c>
      <c r="DF262" s="326" t="str">
        <f t="shared" si="912"/>
        <v/>
      </c>
      <c r="DG262" s="326" t="str">
        <f t="shared" si="913"/>
        <v/>
      </c>
      <c r="DH262" s="326" t="str">
        <f t="shared" si="914"/>
        <v/>
      </c>
      <c r="DI262" s="326" t="str">
        <f t="shared" si="915"/>
        <v/>
      </c>
      <c r="DJ262" s="325" t="str">
        <f t="shared" si="916"/>
        <v/>
      </c>
      <c r="DK262" s="324" t="str">
        <f t="shared" si="917"/>
        <v/>
      </c>
      <c r="DL262" s="428">
        <f t="shared" si="918"/>
        <v>0</v>
      </c>
      <c r="DM262" s="66">
        <f t="shared" si="919"/>
        <v>0</v>
      </c>
      <c r="DN262" s="66">
        <f t="shared" si="920"/>
        <v>0</v>
      </c>
      <c r="DO262" s="66">
        <f t="shared" si="921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987">IF(B257="","",(B257-B259-B262)*B258/B$46/365/$G$1)</f>
        <v/>
      </c>
      <c r="C263" s="408" t="str">
        <f t="shared" si="987"/>
        <v/>
      </c>
      <c r="D263" s="408" t="str">
        <f t="shared" si="987"/>
        <v/>
      </c>
      <c r="E263" s="408" t="str">
        <f t="shared" si="987"/>
        <v/>
      </c>
      <c r="F263" s="408" t="str">
        <f t="shared" si="987"/>
        <v/>
      </c>
      <c r="G263" s="408" t="str">
        <f t="shared" si="987"/>
        <v/>
      </c>
      <c r="H263" s="408" t="str">
        <f t="shared" si="987"/>
        <v/>
      </c>
      <c r="I263" s="408" t="str">
        <f t="shared" si="987"/>
        <v/>
      </c>
      <c r="J263" s="408" t="str">
        <f t="shared" si="987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988">IF(T257="","",(T257-T259-T262)*T258/T$46/365/$G$1)</f>
        <v/>
      </c>
      <c r="U263" s="408" t="str">
        <f t="shared" si="988"/>
        <v/>
      </c>
      <c r="V263" s="408" t="str">
        <f t="shared" si="988"/>
        <v/>
      </c>
      <c r="W263" s="408" t="str">
        <f t="shared" si="988"/>
        <v/>
      </c>
      <c r="X263" s="408" t="str">
        <f t="shared" si="988"/>
        <v/>
      </c>
      <c r="Y263" s="408" t="str">
        <f t="shared" si="988"/>
        <v/>
      </c>
      <c r="Z263" s="408" t="str">
        <f t="shared" si="988"/>
        <v/>
      </c>
      <c r="AA263" s="408" t="str">
        <f t="shared" si="988"/>
        <v/>
      </c>
      <c r="AB263" s="408" t="str">
        <f t="shared" si="988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989">IF(AL257="","",(AL257-AL259-AL262)*AL258/AL$46/365/$G$1)</f>
        <v/>
      </c>
      <c r="AM263" s="408" t="str">
        <f t="shared" si="989"/>
        <v/>
      </c>
      <c r="AN263" s="408" t="str">
        <f t="shared" si="989"/>
        <v/>
      </c>
      <c r="AO263" s="408" t="str">
        <f t="shared" si="989"/>
        <v/>
      </c>
      <c r="AP263" s="408" t="str">
        <f t="shared" si="989"/>
        <v/>
      </c>
      <c r="AQ263" s="408" t="str">
        <f t="shared" si="989"/>
        <v/>
      </c>
      <c r="AR263" s="408" t="str">
        <f t="shared" si="989"/>
        <v/>
      </c>
      <c r="AS263" s="408" t="str">
        <f t="shared" si="989"/>
        <v/>
      </c>
      <c r="AT263" s="408" t="str">
        <f t="shared" si="989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990">IF(BD257="","",(BD257-BD259-BD262)*BD258/BD$46/365/$G$1)</f>
        <v/>
      </c>
      <c r="BE263" s="408" t="str">
        <f t="shared" si="990"/>
        <v/>
      </c>
      <c r="BF263" s="408" t="str">
        <f t="shared" si="990"/>
        <v/>
      </c>
      <c r="BG263" s="408" t="str">
        <f t="shared" si="990"/>
        <v/>
      </c>
      <c r="BH263" s="408" t="str">
        <f t="shared" si="990"/>
        <v/>
      </c>
      <c r="BI263" s="408" t="str">
        <f t="shared" si="990"/>
        <v/>
      </c>
      <c r="BJ263" s="408" t="str">
        <f t="shared" si="990"/>
        <v/>
      </c>
      <c r="BK263" s="408" t="str">
        <f t="shared" si="990"/>
        <v/>
      </c>
      <c r="BL263" s="408" t="str">
        <f t="shared" si="990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82"/>
        <v/>
      </c>
      <c r="CA263" s="398" t="str">
        <f t="shared" si="883"/>
        <v/>
      </c>
      <c r="CB263" s="398" t="str">
        <f t="shared" si="884"/>
        <v/>
      </c>
      <c r="CC263" s="465" t="str">
        <f t="shared" si="885"/>
        <v/>
      </c>
      <c r="CD263" s="111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5" t="str">
        <f t="shared" ref="CE263:CT269" si="99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6" t="str">
        <f t="shared" si="991"/>
        <v/>
      </c>
      <c r="CG263" s="1116" t="str">
        <f t="shared" si="991"/>
        <v/>
      </c>
      <c r="CH263" s="1116" t="str">
        <f t="shared" si="991"/>
        <v/>
      </c>
      <c r="CI263" s="1116" t="str">
        <f t="shared" si="991"/>
        <v/>
      </c>
      <c r="CJ263" s="1116" t="str">
        <f t="shared" si="991"/>
        <v/>
      </c>
      <c r="CK263" s="1117" t="str">
        <f t="shared" si="991"/>
        <v/>
      </c>
      <c r="CL263" s="1117" t="str">
        <f t="shared" si="991"/>
        <v/>
      </c>
      <c r="CM263" s="1117" t="str">
        <f t="shared" si="991"/>
        <v/>
      </c>
      <c r="CN263" s="1116" t="str">
        <f t="shared" si="991"/>
        <v/>
      </c>
      <c r="CO263" s="1116" t="str">
        <f t="shared" si="991"/>
        <v/>
      </c>
      <c r="CP263" s="1116" t="str">
        <f t="shared" si="991"/>
        <v/>
      </c>
      <c r="CQ263" s="1116" t="str">
        <f t="shared" si="991"/>
        <v/>
      </c>
      <c r="CR263" s="1116" t="str">
        <f t="shared" si="991"/>
        <v/>
      </c>
      <c r="CS263" s="1115" t="str">
        <f t="shared" si="991"/>
        <v/>
      </c>
      <c r="CT263" s="1118" t="str">
        <f t="shared" si="991"/>
        <v/>
      </c>
      <c r="CU263" s="312" t="str">
        <f t="shared" si="901"/>
        <v/>
      </c>
      <c r="CV263" s="313" t="str">
        <f t="shared" si="902"/>
        <v/>
      </c>
      <c r="CW263" s="314" t="str">
        <f t="shared" si="903"/>
        <v/>
      </c>
      <c r="CX263" s="314" t="str">
        <f t="shared" si="904"/>
        <v/>
      </c>
      <c r="CY263" s="314" t="str">
        <f t="shared" si="905"/>
        <v/>
      </c>
      <c r="CZ263" s="314" t="str">
        <f t="shared" si="906"/>
        <v/>
      </c>
      <c r="DA263" s="314" t="str">
        <f t="shared" si="907"/>
        <v/>
      </c>
      <c r="DB263" s="315" t="str">
        <f t="shared" si="908"/>
        <v/>
      </c>
      <c r="DC263" s="315" t="str">
        <f t="shared" si="909"/>
        <v/>
      </c>
      <c r="DD263" s="315" t="str">
        <f t="shared" si="910"/>
        <v/>
      </c>
      <c r="DE263" s="314" t="str">
        <f t="shared" si="911"/>
        <v/>
      </c>
      <c r="DF263" s="314" t="str">
        <f t="shared" si="912"/>
        <v/>
      </c>
      <c r="DG263" s="314" t="str">
        <f t="shared" si="913"/>
        <v/>
      </c>
      <c r="DH263" s="314" t="str">
        <f t="shared" si="914"/>
        <v/>
      </c>
      <c r="DI263" s="314" t="str">
        <f t="shared" si="915"/>
        <v/>
      </c>
      <c r="DJ263" s="313" t="str">
        <f t="shared" si="916"/>
        <v/>
      </c>
      <c r="DK263" s="312" t="str">
        <f t="shared" si="917"/>
        <v/>
      </c>
      <c r="DL263" s="428">
        <f t="shared" si="918"/>
        <v>0</v>
      </c>
      <c r="DM263" s="66">
        <f t="shared" si="919"/>
        <v>0</v>
      </c>
      <c r="DN263" s="66">
        <f t="shared" si="920"/>
        <v>0</v>
      </c>
      <c r="DO263" s="66">
        <f t="shared" si="921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882"/>
        <v/>
      </c>
      <c r="CA264" s="373" t="str">
        <f t="shared" si="883"/>
        <v/>
      </c>
      <c r="CB264" s="373" t="str">
        <f t="shared" si="884"/>
        <v/>
      </c>
      <c r="CC264" s="462">
        <f t="shared" si="885"/>
        <v>316.66666666666669</v>
      </c>
      <c r="CD264" s="1109" t="str">
        <f t="shared" ref="CD264:CD269" si="99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0" t="str">
        <f t="shared" si="991"/>
        <v/>
      </c>
      <c r="CF264" s="1111" t="str">
        <f t="shared" si="991"/>
        <v/>
      </c>
      <c r="CG264" s="1111" t="str">
        <f t="shared" si="991"/>
        <v/>
      </c>
      <c r="CH264" s="1111" t="str">
        <f t="shared" si="991"/>
        <v/>
      </c>
      <c r="CI264" s="1111" t="str">
        <f t="shared" si="991"/>
        <v/>
      </c>
      <c r="CJ264" s="1111" t="str">
        <f t="shared" si="991"/>
        <v/>
      </c>
      <c r="CK264" s="1112" t="str">
        <f t="shared" si="991"/>
        <v/>
      </c>
      <c r="CL264" s="1112">
        <f t="shared" si="991"/>
        <v>50</v>
      </c>
      <c r="CM264" s="1112">
        <f t="shared" si="991"/>
        <v>70</v>
      </c>
      <c r="CN264" s="1111" t="str">
        <f t="shared" si="991"/>
        <v/>
      </c>
      <c r="CO264" s="1111" t="str">
        <f t="shared" si="991"/>
        <v/>
      </c>
      <c r="CP264" s="1111" t="str">
        <f t="shared" si="991"/>
        <v/>
      </c>
      <c r="CQ264" s="1111" t="str">
        <f t="shared" si="991"/>
        <v/>
      </c>
      <c r="CR264" s="1111" t="str">
        <f t="shared" si="991"/>
        <v/>
      </c>
      <c r="CS264" s="1110" t="str">
        <f t="shared" si="991"/>
        <v/>
      </c>
      <c r="CT264" s="1113" t="str">
        <f t="shared" si="991"/>
        <v/>
      </c>
      <c r="CU264" s="324" t="str">
        <f t="shared" si="901"/>
        <v/>
      </c>
      <c r="CV264" s="325" t="str">
        <f t="shared" si="902"/>
        <v/>
      </c>
      <c r="CW264" s="326" t="str">
        <f t="shared" si="903"/>
        <v/>
      </c>
      <c r="CX264" s="326" t="str">
        <f t="shared" si="904"/>
        <v/>
      </c>
      <c r="CY264" s="326" t="str">
        <f t="shared" si="905"/>
        <v/>
      </c>
      <c r="CZ264" s="326" t="str">
        <f t="shared" si="906"/>
        <v/>
      </c>
      <c r="DA264" s="326" t="str">
        <f t="shared" si="907"/>
        <v/>
      </c>
      <c r="DB264" s="327" t="str">
        <f t="shared" si="908"/>
        <v/>
      </c>
      <c r="DC264" s="327" t="str">
        <f t="shared" si="909"/>
        <v/>
      </c>
      <c r="DD264" s="327" t="str">
        <f t="shared" si="910"/>
        <v/>
      </c>
      <c r="DE264" s="326" t="str">
        <f t="shared" si="911"/>
        <v/>
      </c>
      <c r="DF264" s="326" t="str">
        <f t="shared" si="912"/>
        <v/>
      </c>
      <c r="DG264" s="326" t="str">
        <f t="shared" si="913"/>
        <v/>
      </c>
      <c r="DH264" s="326" t="str">
        <f t="shared" si="914"/>
        <v/>
      </c>
      <c r="DI264" s="326" t="str">
        <f t="shared" si="915"/>
        <v/>
      </c>
      <c r="DJ264" s="325" t="str">
        <f t="shared" si="916"/>
        <v/>
      </c>
      <c r="DK264" s="324" t="str">
        <f t="shared" si="917"/>
        <v/>
      </c>
      <c r="DL264" s="428">
        <f t="shared" si="918"/>
        <v>2</v>
      </c>
      <c r="DM264" s="66">
        <f t="shared" si="919"/>
        <v>0</v>
      </c>
      <c r="DN264" s="66">
        <f t="shared" si="920"/>
        <v>2</v>
      </c>
      <c r="DO264" s="66">
        <f t="shared" si="921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82"/>
        <v>3820</v>
      </c>
      <c r="CA265" s="373">
        <f t="shared" si="883"/>
        <v>3820</v>
      </c>
      <c r="CB265" s="373">
        <f t="shared" si="884"/>
        <v>3820</v>
      </c>
      <c r="CC265" s="462">
        <f t="shared" si="885"/>
        <v>3820</v>
      </c>
      <c r="CD265" s="1109" t="str">
        <f t="shared" si="992"/>
        <v/>
      </c>
      <c r="CE265" s="1110" t="str">
        <f t="shared" si="991"/>
        <v/>
      </c>
      <c r="CF265" s="1111" t="str">
        <f t="shared" si="991"/>
        <v/>
      </c>
      <c r="CG265" s="1111" t="str">
        <f t="shared" si="991"/>
        <v/>
      </c>
      <c r="CH265" s="1111">
        <f t="shared" si="991"/>
        <v>3820</v>
      </c>
      <c r="CI265" s="1111">
        <f t="shared" si="991"/>
        <v>3820</v>
      </c>
      <c r="CJ265" s="1111">
        <f t="shared" si="991"/>
        <v>3820</v>
      </c>
      <c r="CK265" s="1112">
        <f t="shared" si="991"/>
        <v>3820</v>
      </c>
      <c r="CL265" s="1112">
        <f t="shared" si="991"/>
        <v>3820</v>
      </c>
      <c r="CM265" s="1112">
        <f t="shared" si="991"/>
        <v>3820</v>
      </c>
      <c r="CN265" s="1111">
        <f t="shared" si="991"/>
        <v>3820</v>
      </c>
      <c r="CO265" s="1111">
        <f t="shared" si="991"/>
        <v>3820</v>
      </c>
      <c r="CP265" s="1111">
        <f t="shared" si="991"/>
        <v>3820</v>
      </c>
      <c r="CQ265" s="1111" t="str">
        <f t="shared" si="991"/>
        <v/>
      </c>
      <c r="CR265" s="1111" t="str">
        <f t="shared" si="991"/>
        <v/>
      </c>
      <c r="CS265" s="1110" t="str">
        <f t="shared" si="991"/>
        <v/>
      </c>
      <c r="CT265" s="1113" t="str">
        <f t="shared" si="991"/>
        <v/>
      </c>
      <c r="CU265" s="324" t="str">
        <f t="shared" si="901"/>
        <v/>
      </c>
      <c r="CV265" s="325" t="str">
        <f t="shared" si="902"/>
        <v/>
      </c>
      <c r="CW265" s="326" t="str">
        <f t="shared" si="903"/>
        <v/>
      </c>
      <c r="CX265" s="326" t="str">
        <f t="shared" si="904"/>
        <v/>
      </c>
      <c r="CY265" s="326">
        <f t="shared" si="905"/>
        <v>3820</v>
      </c>
      <c r="CZ265" s="326">
        <f t="shared" si="906"/>
        <v>3820</v>
      </c>
      <c r="DA265" s="326">
        <f t="shared" si="907"/>
        <v>3820</v>
      </c>
      <c r="DB265" s="327">
        <f t="shared" si="908"/>
        <v>3820</v>
      </c>
      <c r="DC265" s="327">
        <f t="shared" si="909"/>
        <v>3820</v>
      </c>
      <c r="DD265" s="327">
        <f t="shared" si="910"/>
        <v>3820</v>
      </c>
      <c r="DE265" s="326">
        <f t="shared" si="911"/>
        <v>3820</v>
      </c>
      <c r="DF265" s="326">
        <f t="shared" si="912"/>
        <v>3820</v>
      </c>
      <c r="DG265" s="326">
        <f t="shared" si="913"/>
        <v>3820</v>
      </c>
      <c r="DH265" s="326" t="str">
        <f t="shared" si="914"/>
        <v/>
      </c>
      <c r="DI265" s="326" t="str">
        <f t="shared" si="915"/>
        <v/>
      </c>
      <c r="DJ265" s="325" t="str">
        <f t="shared" si="916"/>
        <v/>
      </c>
      <c r="DK265" s="324" t="str">
        <f t="shared" si="917"/>
        <v/>
      </c>
      <c r="DL265" s="428">
        <f t="shared" si="918"/>
        <v>9</v>
      </c>
      <c r="DM265" s="66">
        <f t="shared" si="919"/>
        <v>9</v>
      </c>
      <c r="DN265" s="66">
        <f t="shared" si="920"/>
        <v>9</v>
      </c>
      <c r="DO265" s="66">
        <f t="shared" si="921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82"/>
        <v/>
      </c>
      <c r="CA266" s="373" t="str">
        <f t="shared" si="883"/>
        <v/>
      </c>
      <c r="CB266" s="373" t="str">
        <f t="shared" si="884"/>
        <v/>
      </c>
      <c r="CC266" s="462">
        <f t="shared" si="885"/>
        <v>250</v>
      </c>
      <c r="CD266" s="1109" t="str">
        <f t="shared" si="992"/>
        <v/>
      </c>
      <c r="CE266" s="1110" t="str">
        <f t="shared" si="991"/>
        <v/>
      </c>
      <c r="CF266" s="1111" t="str">
        <f t="shared" si="991"/>
        <v/>
      </c>
      <c r="CG266" s="1111" t="str">
        <f t="shared" si="991"/>
        <v/>
      </c>
      <c r="CH266" s="1111" t="str">
        <f t="shared" si="991"/>
        <v/>
      </c>
      <c r="CI266" s="1111" t="str">
        <f t="shared" si="991"/>
        <v/>
      </c>
      <c r="CJ266" s="1111" t="str">
        <f t="shared" si="991"/>
        <v/>
      </c>
      <c r="CK266" s="1112" t="str">
        <f t="shared" si="991"/>
        <v/>
      </c>
      <c r="CL266" s="1112">
        <f t="shared" si="991"/>
        <v>70</v>
      </c>
      <c r="CM266" s="1112" t="str">
        <f t="shared" si="991"/>
        <v/>
      </c>
      <c r="CN266" s="1111" t="str">
        <f t="shared" si="991"/>
        <v/>
      </c>
      <c r="CO266" s="1111" t="str">
        <f t="shared" si="991"/>
        <v/>
      </c>
      <c r="CP266" s="1111" t="str">
        <f t="shared" si="991"/>
        <v/>
      </c>
      <c r="CQ266" s="1111" t="str">
        <f t="shared" si="991"/>
        <v/>
      </c>
      <c r="CR266" s="1111" t="str">
        <f t="shared" si="991"/>
        <v/>
      </c>
      <c r="CS266" s="1110" t="str">
        <f t="shared" si="991"/>
        <v/>
      </c>
      <c r="CT266" s="1113" t="str">
        <f t="shared" si="991"/>
        <v/>
      </c>
      <c r="CU266" s="324" t="str">
        <f t="shared" si="901"/>
        <v/>
      </c>
      <c r="CV266" s="325" t="str">
        <f t="shared" si="902"/>
        <v/>
      </c>
      <c r="CW266" s="326" t="str">
        <f t="shared" si="903"/>
        <v/>
      </c>
      <c r="CX266" s="326" t="str">
        <f t="shared" si="904"/>
        <v/>
      </c>
      <c r="CY266" s="326" t="str">
        <f t="shared" si="905"/>
        <v/>
      </c>
      <c r="CZ266" s="326" t="str">
        <f t="shared" si="906"/>
        <v/>
      </c>
      <c r="DA266" s="326" t="str">
        <f t="shared" si="907"/>
        <v/>
      </c>
      <c r="DB266" s="327" t="str">
        <f t="shared" si="908"/>
        <v/>
      </c>
      <c r="DC266" s="327" t="str">
        <f t="shared" si="909"/>
        <v/>
      </c>
      <c r="DD266" s="327" t="str">
        <f t="shared" si="910"/>
        <v/>
      </c>
      <c r="DE266" s="326" t="str">
        <f t="shared" si="911"/>
        <v/>
      </c>
      <c r="DF266" s="326" t="str">
        <f t="shared" si="912"/>
        <v/>
      </c>
      <c r="DG266" s="326" t="str">
        <f t="shared" si="913"/>
        <v/>
      </c>
      <c r="DH266" s="326" t="str">
        <f t="shared" si="914"/>
        <v/>
      </c>
      <c r="DI266" s="326" t="str">
        <f t="shared" si="915"/>
        <v/>
      </c>
      <c r="DJ266" s="325" t="str">
        <f t="shared" si="916"/>
        <v/>
      </c>
      <c r="DK266" s="324" t="str">
        <f t="shared" si="917"/>
        <v/>
      </c>
      <c r="DL266" s="428">
        <f t="shared" si="918"/>
        <v>1</v>
      </c>
      <c r="DM266" s="66">
        <f t="shared" si="919"/>
        <v>0</v>
      </c>
      <c r="DN266" s="66">
        <f t="shared" si="920"/>
        <v>1</v>
      </c>
      <c r="DO266" s="66">
        <f t="shared" si="921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82"/>
        <v/>
      </c>
      <c r="CA267" s="373" t="str">
        <f t="shared" si="883"/>
        <v/>
      </c>
      <c r="CB267" s="373" t="str">
        <f t="shared" si="884"/>
        <v/>
      </c>
      <c r="CC267" s="462">
        <f t="shared" si="885"/>
        <v>2.6666666666666665</v>
      </c>
      <c r="CD267" s="1109" t="str">
        <f t="shared" si="992"/>
        <v/>
      </c>
      <c r="CE267" s="1110" t="str">
        <f t="shared" si="991"/>
        <v/>
      </c>
      <c r="CF267" s="1111" t="str">
        <f t="shared" si="991"/>
        <v/>
      </c>
      <c r="CG267" s="1111" t="str">
        <f t="shared" si="991"/>
        <v/>
      </c>
      <c r="CH267" s="1111" t="str">
        <f t="shared" si="991"/>
        <v/>
      </c>
      <c r="CI267" s="1111" t="str">
        <f t="shared" si="991"/>
        <v/>
      </c>
      <c r="CJ267" s="1111" t="str">
        <f t="shared" si="991"/>
        <v/>
      </c>
      <c r="CK267" s="1112" t="str">
        <f t="shared" si="991"/>
        <v/>
      </c>
      <c r="CL267" s="1112">
        <f t="shared" si="991"/>
        <v>10</v>
      </c>
      <c r="CM267" s="1112" t="str">
        <f t="shared" si="991"/>
        <v/>
      </c>
      <c r="CN267" s="1111" t="str">
        <f t="shared" si="991"/>
        <v/>
      </c>
      <c r="CO267" s="1111" t="str">
        <f t="shared" si="991"/>
        <v/>
      </c>
      <c r="CP267" s="1111" t="str">
        <f t="shared" si="991"/>
        <v/>
      </c>
      <c r="CQ267" s="1111" t="str">
        <f t="shared" si="991"/>
        <v/>
      </c>
      <c r="CR267" s="1111" t="str">
        <f t="shared" si="991"/>
        <v/>
      </c>
      <c r="CS267" s="1110" t="str">
        <f t="shared" si="991"/>
        <v/>
      </c>
      <c r="CT267" s="1113" t="str">
        <f t="shared" si="991"/>
        <v/>
      </c>
      <c r="CU267" s="324" t="str">
        <f t="shared" si="901"/>
        <v/>
      </c>
      <c r="CV267" s="325" t="str">
        <f t="shared" si="902"/>
        <v/>
      </c>
      <c r="CW267" s="326" t="str">
        <f t="shared" si="903"/>
        <v/>
      </c>
      <c r="CX267" s="326" t="str">
        <f t="shared" si="904"/>
        <v/>
      </c>
      <c r="CY267" s="326" t="str">
        <f t="shared" si="905"/>
        <v/>
      </c>
      <c r="CZ267" s="326" t="str">
        <f t="shared" si="906"/>
        <v/>
      </c>
      <c r="DA267" s="326" t="str">
        <f t="shared" si="907"/>
        <v/>
      </c>
      <c r="DB267" s="327" t="str">
        <f t="shared" si="908"/>
        <v/>
      </c>
      <c r="DC267" s="327" t="str">
        <f t="shared" si="909"/>
        <v/>
      </c>
      <c r="DD267" s="327" t="str">
        <f t="shared" si="910"/>
        <v/>
      </c>
      <c r="DE267" s="326" t="str">
        <f t="shared" si="911"/>
        <v/>
      </c>
      <c r="DF267" s="326" t="str">
        <f t="shared" si="912"/>
        <v/>
      </c>
      <c r="DG267" s="326" t="str">
        <f t="shared" si="913"/>
        <v/>
      </c>
      <c r="DH267" s="326" t="str">
        <f t="shared" si="914"/>
        <v/>
      </c>
      <c r="DI267" s="326" t="str">
        <f t="shared" si="915"/>
        <v/>
      </c>
      <c r="DJ267" s="325" t="str">
        <f t="shared" si="916"/>
        <v/>
      </c>
      <c r="DK267" s="324" t="str">
        <f t="shared" si="917"/>
        <v/>
      </c>
      <c r="DL267" s="428">
        <f t="shared" si="918"/>
        <v>1</v>
      </c>
      <c r="DM267" s="66">
        <f t="shared" si="919"/>
        <v>0</v>
      </c>
      <c r="DN267" s="66">
        <f t="shared" si="920"/>
        <v>1</v>
      </c>
      <c r="DO267" s="66">
        <f t="shared" si="921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993">IF(B266="","",B266*B267)</f>
        <v>700</v>
      </c>
      <c r="C268" s="405" t="str">
        <f t="shared" si="993"/>
        <v/>
      </c>
      <c r="D268" s="405" t="str">
        <f t="shared" si="993"/>
        <v/>
      </c>
      <c r="E268" s="405" t="str">
        <f t="shared" si="993"/>
        <v/>
      </c>
      <c r="F268" s="405" t="str">
        <f t="shared" si="993"/>
        <v/>
      </c>
      <c r="G268" s="405" t="str">
        <f t="shared" si="993"/>
        <v/>
      </c>
      <c r="H268" s="405" t="str">
        <f t="shared" si="993"/>
        <v/>
      </c>
      <c r="I268" s="405" t="str">
        <f t="shared" si="993"/>
        <v/>
      </c>
      <c r="J268" s="405" t="str">
        <f t="shared" si="993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994">IF(T266="","",T266*T267)</f>
        <v/>
      </c>
      <c r="U268" s="405" t="str">
        <f t="shared" si="994"/>
        <v/>
      </c>
      <c r="V268" s="405" t="str">
        <f t="shared" si="994"/>
        <v/>
      </c>
      <c r="W268" s="405" t="str">
        <f t="shared" si="994"/>
        <v/>
      </c>
      <c r="X268" s="405" t="str">
        <f t="shared" si="994"/>
        <v/>
      </c>
      <c r="Y268" s="405" t="str">
        <f t="shared" si="994"/>
        <v/>
      </c>
      <c r="Z268" s="405" t="str">
        <f t="shared" si="994"/>
        <v/>
      </c>
      <c r="AA268" s="405" t="str">
        <f t="shared" si="994"/>
        <v/>
      </c>
      <c r="AB268" s="405" t="str">
        <f t="shared" si="994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995">IF(AL266="","",AL266*AL267)</f>
        <v>1250</v>
      </c>
      <c r="AM268" s="405" t="str">
        <f t="shared" si="995"/>
        <v/>
      </c>
      <c r="AN268" s="405" t="str">
        <f t="shared" si="995"/>
        <v/>
      </c>
      <c r="AO268" s="405" t="str">
        <f t="shared" si="995"/>
        <v/>
      </c>
      <c r="AP268" s="405" t="str">
        <f t="shared" si="995"/>
        <v/>
      </c>
      <c r="AQ268" s="405" t="str">
        <f t="shared" si="995"/>
        <v/>
      </c>
      <c r="AR268" s="405" t="str">
        <f t="shared" si="995"/>
        <v/>
      </c>
      <c r="AS268" s="405" t="str">
        <f t="shared" si="995"/>
        <v/>
      </c>
      <c r="AT268" s="405" t="str">
        <f t="shared" si="995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996">IF(BD266="","",BD266*BD267)</f>
        <v>900</v>
      </c>
      <c r="BE268" s="405">
        <f t="shared" si="996"/>
        <v>750</v>
      </c>
      <c r="BF268" s="405">
        <f t="shared" si="996"/>
        <v>2000</v>
      </c>
      <c r="BG268" s="405" t="str">
        <f t="shared" si="996"/>
        <v/>
      </c>
      <c r="BH268" s="405">
        <f t="shared" si="996"/>
        <v>150</v>
      </c>
      <c r="BI268" s="405" t="str">
        <f t="shared" si="996"/>
        <v/>
      </c>
      <c r="BJ268" s="405">
        <f t="shared" si="996"/>
        <v>400</v>
      </c>
      <c r="BK268" s="405" t="str">
        <f t="shared" si="996"/>
        <v/>
      </c>
      <c r="BL268" s="405" t="str">
        <f t="shared" si="996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82"/>
        <v/>
      </c>
      <c r="CA268" s="373" t="str">
        <f t="shared" si="883"/>
        <v/>
      </c>
      <c r="CB268" s="373" t="str">
        <f t="shared" si="884"/>
        <v/>
      </c>
      <c r="CC268" s="462">
        <f t="shared" si="885"/>
        <v>683.33333333333337</v>
      </c>
      <c r="CD268" s="1109" t="str">
        <f t="shared" si="992"/>
        <v/>
      </c>
      <c r="CE268" s="1110" t="str">
        <f t="shared" si="991"/>
        <v/>
      </c>
      <c r="CF268" s="1111" t="str">
        <f t="shared" si="991"/>
        <v/>
      </c>
      <c r="CG268" s="1111" t="str">
        <f t="shared" si="991"/>
        <v/>
      </c>
      <c r="CH268" s="1111" t="str">
        <f t="shared" si="991"/>
        <v/>
      </c>
      <c r="CI268" s="1111" t="str">
        <f t="shared" si="991"/>
        <v/>
      </c>
      <c r="CJ268" s="1111" t="str">
        <f t="shared" si="991"/>
        <v/>
      </c>
      <c r="CK268" s="1112" t="str">
        <f t="shared" si="991"/>
        <v/>
      </c>
      <c r="CL268" s="1112">
        <f t="shared" si="991"/>
        <v>700</v>
      </c>
      <c r="CM268" s="1112" t="str">
        <f t="shared" si="991"/>
        <v/>
      </c>
      <c r="CN268" s="1111" t="str">
        <f t="shared" si="991"/>
        <v/>
      </c>
      <c r="CO268" s="1111" t="str">
        <f t="shared" si="991"/>
        <v/>
      </c>
      <c r="CP268" s="1111" t="str">
        <f t="shared" si="991"/>
        <v/>
      </c>
      <c r="CQ268" s="1111" t="str">
        <f t="shared" si="991"/>
        <v/>
      </c>
      <c r="CR268" s="1111" t="str">
        <f t="shared" si="991"/>
        <v/>
      </c>
      <c r="CS268" s="1110" t="str">
        <f t="shared" si="991"/>
        <v/>
      </c>
      <c r="CT268" s="1113" t="str">
        <f t="shared" si="991"/>
        <v/>
      </c>
      <c r="CU268" s="324" t="str">
        <f t="shared" si="901"/>
        <v/>
      </c>
      <c r="CV268" s="325" t="str">
        <f t="shared" si="902"/>
        <v/>
      </c>
      <c r="CW268" s="326" t="str">
        <f t="shared" si="903"/>
        <v/>
      </c>
      <c r="CX268" s="326" t="str">
        <f t="shared" si="904"/>
        <v/>
      </c>
      <c r="CY268" s="326" t="str">
        <f t="shared" si="905"/>
        <v/>
      </c>
      <c r="CZ268" s="326" t="str">
        <f t="shared" si="906"/>
        <v/>
      </c>
      <c r="DA268" s="326" t="str">
        <f t="shared" si="907"/>
        <v/>
      </c>
      <c r="DB268" s="327" t="str">
        <f t="shared" si="908"/>
        <v/>
      </c>
      <c r="DC268" s="327" t="str">
        <f t="shared" si="909"/>
        <v/>
      </c>
      <c r="DD268" s="327" t="str">
        <f t="shared" si="910"/>
        <v/>
      </c>
      <c r="DE268" s="326" t="str">
        <f t="shared" si="911"/>
        <v/>
      </c>
      <c r="DF268" s="326" t="str">
        <f t="shared" si="912"/>
        <v/>
      </c>
      <c r="DG268" s="326" t="str">
        <f t="shared" si="913"/>
        <v/>
      </c>
      <c r="DH268" s="326" t="str">
        <f t="shared" si="914"/>
        <v/>
      </c>
      <c r="DI268" s="326" t="str">
        <f t="shared" si="915"/>
        <v/>
      </c>
      <c r="DJ268" s="325" t="str">
        <f t="shared" si="916"/>
        <v/>
      </c>
      <c r="DK268" s="324" t="str">
        <f t="shared" si="917"/>
        <v/>
      </c>
      <c r="DL268" s="428">
        <f t="shared" si="918"/>
        <v>1</v>
      </c>
      <c r="DM268" s="66">
        <f t="shared" si="919"/>
        <v>0</v>
      </c>
      <c r="DN268" s="66">
        <f t="shared" si="920"/>
        <v>1</v>
      </c>
      <c r="DO268" s="66">
        <f t="shared" si="921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82"/>
        <v/>
      </c>
      <c r="CA269" s="373" t="str">
        <f t="shared" si="883"/>
        <v/>
      </c>
      <c r="CB269" s="373" t="str">
        <f t="shared" si="884"/>
        <v/>
      </c>
      <c r="CC269" s="462" t="str">
        <f t="shared" si="885"/>
        <v/>
      </c>
      <c r="CD269" s="1109" t="str">
        <f t="shared" si="992"/>
        <v/>
      </c>
      <c r="CE269" s="1110" t="str">
        <f t="shared" si="991"/>
        <v/>
      </c>
      <c r="CF269" s="1111" t="str">
        <f t="shared" si="991"/>
        <v/>
      </c>
      <c r="CG269" s="1111" t="str">
        <f t="shared" si="991"/>
        <v/>
      </c>
      <c r="CH269" s="1111" t="str">
        <f t="shared" si="991"/>
        <v/>
      </c>
      <c r="CI269" s="1111" t="str">
        <f t="shared" si="991"/>
        <v/>
      </c>
      <c r="CJ269" s="1111" t="str">
        <f t="shared" si="991"/>
        <v/>
      </c>
      <c r="CK269" s="1112" t="str">
        <f t="shared" si="991"/>
        <v/>
      </c>
      <c r="CL269" s="1112" t="str">
        <f t="shared" si="991"/>
        <v/>
      </c>
      <c r="CM269" s="1112" t="str">
        <f t="shared" si="991"/>
        <v/>
      </c>
      <c r="CN269" s="1111" t="str">
        <f t="shared" si="991"/>
        <v/>
      </c>
      <c r="CO269" s="1111" t="str">
        <f t="shared" si="991"/>
        <v/>
      </c>
      <c r="CP269" s="1111" t="str">
        <f t="shared" si="991"/>
        <v/>
      </c>
      <c r="CQ269" s="1111" t="str">
        <f t="shared" si="991"/>
        <v/>
      </c>
      <c r="CR269" s="1111" t="str">
        <f t="shared" si="991"/>
        <v/>
      </c>
      <c r="CS269" s="1110" t="str">
        <f t="shared" si="991"/>
        <v/>
      </c>
      <c r="CT269" s="1113" t="str">
        <f t="shared" si="991"/>
        <v/>
      </c>
      <c r="CU269" s="324" t="str">
        <f t="shared" si="901"/>
        <v/>
      </c>
      <c r="CV269" s="325" t="str">
        <f t="shared" si="902"/>
        <v/>
      </c>
      <c r="CW269" s="326" t="str">
        <f t="shared" si="903"/>
        <v/>
      </c>
      <c r="CX269" s="326" t="str">
        <f t="shared" si="904"/>
        <v/>
      </c>
      <c r="CY269" s="326" t="str">
        <f t="shared" si="905"/>
        <v/>
      </c>
      <c r="CZ269" s="326" t="str">
        <f t="shared" si="906"/>
        <v/>
      </c>
      <c r="DA269" s="326" t="str">
        <f t="shared" si="907"/>
        <v/>
      </c>
      <c r="DB269" s="327" t="str">
        <f t="shared" si="908"/>
        <v/>
      </c>
      <c r="DC269" s="327" t="str">
        <f t="shared" si="909"/>
        <v/>
      </c>
      <c r="DD269" s="327" t="str">
        <f t="shared" si="910"/>
        <v/>
      </c>
      <c r="DE269" s="326" t="str">
        <f t="shared" si="911"/>
        <v/>
      </c>
      <c r="DF269" s="326" t="str">
        <f t="shared" si="912"/>
        <v/>
      </c>
      <c r="DG269" s="326" t="str">
        <f t="shared" si="913"/>
        <v/>
      </c>
      <c r="DH269" s="326" t="str">
        <f t="shared" si="914"/>
        <v/>
      </c>
      <c r="DI269" s="326" t="str">
        <f t="shared" si="915"/>
        <v/>
      </c>
      <c r="DJ269" s="325" t="str">
        <f t="shared" si="916"/>
        <v/>
      </c>
      <c r="DK269" s="324" t="str">
        <f t="shared" si="917"/>
        <v/>
      </c>
      <c r="DL269" s="428">
        <f t="shared" si="918"/>
        <v>0</v>
      </c>
      <c r="DM269" s="66">
        <f t="shared" si="919"/>
        <v>0</v>
      </c>
      <c r="DN269" s="66">
        <f t="shared" si="920"/>
        <v>1</v>
      </c>
      <c r="DO269" s="66">
        <f t="shared" si="921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997">IF(B264="","",(B264-B266-B269)*B265/B$46/365/$G$1)</f>
        <v>0</v>
      </c>
      <c r="C270" s="408">
        <f t="shared" si="997"/>
        <v>3.5597800764141277E-2</v>
      </c>
      <c r="D270" s="408" t="str">
        <f t="shared" si="997"/>
        <v/>
      </c>
      <c r="E270" s="408" t="str">
        <f t="shared" si="997"/>
        <v/>
      </c>
      <c r="F270" s="408" t="str">
        <f t="shared" si="997"/>
        <v/>
      </c>
      <c r="G270" s="408" t="str">
        <f t="shared" si="997"/>
        <v/>
      </c>
      <c r="H270" s="408" t="str">
        <f t="shared" si="997"/>
        <v/>
      </c>
      <c r="I270" s="408" t="str">
        <f t="shared" si="997"/>
        <v/>
      </c>
      <c r="J270" s="408" t="str">
        <f t="shared" si="997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998">IF(T264="","",(T264-T266-T269)*T265/T$46/365/$G$1)</f>
        <v/>
      </c>
      <c r="U270" s="408" t="str">
        <f t="shared" si="998"/>
        <v/>
      </c>
      <c r="V270" s="408" t="str">
        <f t="shared" si="998"/>
        <v/>
      </c>
      <c r="W270" s="408" t="str">
        <f t="shared" si="998"/>
        <v/>
      </c>
      <c r="X270" s="408" t="str">
        <f t="shared" si="998"/>
        <v/>
      </c>
      <c r="Y270" s="408" t="str">
        <f t="shared" si="998"/>
        <v/>
      </c>
      <c r="Z270" s="408" t="str">
        <f t="shared" si="998"/>
        <v/>
      </c>
      <c r="AA270" s="408" t="str">
        <f t="shared" si="998"/>
        <v/>
      </c>
      <c r="AB270" s="408" t="str">
        <f t="shared" si="998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999">IF(AL264="","",(AL264-AL266-AL269)*AL265/AL$46/365/$G$1)</f>
        <v>4.5079760422226167E-2</v>
      </c>
      <c r="AM270" s="408" t="str">
        <f t="shared" si="999"/>
        <v/>
      </c>
      <c r="AN270" s="408" t="str">
        <f t="shared" si="999"/>
        <v/>
      </c>
      <c r="AO270" s="408" t="str">
        <f t="shared" si="999"/>
        <v/>
      </c>
      <c r="AP270" s="408" t="str">
        <f t="shared" si="999"/>
        <v/>
      </c>
      <c r="AQ270" s="408" t="str">
        <f t="shared" si="999"/>
        <v/>
      </c>
      <c r="AR270" s="408" t="str">
        <f t="shared" si="999"/>
        <v/>
      </c>
      <c r="AS270" s="408" t="str">
        <f t="shared" si="999"/>
        <v/>
      </c>
      <c r="AT270" s="408">
        <f t="shared" si="999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1000">IF(BD264="","",(BD264-BD266-BD269)*BD265/BD$46/365/$G$1)</f>
        <v>4.5683844313981294E-2</v>
      </c>
      <c r="BE270" s="408">
        <f t="shared" si="1000"/>
        <v>0</v>
      </c>
      <c r="BF270" s="408">
        <f t="shared" si="1000"/>
        <v>0</v>
      </c>
      <c r="BG270" s="408" t="str">
        <f t="shared" si="1000"/>
        <v/>
      </c>
      <c r="BH270" s="408">
        <f t="shared" si="1000"/>
        <v>2.4918460534898889E-2</v>
      </c>
      <c r="BI270" s="408" t="str">
        <f t="shared" si="1000"/>
        <v/>
      </c>
      <c r="BJ270" s="408">
        <f t="shared" si="1000"/>
        <v>2.4918460534898889E-2</v>
      </c>
      <c r="BK270" s="408" t="str">
        <f t="shared" si="1000"/>
        <v/>
      </c>
      <c r="BL270" s="408" t="str">
        <f t="shared" si="1000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82"/>
        <v/>
      </c>
      <c r="CA270" s="398" t="str">
        <f t="shared" si="883"/>
        <v/>
      </c>
      <c r="CB270" s="398" t="str">
        <f t="shared" si="884"/>
        <v/>
      </c>
      <c r="CC270" s="465">
        <f t="shared" si="885"/>
        <v>1.6612307023265927E-2</v>
      </c>
      <c r="CD270" s="111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5" t="str">
        <f t="shared" ref="CE270:CT276" si="10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6" t="str">
        <f t="shared" si="1001"/>
        <v/>
      </c>
      <c r="CG270" s="1116" t="str">
        <f t="shared" si="1001"/>
        <v/>
      </c>
      <c r="CH270" s="1116" t="str">
        <f t="shared" si="1001"/>
        <v/>
      </c>
      <c r="CI270" s="1116" t="str">
        <f t="shared" si="1001"/>
        <v/>
      </c>
      <c r="CJ270" s="1116" t="str">
        <f t="shared" si="1001"/>
        <v/>
      </c>
      <c r="CK270" s="1117" t="str">
        <f t="shared" si="1001"/>
        <v/>
      </c>
      <c r="CL270" s="1117">
        <f t="shared" si="1001"/>
        <v>0</v>
      </c>
      <c r="CM270" s="1117">
        <f t="shared" si="1001"/>
        <v>3.5597800764141277E-2</v>
      </c>
      <c r="CN270" s="1116" t="str">
        <f t="shared" si="1001"/>
        <v/>
      </c>
      <c r="CO270" s="1116" t="str">
        <f t="shared" si="1001"/>
        <v/>
      </c>
      <c r="CP270" s="1116" t="str">
        <f t="shared" si="1001"/>
        <v/>
      </c>
      <c r="CQ270" s="1116" t="str">
        <f t="shared" si="1001"/>
        <v/>
      </c>
      <c r="CR270" s="1116" t="str">
        <f t="shared" si="1001"/>
        <v/>
      </c>
      <c r="CS270" s="1115" t="str">
        <f t="shared" si="1001"/>
        <v/>
      </c>
      <c r="CT270" s="1118" t="str">
        <f t="shared" si="1001"/>
        <v/>
      </c>
      <c r="CU270" s="312" t="str">
        <f t="shared" si="901"/>
        <v/>
      </c>
      <c r="CV270" s="313" t="str">
        <f t="shared" si="902"/>
        <v/>
      </c>
      <c r="CW270" s="314" t="str">
        <f t="shared" si="903"/>
        <v/>
      </c>
      <c r="CX270" s="314" t="str">
        <f t="shared" si="904"/>
        <v/>
      </c>
      <c r="CY270" s="314" t="str">
        <f t="shared" si="905"/>
        <v/>
      </c>
      <c r="CZ270" s="314" t="str">
        <f t="shared" si="906"/>
        <v/>
      </c>
      <c r="DA270" s="314" t="str">
        <f t="shared" si="907"/>
        <v/>
      </c>
      <c r="DB270" s="315" t="str">
        <f t="shared" si="908"/>
        <v/>
      </c>
      <c r="DC270" s="315" t="str">
        <f t="shared" si="909"/>
        <v/>
      </c>
      <c r="DD270" s="315" t="str">
        <f t="shared" si="910"/>
        <v/>
      </c>
      <c r="DE270" s="314" t="str">
        <f t="shared" si="911"/>
        <v/>
      </c>
      <c r="DF270" s="314" t="str">
        <f t="shared" si="912"/>
        <v/>
      </c>
      <c r="DG270" s="314" t="str">
        <f t="shared" si="913"/>
        <v/>
      </c>
      <c r="DH270" s="314" t="str">
        <f t="shared" si="914"/>
        <v/>
      </c>
      <c r="DI270" s="314" t="str">
        <f t="shared" si="915"/>
        <v/>
      </c>
      <c r="DJ270" s="313" t="str">
        <f t="shared" si="916"/>
        <v/>
      </c>
      <c r="DK270" s="312" t="str">
        <f t="shared" si="917"/>
        <v/>
      </c>
      <c r="DL270" s="428">
        <f t="shared" si="918"/>
        <v>2</v>
      </c>
      <c r="DM270" s="66">
        <f t="shared" si="919"/>
        <v>0</v>
      </c>
      <c r="DN270" s="66">
        <f t="shared" si="920"/>
        <v>2</v>
      </c>
      <c r="DO270" s="66">
        <f t="shared" si="921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82"/>
        <v>43.571428571428569</v>
      </c>
      <c r="CA271" s="373">
        <f t="shared" si="883"/>
        <v>60</v>
      </c>
      <c r="CB271" s="373">
        <f t="shared" si="884"/>
        <v>340</v>
      </c>
      <c r="CC271" s="462">
        <f t="shared" si="885"/>
        <v>416.66666666666669</v>
      </c>
      <c r="CD271" s="1109" t="str">
        <f t="shared" ref="CD271:CD276" si="10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0" t="str">
        <f t="shared" si="1001"/>
        <v/>
      </c>
      <c r="CF271" s="1111" t="str">
        <f t="shared" si="1001"/>
        <v/>
      </c>
      <c r="CG271" s="1111" t="str">
        <f t="shared" si="1001"/>
        <v/>
      </c>
      <c r="CH271" s="1111">
        <f t="shared" si="1001"/>
        <v>1</v>
      </c>
      <c r="CI271" s="1111">
        <f t="shared" si="1001"/>
        <v>10</v>
      </c>
      <c r="CJ271" s="1111">
        <f t="shared" si="1001"/>
        <v>10</v>
      </c>
      <c r="CK271" s="1112">
        <f t="shared" si="1001"/>
        <v>15</v>
      </c>
      <c r="CL271" s="1112">
        <f t="shared" si="1001"/>
        <v>20</v>
      </c>
      <c r="CM271" s="1112">
        <f t="shared" si="1001"/>
        <v>40</v>
      </c>
      <c r="CN271" s="1111">
        <f t="shared" si="1001"/>
        <v>60</v>
      </c>
      <c r="CO271" s="1111">
        <f t="shared" si="1001"/>
        <v>150</v>
      </c>
      <c r="CP271" s="1111">
        <f t="shared" si="1001"/>
        <v>200</v>
      </c>
      <c r="CQ271" s="1111" t="str">
        <f t="shared" si="1001"/>
        <v/>
      </c>
      <c r="CR271" s="1111" t="str">
        <f t="shared" si="1001"/>
        <v/>
      </c>
      <c r="CS271" s="1110" t="str">
        <f t="shared" si="1001"/>
        <v/>
      </c>
      <c r="CT271" s="1113" t="str">
        <f t="shared" si="1001"/>
        <v/>
      </c>
      <c r="CU271" s="324" t="str">
        <f t="shared" si="901"/>
        <v/>
      </c>
      <c r="CV271" s="325" t="str">
        <f t="shared" si="902"/>
        <v/>
      </c>
      <c r="CW271" s="326" t="str">
        <f t="shared" si="903"/>
        <v/>
      </c>
      <c r="CX271" s="326" t="str">
        <f t="shared" si="904"/>
        <v/>
      </c>
      <c r="CY271" s="326">
        <f t="shared" si="905"/>
        <v>20</v>
      </c>
      <c r="CZ271" s="326">
        <f t="shared" si="906"/>
        <v>40</v>
      </c>
      <c r="DA271" s="326">
        <f t="shared" si="907"/>
        <v>40</v>
      </c>
      <c r="DB271" s="327">
        <f t="shared" si="908"/>
        <v>60</v>
      </c>
      <c r="DC271" s="327">
        <f t="shared" si="909"/>
        <v>60</v>
      </c>
      <c r="DD271" s="327">
        <f t="shared" si="910"/>
        <v>60</v>
      </c>
      <c r="DE271" s="326">
        <f t="shared" si="911"/>
        <v>80</v>
      </c>
      <c r="DF271" s="326">
        <f t="shared" si="912"/>
        <v>80</v>
      </c>
      <c r="DG271" s="326">
        <f t="shared" si="913"/>
        <v>360</v>
      </c>
      <c r="DH271" s="326" t="str">
        <f t="shared" si="914"/>
        <v/>
      </c>
      <c r="DI271" s="326" t="str">
        <f t="shared" si="915"/>
        <v/>
      </c>
      <c r="DJ271" s="325" t="str">
        <f t="shared" si="916"/>
        <v/>
      </c>
      <c r="DK271" s="324" t="str">
        <f t="shared" si="917"/>
        <v/>
      </c>
      <c r="DL271" s="428">
        <f t="shared" si="918"/>
        <v>9</v>
      </c>
      <c r="DM271" s="66">
        <f t="shared" si="919"/>
        <v>9</v>
      </c>
      <c r="DN271" s="66">
        <f t="shared" si="920"/>
        <v>9</v>
      </c>
      <c r="DO271" s="66">
        <f t="shared" si="921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1003">3390*$K$1</f>
        <v>3390</v>
      </c>
      <c r="C272" s="476">
        <f t="shared" si="1003"/>
        <v>3390</v>
      </c>
      <c r="D272" s="476">
        <f t="shared" si="1003"/>
        <v>3390</v>
      </c>
      <c r="E272" s="476">
        <f t="shared" si="1003"/>
        <v>3390</v>
      </c>
      <c r="F272" s="476">
        <f t="shared" si="1003"/>
        <v>3390</v>
      </c>
      <c r="G272" s="476">
        <f t="shared" si="1003"/>
        <v>3390</v>
      </c>
      <c r="H272" s="476">
        <f t="shared" si="1003"/>
        <v>3390</v>
      </c>
      <c r="I272" s="476">
        <f t="shared" si="1003"/>
        <v>3390</v>
      </c>
      <c r="J272" s="476">
        <f t="shared" si="1003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1004">3390*$K$1</f>
        <v>3390</v>
      </c>
      <c r="U272" s="476">
        <f t="shared" si="1004"/>
        <v>3390</v>
      </c>
      <c r="V272" s="476">
        <f t="shared" si="1004"/>
        <v>3390</v>
      </c>
      <c r="W272" s="476">
        <f t="shared" si="1004"/>
        <v>3390</v>
      </c>
      <c r="X272" s="476">
        <f t="shared" si="1004"/>
        <v>3390</v>
      </c>
      <c r="Y272" s="476">
        <f t="shared" si="1004"/>
        <v>3390</v>
      </c>
      <c r="Z272" s="476">
        <f t="shared" si="1004"/>
        <v>3390</v>
      </c>
      <c r="AA272" s="476">
        <f t="shared" si="1004"/>
        <v>3390</v>
      </c>
      <c r="AB272" s="476">
        <f t="shared" si="1004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1005">3390*$K$1</f>
        <v>3390</v>
      </c>
      <c r="AM272" s="476">
        <f t="shared" si="1005"/>
        <v>3390</v>
      </c>
      <c r="AN272" s="476">
        <f t="shared" si="1005"/>
        <v>3390</v>
      </c>
      <c r="AO272" s="476">
        <f t="shared" si="1005"/>
        <v>3390</v>
      </c>
      <c r="AP272" s="476">
        <f t="shared" si="1005"/>
        <v>3390</v>
      </c>
      <c r="AQ272" s="476">
        <f t="shared" si="1005"/>
        <v>3390</v>
      </c>
      <c r="AR272" s="476">
        <f t="shared" si="1005"/>
        <v>3390</v>
      </c>
      <c r="AS272" s="476">
        <f t="shared" si="1005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1006">3390*$K$1</f>
        <v>3390</v>
      </c>
      <c r="BE272" s="476">
        <f t="shared" si="1006"/>
        <v>3390</v>
      </c>
      <c r="BF272" s="476">
        <f t="shared" si="1006"/>
        <v>3390</v>
      </c>
      <c r="BG272" s="476">
        <f t="shared" si="1006"/>
        <v>3390</v>
      </c>
      <c r="BH272" s="476">
        <f t="shared" si="1006"/>
        <v>3390</v>
      </c>
      <c r="BI272" s="476">
        <f t="shared" si="1006"/>
        <v>3390</v>
      </c>
      <c r="BJ272" s="476">
        <v>3390</v>
      </c>
      <c r="BK272" s="476">
        <f t="shared" si="1006"/>
        <v>3390</v>
      </c>
      <c r="BL272" s="476">
        <f t="shared" si="1006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82"/>
        <v>3390</v>
      </c>
      <c r="CA272" s="373">
        <f t="shared" si="883"/>
        <v>3390</v>
      </c>
      <c r="CB272" s="373">
        <f t="shared" si="884"/>
        <v>3390</v>
      </c>
      <c r="CC272" s="462">
        <f t="shared" si="885"/>
        <v>3390</v>
      </c>
      <c r="CD272" s="1109" t="str">
        <f t="shared" si="1002"/>
        <v/>
      </c>
      <c r="CE272" s="1110" t="str">
        <f t="shared" si="1001"/>
        <v/>
      </c>
      <c r="CF272" s="1111" t="str">
        <f t="shared" si="1001"/>
        <v/>
      </c>
      <c r="CG272" s="1111" t="str">
        <f t="shared" si="1001"/>
        <v/>
      </c>
      <c r="CH272" s="1111">
        <f t="shared" si="1001"/>
        <v>3390</v>
      </c>
      <c r="CI272" s="1111">
        <f t="shared" si="1001"/>
        <v>3390</v>
      </c>
      <c r="CJ272" s="1111">
        <f t="shared" si="1001"/>
        <v>3390</v>
      </c>
      <c r="CK272" s="1112">
        <f t="shared" si="1001"/>
        <v>3390</v>
      </c>
      <c r="CL272" s="1112">
        <f t="shared" si="1001"/>
        <v>3390</v>
      </c>
      <c r="CM272" s="1112">
        <f t="shared" si="1001"/>
        <v>3390</v>
      </c>
      <c r="CN272" s="1111">
        <f t="shared" si="1001"/>
        <v>3390</v>
      </c>
      <c r="CO272" s="1111">
        <f t="shared" si="1001"/>
        <v>3390</v>
      </c>
      <c r="CP272" s="1111">
        <f t="shared" si="1001"/>
        <v>3390</v>
      </c>
      <c r="CQ272" s="1111" t="str">
        <f t="shared" si="1001"/>
        <v/>
      </c>
      <c r="CR272" s="1111" t="str">
        <f t="shared" si="1001"/>
        <v/>
      </c>
      <c r="CS272" s="1110" t="str">
        <f t="shared" si="1001"/>
        <v/>
      </c>
      <c r="CT272" s="1113" t="str">
        <f t="shared" si="1001"/>
        <v/>
      </c>
      <c r="CU272" s="324" t="str">
        <f t="shared" si="901"/>
        <v/>
      </c>
      <c r="CV272" s="325" t="str">
        <f t="shared" si="902"/>
        <v/>
      </c>
      <c r="CW272" s="326" t="str">
        <f t="shared" si="903"/>
        <v/>
      </c>
      <c r="CX272" s="326" t="str">
        <f t="shared" si="904"/>
        <v/>
      </c>
      <c r="CY272" s="326">
        <f t="shared" si="905"/>
        <v>3390</v>
      </c>
      <c r="CZ272" s="326">
        <f t="shared" si="906"/>
        <v>3390</v>
      </c>
      <c r="DA272" s="326">
        <f t="shared" si="907"/>
        <v>3390</v>
      </c>
      <c r="DB272" s="327">
        <f t="shared" si="908"/>
        <v>3390</v>
      </c>
      <c r="DC272" s="327">
        <f t="shared" si="909"/>
        <v>3390</v>
      </c>
      <c r="DD272" s="327">
        <f t="shared" si="910"/>
        <v>3390</v>
      </c>
      <c r="DE272" s="326">
        <f t="shared" si="911"/>
        <v>3390</v>
      </c>
      <c r="DF272" s="326">
        <f t="shared" si="912"/>
        <v>3390</v>
      </c>
      <c r="DG272" s="326">
        <f t="shared" si="913"/>
        <v>3390</v>
      </c>
      <c r="DH272" s="326" t="str">
        <f t="shared" si="914"/>
        <v/>
      </c>
      <c r="DI272" s="326" t="str">
        <f t="shared" si="915"/>
        <v/>
      </c>
      <c r="DJ272" s="325" t="str">
        <f t="shared" si="916"/>
        <v/>
      </c>
      <c r="DK272" s="324" t="str">
        <f t="shared" si="917"/>
        <v/>
      </c>
      <c r="DL272" s="428">
        <f t="shared" si="918"/>
        <v>9</v>
      </c>
      <c r="DM272" s="66">
        <f t="shared" si="919"/>
        <v>9</v>
      </c>
      <c r="DN272" s="66">
        <f t="shared" si="920"/>
        <v>9</v>
      </c>
      <c r="DO272" s="66">
        <f t="shared" si="921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82"/>
        <v/>
      </c>
      <c r="CA273" s="373">
        <f t="shared" si="883"/>
        <v>30</v>
      </c>
      <c r="CB273" s="373">
        <f t="shared" si="884"/>
        <v>195.71428571428572</v>
      </c>
      <c r="CC273" s="462">
        <f t="shared" si="885"/>
        <v>225</v>
      </c>
      <c r="CD273" s="1109" t="str">
        <f t="shared" si="1002"/>
        <v/>
      </c>
      <c r="CE273" s="1110" t="str">
        <f t="shared" si="1001"/>
        <v/>
      </c>
      <c r="CF273" s="1111" t="str">
        <f t="shared" si="1001"/>
        <v/>
      </c>
      <c r="CG273" s="1111" t="str">
        <f t="shared" si="1001"/>
        <v/>
      </c>
      <c r="CH273" s="1111" t="str">
        <f t="shared" si="1001"/>
        <v/>
      </c>
      <c r="CI273" s="1111" t="str">
        <f t="shared" si="1001"/>
        <v/>
      </c>
      <c r="CJ273" s="1111" t="str">
        <f t="shared" si="1001"/>
        <v/>
      </c>
      <c r="CK273" s="1112" t="str">
        <f t="shared" si="1001"/>
        <v/>
      </c>
      <c r="CL273" s="1112" t="str">
        <f t="shared" si="1001"/>
        <v/>
      </c>
      <c r="CM273" s="1112" t="str">
        <f t="shared" si="1001"/>
        <v/>
      </c>
      <c r="CN273" s="1111" t="str">
        <f t="shared" si="1001"/>
        <v/>
      </c>
      <c r="CO273" s="1111" t="str">
        <f t="shared" si="1001"/>
        <v/>
      </c>
      <c r="CP273" s="1111" t="str">
        <f t="shared" si="1001"/>
        <v/>
      </c>
      <c r="CQ273" s="1111" t="str">
        <f t="shared" si="1001"/>
        <v/>
      </c>
      <c r="CR273" s="1111" t="str">
        <f t="shared" si="1001"/>
        <v/>
      </c>
      <c r="CS273" s="1110" t="str">
        <f t="shared" si="1001"/>
        <v/>
      </c>
      <c r="CT273" s="1113" t="str">
        <f t="shared" si="1001"/>
        <v/>
      </c>
      <c r="CU273" s="324" t="str">
        <f t="shared" si="901"/>
        <v/>
      </c>
      <c r="CV273" s="325" t="str">
        <f t="shared" si="902"/>
        <v/>
      </c>
      <c r="CW273" s="326" t="str">
        <f t="shared" si="903"/>
        <v/>
      </c>
      <c r="CX273" s="326" t="str">
        <f t="shared" si="904"/>
        <v/>
      </c>
      <c r="CY273" s="326" t="str">
        <f t="shared" si="905"/>
        <v/>
      </c>
      <c r="CZ273" s="326" t="str">
        <f t="shared" si="906"/>
        <v/>
      </c>
      <c r="DA273" s="326" t="str">
        <f t="shared" si="907"/>
        <v/>
      </c>
      <c r="DB273" s="327">
        <f t="shared" si="908"/>
        <v>20</v>
      </c>
      <c r="DC273" s="327">
        <f t="shared" si="909"/>
        <v>20</v>
      </c>
      <c r="DD273" s="327">
        <f t="shared" si="910"/>
        <v>40</v>
      </c>
      <c r="DE273" s="326">
        <f t="shared" si="911"/>
        <v>240</v>
      </c>
      <c r="DF273" s="326" t="str">
        <f t="shared" si="912"/>
        <v/>
      </c>
      <c r="DG273" s="326" t="str">
        <f t="shared" si="913"/>
        <v/>
      </c>
      <c r="DH273" s="326" t="str">
        <f t="shared" si="914"/>
        <v/>
      </c>
      <c r="DI273" s="326" t="str">
        <f t="shared" si="915"/>
        <v/>
      </c>
      <c r="DJ273" s="325" t="str">
        <f t="shared" si="916"/>
        <v/>
      </c>
      <c r="DK273" s="324" t="str">
        <f t="shared" si="917"/>
        <v/>
      </c>
      <c r="DL273" s="428">
        <f t="shared" si="918"/>
        <v>0</v>
      </c>
      <c r="DM273" s="66">
        <f t="shared" si="919"/>
        <v>4</v>
      </c>
      <c r="DN273" s="66">
        <f t="shared" si="920"/>
        <v>9</v>
      </c>
      <c r="DO273" s="66">
        <f t="shared" si="921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82"/>
        <v/>
      </c>
      <c r="CA274" s="373">
        <f t="shared" si="883"/>
        <v>6.5</v>
      </c>
      <c r="CB274" s="373">
        <f t="shared" si="884"/>
        <v>3.8571428571428572</v>
      </c>
      <c r="CC274" s="462">
        <f t="shared" si="885"/>
        <v>4</v>
      </c>
      <c r="CD274" s="1109" t="str">
        <f t="shared" si="1002"/>
        <v/>
      </c>
      <c r="CE274" s="1110" t="str">
        <f t="shared" si="1001"/>
        <v/>
      </c>
      <c r="CF274" s="1111" t="str">
        <f t="shared" si="1001"/>
        <v/>
      </c>
      <c r="CG274" s="1111" t="str">
        <f t="shared" si="1001"/>
        <v/>
      </c>
      <c r="CH274" s="1111" t="str">
        <f t="shared" si="1001"/>
        <v/>
      </c>
      <c r="CI274" s="1111" t="str">
        <f t="shared" si="1001"/>
        <v/>
      </c>
      <c r="CJ274" s="1111" t="str">
        <f t="shared" si="1001"/>
        <v/>
      </c>
      <c r="CK274" s="1112" t="str">
        <f t="shared" si="1001"/>
        <v/>
      </c>
      <c r="CL274" s="1112" t="str">
        <f t="shared" si="1001"/>
        <v/>
      </c>
      <c r="CM274" s="1112" t="str">
        <f t="shared" si="1001"/>
        <v/>
      </c>
      <c r="CN274" s="1111" t="str">
        <f t="shared" si="1001"/>
        <v/>
      </c>
      <c r="CO274" s="1111" t="str">
        <f t="shared" si="1001"/>
        <v/>
      </c>
      <c r="CP274" s="1111" t="str">
        <f t="shared" si="1001"/>
        <v/>
      </c>
      <c r="CQ274" s="1111" t="str">
        <f t="shared" si="1001"/>
        <v/>
      </c>
      <c r="CR274" s="1111" t="str">
        <f t="shared" si="1001"/>
        <v/>
      </c>
      <c r="CS274" s="1110" t="str">
        <f t="shared" si="1001"/>
        <v/>
      </c>
      <c r="CT274" s="1113" t="str">
        <f t="shared" si="1001"/>
        <v/>
      </c>
      <c r="CU274" s="324" t="str">
        <f t="shared" si="901"/>
        <v/>
      </c>
      <c r="CV274" s="325" t="str">
        <f t="shared" si="902"/>
        <v/>
      </c>
      <c r="CW274" s="326" t="str">
        <f t="shared" si="903"/>
        <v/>
      </c>
      <c r="CX274" s="326" t="str">
        <f t="shared" si="904"/>
        <v/>
      </c>
      <c r="CY274" s="326" t="str">
        <f t="shared" si="905"/>
        <v/>
      </c>
      <c r="CZ274" s="326" t="str">
        <f t="shared" si="906"/>
        <v/>
      </c>
      <c r="DA274" s="326" t="str">
        <f t="shared" si="907"/>
        <v/>
      </c>
      <c r="DB274" s="327">
        <f t="shared" si="908"/>
        <v>3</v>
      </c>
      <c r="DC274" s="327">
        <f t="shared" si="909"/>
        <v>4</v>
      </c>
      <c r="DD274" s="327">
        <f t="shared" si="910"/>
        <v>9</v>
      </c>
      <c r="DE274" s="326">
        <f t="shared" si="911"/>
        <v>28</v>
      </c>
      <c r="DF274" s="326" t="str">
        <f t="shared" si="912"/>
        <v/>
      </c>
      <c r="DG274" s="326" t="str">
        <f t="shared" si="913"/>
        <v/>
      </c>
      <c r="DH274" s="326" t="str">
        <f t="shared" si="914"/>
        <v/>
      </c>
      <c r="DI274" s="326" t="str">
        <f t="shared" si="915"/>
        <v/>
      </c>
      <c r="DJ274" s="325" t="str">
        <f t="shared" si="916"/>
        <v/>
      </c>
      <c r="DK274" s="324" t="str">
        <f t="shared" si="917"/>
        <v/>
      </c>
      <c r="DL274" s="428">
        <f t="shared" si="918"/>
        <v>0</v>
      </c>
      <c r="DM274" s="66">
        <f t="shared" si="919"/>
        <v>4</v>
      </c>
      <c r="DN274" s="66">
        <f t="shared" si="920"/>
        <v>9</v>
      </c>
      <c r="DO274" s="66">
        <f t="shared" si="921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07">IF(B273="","",B273*B274)</f>
        <v/>
      </c>
      <c r="C275" s="405" t="str">
        <f t="shared" si="1007"/>
        <v/>
      </c>
      <c r="D275" s="405" t="str">
        <f t="shared" si="1007"/>
        <v/>
      </c>
      <c r="E275" s="405" t="str">
        <f t="shared" si="1007"/>
        <v/>
      </c>
      <c r="F275" s="405" t="str">
        <f t="shared" si="1007"/>
        <v/>
      </c>
      <c r="G275" s="405" t="str">
        <f t="shared" si="1007"/>
        <v/>
      </c>
      <c r="H275" s="405" t="str">
        <f t="shared" si="1007"/>
        <v/>
      </c>
      <c r="I275" s="405" t="str">
        <f t="shared" si="1007"/>
        <v/>
      </c>
      <c r="J275" s="405" t="str">
        <f t="shared" si="1007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08">IF(T273="","",T273*T274)</f>
        <v/>
      </c>
      <c r="U275" s="405">
        <f t="shared" si="1008"/>
        <v>180</v>
      </c>
      <c r="V275" s="405">
        <f t="shared" si="1008"/>
        <v>720</v>
      </c>
      <c r="W275" s="405" t="str">
        <f t="shared" si="1008"/>
        <v/>
      </c>
      <c r="X275" s="405" t="str">
        <f t="shared" si="1008"/>
        <v/>
      </c>
      <c r="Y275" s="405">
        <f t="shared" si="1008"/>
        <v>560</v>
      </c>
      <c r="Z275" s="405" t="str">
        <f t="shared" si="1008"/>
        <v/>
      </c>
      <c r="AA275" s="405">
        <f t="shared" si="1008"/>
        <v>160</v>
      </c>
      <c r="AB275" s="405" t="str">
        <f t="shared" si="1008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1009">IF(AL273="","",AL273*AL274)</f>
        <v>1000</v>
      </c>
      <c r="AM275" s="405">
        <f t="shared" si="1009"/>
        <v>400</v>
      </c>
      <c r="AN275" s="405">
        <f t="shared" si="1009"/>
        <v>720</v>
      </c>
      <c r="AO275" s="405">
        <f t="shared" si="1009"/>
        <v>240</v>
      </c>
      <c r="AP275" s="405">
        <f t="shared" si="1009"/>
        <v>1200</v>
      </c>
      <c r="AQ275" s="405">
        <f t="shared" si="1009"/>
        <v>400</v>
      </c>
      <c r="AR275" s="405">
        <f t="shared" si="1009"/>
        <v>250</v>
      </c>
      <c r="AS275" s="405">
        <f t="shared" si="1009"/>
        <v>1200</v>
      </c>
      <c r="AT275" s="405">
        <f t="shared" si="1009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1010">IF(BD273="","",BD273*BD274)</f>
        <v>600</v>
      </c>
      <c r="BE275" s="405">
        <f t="shared" si="1010"/>
        <v>900</v>
      </c>
      <c r="BF275" s="405">
        <f t="shared" si="1010"/>
        <v>1050</v>
      </c>
      <c r="BG275" s="405" t="str">
        <f t="shared" si="1010"/>
        <v/>
      </c>
      <c r="BH275" s="405">
        <f t="shared" si="1010"/>
        <v>1000</v>
      </c>
      <c r="BI275" s="405">
        <f t="shared" si="1010"/>
        <v>150</v>
      </c>
      <c r="BJ275" s="405">
        <f t="shared" si="1010"/>
        <v>600</v>
      </c>
      <c r="BK275" s="405">
        <f t="shared" si="1010"/>
        <v>2500</v>
      </c>
      <c r="BL275" s="405">
        <f t="shared" si="1010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82"/>
        <v/>
      </c>
      <c r="CA275" s="373">
        <f t="shared" si="883"/>
        <v>370</v>
      </c>
      <c r="CB275" s="373">
        <f t="shared" si="884"/>
        <v>738.57142857142856</v>
      </c>
      <c r="CC275" s="462">
        <f t="shared" si="885"/>
        <v>775</v>
      </c>
      <c r="CD275" s="1109" t="str">
        <f t="shared" si="1002"/>
        <v/>
      </c>
      <c r="CE275" s="1110" t="str">
        <f t="shared" si="1001"/>
        <v/>
      </c>
      <c r="CF275" s="1111" t="str">
        <f t="shared" si="1001"/>
        <v/>
      </c>
      <c r="CG275" s="1111" t="str">
        <f t="shared" si="1001"/>
        <v/>
      </c>
      <c r="CH275" s="1111" t="str">
        <f t="shared" si="1001"/>
        <v/>
      </c>
      <c r="CI275" s="1111" t="str">
        <f t="shared" si="1001"/>
        <v/>
      </c>
      <c r="CJ275" s="1111" t="str">
        <f t="shared" si="1001"/>
        <v/>
      </c>
      <c r="CK275" s="1112" t="str">
        <f t="shared" si="1001"/>
        <v/>
      </c>
      <c r="CL275" s="1112" t="str">
        <f t="shared" si="1001"/>
        <v/>
      </c>
      <c r="CM275" s="1112" t="str">
        <f t="shared" si="1001"/>
        <v/>
      </c>
      <c r="CN275" s="1111" t="str">
        <f t="shared" si="1001"/>
        <v/>
      </c>
      <c r="CO275" s="1111" t="str">
        <f t="shared" si="1001"/>
        <v/>
      </c>
      <c r="CP275" s="1111" t="str">
        <f t="shared" si="1001"/>
        <v/>
      </c>
      <c r="CQ275" s="1111" t="str">
        <f t="shared" si="1001"/>
        <v/>
      </c>
      <c r="CR275" s="1111" t="str">
        <f t="shared" si="1001"/>
        <v/>
      </c>
      <c r="CS275" s="1110" t="str">
        <f t="shared" si="1001"/>
        <v/>
      </c>
      <c r="CT275" s="1113" t="str">
        <f t="shared" si="1001"/>
        <v/>
      </c>
      <c r="CU275" s="324" t="str">
        <f t="shared" si="901"/>
        <v/>
      </c>
      <c r="CV275" s="325" t="str">
        <f t="shared" si="902"/>
        <v/>
      </c>
      <c r="CW275" s="326" t="str">
        <f t="shared" si="903"/>
        <v/>
      </c>
      <c r="CX275" s="326" t="str">
        <f t="shared" si="904"/>
        <v/>
      </c>
      <c r="CY275" s="326" t="str">
        <f t="shared" si="905"/>
        <v/>
      </c>
      <c r="CZ275" s="326" t="str">
        <f t="shared" si="906"/>
        <v/>
      </c>
      <c r="DA275" s="326" t="str">
        <f t="shared" si="907"/>
        <v/>
      </c>
      <c r="DB275" s="327">
        <f t="shared" si="908"/>
        <v>160</v>
      </c>
      <c r="DC275" s="327">
        <f t="shared" si="909"/>
        <v>180</v>
      </c>
      <c r="DD275" s="327">
        <f t="shared" si="910"/>
        <v>560</v>
      </c>
      <c r="DE275" s="326">
        <f t="shared" si="911"/>
        <v>720</v>
      </c>
      <c r="DF275" s="326" t="str">
        <f t="shared" si="912"/>
        <v/>
      </c>
      <c r="DG275" s="326" t="str">
        <f t="shared" si="913"/>
        <v/>
      </c>
      <c r="DH275" s="326" t="str">
        <f t="shared" si="914"/>
        <v/>
      </c>
      <c r="DI275" s="326" t="str">
        <f t="shared" si="915"/>
        <v/>
      </c>
      <c r="DJ275" s="325" t="str">
        <f t="shared" si="916"/>
        <v/>
      </c>
      <c r="DK275" s="324" t="str">
        <f t="shared" si="917"/>
        <v/>
      </c>
      <c r="DL275" s="428">
        <f t="shared" si="918"/>
        <v>0</v>
      </c>
      <c r="DM275" s="66">
        <f t="shared" si="919"/>
        <v>4</v>
      </c>
      <c r="DN275" s="66">
        <f t="shared" si="920"/>
        <v>9</v>
      </c>
      <c r="DO275" s="66">
        <f t="shared" si="921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82"/>
        <v>10</v>
      </c>
      <c r="CA276" s="373">
        <f t="shared" si="883"/>
        <v>15</v>
      </c>
      <c r="CB276" s="373">
        <f t="shared" si="884"/>
        <v>40</v>
      </c>
      <c r="CC276" s="462">
        <f t="shared" si="885"/>
        <v>50</v>
      </c>
      <c r="CD276" s="1109" t="str">
        <f t="shared" si="1002"/>
        <v/>
      </c>
      <c r="CE276" s="1110" t="str">
        <f t="shared" si="1001"/>
        <v/>
      </c>
      <c r="CF276" s="1111" t="str">
        <f t="shared" si="1001"/>
        <v/>
      </c>
      <c r="CG276" s="1111" t="str">
        <f t="shared" si="1001"/>
        <v/>
      </c>
      <c r="CH276" s="1111" t="str">
        <f t="shared" si="1001"/>
        <v/>
      </c>
      <c r="CI276" s="1111" t="str">
        <f t="shared" si="1001"/>
        <v/>
      </c>
      <c r="CJ276" s="1111" t="str">
        <f t="shared" si="1001"/>
        <v/>
      </c>
      <c r="CK276" s="1112">
        <f t="shared" si="1001"/>
        <v>10</v>
      </c>
      <c r="CL276" s="1112">
        <f t="shared" si="1001"/>
        <v>10</v>
      </c>
      <c r="CM276" s="1112">
        <f t="shared" si="1001"/>
        <v>10</v>
      </c>
      <c r="CN276" s="1111" t="str">
        <f t="shared" si="1001"/>
        <v/>
      </c>
      <c r="CO276" s="1111" t="str">
        <f t="shared" si="1001"/>
        <v/>
      </c>
      <c r="CP276" s="1111" t="str">
        <f t="shared" si="1001"/>
        <v/>
      </c>
      <c r="CQ276" s="1111" t="str">
        <f t="shared" si="1001"/>
        <v/>
      </c>
      <c r="CR276" s="1111" t="str">
        <f t="shared" si="1001"/>
        <v/>
      </c>
      <c r="CS276" s="1110" t="str">
        <f t="shared" si="1001"/>
        <v/>
      </c>
      <c r="CT276" s="1113" t="str">
        <f t="shared" si="1001"/>
        <v/>
      </c>
      <c r="CU276" s="324" t="str">
        <f t="shared" si="901"/>
        <v/>
      </c>
      <c r="CV276" s="325" t="str">
        <f t="shared" si="902"/>
        <v/>
      </c>
      <c r="CW276" s="326" t="str">
        <f t="shared" si="903"/>
        <v/>
      </c>
      <c r="CX276" s="326" t="str">
        <f t="shared" si="904"/>
        <v/>
      </c>
      <c r="CY276" s="326" t="str">
        <f t="shared" si="905"/>
        <v/>
      </c>
      <c r="CZ276" s="326" t="str">
        <f t="shared" si="906"/>
        <v/>
      </c>
      <c r="DA276" s="326" t="str">
        <f t="shared" si="907"/>
        <v/>
      </c>
      <c r="DB276" s="327">
        <f t="shared" si="908"/>
        <v>10</v>
      </c>
      <c r="DC276" s="327">
        <f t="shared" si="909"/>
        <v>10</v>
      </c>
      <c r="DD276" s="327">
        <f t="shared" si="910"/>
        <v>20</v>
      </c>
      <c r="DE276" s="326">
        <f t="shared" si="911"/>
        <v>80</v>
      </c>
      <c r="DF276" s="326" t="str">
        <f t="shared" si="912"/>
        <v/>
      </c>
      <c r="DG276" s="326" t="str">
        <f t="shared" si="913"/>
        <v/>
      </c>
      <c r="DH276" s="326" t="str">
        <f t="shared" si="914"/>
        <v/>
      </c>
      <c r="DI276" s="326" t="str">
        <f t="shared" si="915"/>
        <v/>
      </c>
      <c r="DJ276" s="325" t="str">
        <f t="shared" si="916"/>
        <v/>
      </c>
      <c r="DK276" s="324" t="str">
        <f t="shared" si="917"/>
        <v/>
      </c>
      <c r="DL276" s="428">
        <f t="shared" si="918"/>
        <v>3</v>
      </c>
      <c r="DM276" s="66">
        <f t="shared" si="919"/>
        <v>4</v>
      </c>
      <c r="DN276" s="66">
        <f t="shared" si="920"/>
        <v>4</v>
      </c>
      <c r="DO276" s="66">
        <f t="shared" si="921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11">IF(B271="","",(B271-B273-B276)*B272/B$46/365/$G$1)</f>
        <v>8.4031311154598817E-2</v>
      </c>
      <c r="C277" s="408">
        <f t="shared" si="1011"/>
        <v>3.7908862175006997E-2</v>
      </c>
      <c r="D277" s="408">
        <f t="shared" si="1011"/>
        <v>1.1056751467710372E-2</v>
      </c>
      <c r="E277" s="408">
        <f t="shared" si="1011"/>
        <v>7.3711676451402482E-3</v>
      </c>
      <c r="F277" s="408">
        <f t="shared" si="1011"/>
        <v>7.3711676451402482E-3</v>
      </c>
      <c r="G277" s="408">
        <f t="shared" si="1011"/>
        <v>5.5283757338551861E-3</v>
      </c>
      <c r="H277" s="408">
        <f t="shared" si="1011"/>
        <v>7.3711676451402479E-4</v>
      </c>
      <c r="I277" s="408">
        <f t="shared" si="1011"/>
        <v>0.11056751467710371</v>
      </c>
      <c r="J277" s="408">
        <f t="shared" si="1011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12">IF(T271="","",(T271-T273-T276)*T272/T$46/365/$G$1)</f>
        <v>3.3170254403131115E-2</v>
      </c>
      <c r="U277" s="408">
        <f t="shared" si="1012"/>
        <v>2.4123821384095356E-2</v>
      </c>
      <c r="V277" s="408">
        <f t="shared" si="1012"/>
        <v>1.4742335290280496E-2</v>
      </c>
      <c r="W277" s="408">
        <f t="shared" si="1012"/>
        <v>1.3268101761252446E-2</v>
      </c>
      <c r="X277" s="408">
        <f t="shared" si="1012"/>
        <v>5.5283757338551861E-3</v>
      </c>
      <c r="Y277" s="408">
        <f t="shared" si="1012"/>
        <v>2.5272574783337994E-2</v>
      </c>
      <c r="Z277" s="408">
        <f t="shared" si="1012"/>
        <v>2.2113502935420744E-2</v>
      </c>
      <c r="AA277" s="408">
        <f t="shared" si="1012"/>
        <v>8.8454011741682988E-3</v>
      </c>
      <c r="AB277" s="408">
        <f t="shared" si="1012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1013">IF(AL271="","",(AL271-AL273-AL276)*AL272/AL$46/365/$G$1)</f>
        <v>4.4227005870841489E-2</v>
      </c>
      <c r="AM277" s="408">
        <f t="shared" si="1013"/>
        <v>0.14742335290280495</v>
      </c>
      <c r="AN277" s="408">
        <f t="shared" si="1013"/>
        <v>6.634050880626223E-2</v>
      </c>
      <c r="AO277" s="408">
        <f t="shared" si="1013"/>
        <v>2.2113502935420744E-2</v>
      </c>
      <c r="AP277" s="408">
        <f t="shared" si="1013"/>
        <v>4.4227005870841489E-2</v>
      </c>
      <c r="AQ277" s="408">
        <f t="shared" si="1013"/>
        <v>3.6855838225701237E-2</v>
      </c>
      <c r="AR277" s="408">
        <f t="shared" si="1013"/>
        <v>1.6585127201565558E-2</v>
      </c>
      <c r="AS277" s="408">
        <f t="shared" si="1013"/>
        <v>5.5283757338551856E-2</v>
      </c>
      <c r="AT277" s="408">
        <f t="shared" si="1013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1014">IF(BD271="","",(BD271-BD273-BD276)*BD272/BD$46/365/$G$1)</f>
        <v>0.14742335290280495</v>
      </c>
      <c r="BE277" s="408">
        <f t="shared" si="1014"/>
        <v>3.6855838225701237E-2</v>
      </c>
      <c r="BF277" s="408">
        <f t="shared" si="1014"/>
        <v>6.634050880626223E-2</v>
      </c>
      <c r="BG277" s="408" t="str">
        <f t="shared" si="1014"/>
        <v/>
      </c>
      <c r="BH277" s="408">
        <f t="shared" si="1014"/>
        <v>0.11056751467710371</v>
      </c>
      <c r="BI277" s="408">
        <f t="shared" si="1014"/>
        <v>1.8954431087503498E-2</v>
      </c>
      <c r="BJ277" s="408">
        <f t="shared" si="1014"/>
        <v>3.6855838225701237E-2</v>
      </c>
      <c r="BK277" s="408">
        <f t="shared" si="1014"/>
        <v>1.8427919112850619E-2</v>
      </c>
      <c r="BL277" s="408">
        <f t="shared" si="1014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82"/>
        <v>2.4603152415565047E-2</v>
      </c>
      <c r="CA277" s="398">
        <f t="shared" si="883"/>
        <v>2.0219427390240925E-2</v>
      </c>
      <c r="CB277" s="398">
        <f t="shared" si="884"/>
        <v>4.7912589693411618E-2</v>
      </c>
      <c r="CC277" s="465">
        <f t="shared" si="885"/>
        <v>5.3119208109423367E-2</v>
      </c>
      <c r="CD277" s="111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5" t="str">
        <f t="shared" ref="CE277:CT283" si="10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6" t="str">
        <f t="shared" si="1015"/>
        <v/>
      </c>
      <c r="CG277" s="1116" t="str">
        <f t="shared" si="1015"/>
        <v/>
      </c>
      <c r="CH277" s="1116">
        <f t="shared" si="1015"/>
        <v>7.3711676451402479E-4</v>
      </c>
      <c r="CI277" s="1116">
        <f t="shared" si="1015"/>
        <v>5.5283757338551861E-3</v>
      </c>
      <c r="CJ277" s="1116">
        <f t="shared" si="1015"/>
        <v>7.3711676451402482E-3</v>
      </c>
      <c r="CK277" s="1117">
        <f t="shared" si="1015"/>
        <v>7.3711676451402482E-3</v>
      </c>
      <c r="CL277" s="1117">
        <f t="shared" si="1015"/>
        <v>1.1056751467710372E-2</v>
      </c>
      <c r="CM277" s="1117">
        <f t="shared" si="1015"/>
        <v>1.8954431087503498E-2</v>
      </c>
      <c r="CN277" s="1116">
        <f t="shared" si="1015"/>
        <v>3.7908862175006997E-2</v>
      </c>
      <c r="CO277" s="1116">
        <f t="shared" si="1015"/>
        <v>8.4031311154598817E-2</v>
      </c>
      <c r="CP277" s="1116">
        <f t="shared" si="1015"/>
        <v>0.11056751467710371</v>
      </c>
      <c r="CQ277" s="1116" t="str">
        <f t="shared" si="1015"/>
        <v/>
      </c>
      <c r="CR277" s="1116" t="str">
        <f t="shared" si="1015"/>
        <v/>
      </c>
      <c r="CS277" s="1115" t="str">
        <f t="shared" si="1015"/>
        <v/>
      </c>
      <c r="CT277" s="1118" t="str">
        <f t="shared" si="1015"/>
        <v/>
      </c>
      <c r="CU277" s="312" t="str">
        <f t="shared" si="901"/>
        <v/>
      </c>
      <c r="CV277" s="313" t="str">
        <f t="shared" si="902"/>
        <v/>
      </c>
      <c r="CW277" s="314" t="str">
        <f t="shared" si="903"/>
        <v/>
      </c>
      <c r="CX277" s="314" t="str">
        <f t="shared" si="904"/>
        <v/>
      </c>
      <c r="CY277" s="314">
        <f t="shared" si="905"/>
        <v>5.5283757338551861E-3</v>
      </c>
      <c r="CZ277" s="314">
        <f t="shared" si="906"/>
        <v>8.8454011741682988E-3</v>
      </c>
      <c r="DA277" s="314">
        <f t="shared" si="907"/>
        <v>1.3268101761252446E-2</v>
      </c>
      <c r="DB277" s="315">
        <f t="shared" si="908"/>
        <v>1.4742335290280496E-2</v>
      </c>
      <c r="DC277" s="315">
        <f t="shared" si="909"/>
        <v>2.2113502935420744E-2</v>
      </c>
      <c r="DD277" s="315">
        <f t="shared" si="910"/>
        <v>2.4123821384095356E-2</v>
      </c>
      <c r="DE277" s="314">
        <f t="shared" si="911"/>
        <v>2.5272574783337994E-2</v>
      </c>
      <c r="DF277" s="314">
        <f t="shared" si="912"/>
        <v>3.3170254403131115E-2</v>
      </c>
      <c r="DG277" s="314">
        <f t="shared" si="913"/>
        <v>3.7908862175006997E-2</v>
      </c>
      <c r="DH277" s="314" t="str">
        <f t="shared" si="914"/>
        <v/>
      </c>
      <c r="DI277" s="314" t="str">
        <f t="shared" si="915"/>
        <v/>
      </c>
      <c r="DJ277" s="313" t="str">
        <f t="shared" si="916"/>
        <v/>
      </c>
      <c r="DK277" s="312" t="str">
        <f t="shared" si="917"/>
        <v/>
      </c>
      <c r="DL277" s="428">
        <f t="shared" si="918"/>
        <v>9</v>
      </c>
      <c r="DM277" s="66">
        <f t="shared" si="919"/>
        <v>9</v>
      </c>
      <c r="DN277" s="66">
        <f t="shared" si="920"/>
        <v>9</v>
      </c>
      <c r="DO277" s="66">
        <f t="shared" si="921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82"/>
        <v/>
      </c>
      <c r="CA278" s="373">
        <f t="shared" si="883"/>
        <v>100</v>
      </c>
      <c r="CB278" s="373">
        <f t="shared" si="884"/>
        <v>350</v>
      </c>
      <c r="CC278" s="462">
        <f t="shared" si="885"/>
        <v>432.5</v>
      </c>
      <c r="CD278" s="1109" t="str">
        <f t="shared" ref="CD278:CD283" si="10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0" t="str">
        <f t="shared" si="1015"/>
        <v/>
      </c>
      <c r="CF278" s="1111" t="str">
        <f t="shared" si="1015"/>
        <v/>
      </c>
      <c r="CG278" s="1111" t="str">
        <f t="shared" si="1015"/>
        <v/>
      </c>
      <c r="CH278" s="1111" t="str">
        <f t="shared" si="1015"/>
        <v/>
      </c>
      <c r="CI278" s="1111" t="str">
        <f t="shared" si="1015"/>
        <v/>
      </c>
      <c r="CJ278" s="1111" t="str">
        <f t="shared" si="1015"/>
        <v/>
      </c>
      <c r="CK278" s="1112" t="str">
        <f t="shared" si="1015"/>
        <v/>
      </c>
      <c r="CL278" s="1112" t="str">
        <f t="shared" si="1015"/>
        <v/>
      </c>
      <c r="CM278" s="1112" t="str">
        <f t="shared" si="1015"/>
        <v/>
      </c>
      <c r="CN278" s="1111" t="str">
        <f t="shared" si="1015"/>
        <v/>
      </c>
      <c r="CO278" s="1111" t="str">
        <f t="shared" si="1015"/>
        <v/>
      </c>
      <c r="CP278" s="1111" t="str">
        <f t="shared" si="1015"/>
        <v/>
      </c>
      <c r="CQ278" s="1111" t="str">
        <f t="shared" si="1015"/>
        <v/>
      </c>
      <c r="CR278" s="1111" t="str">
        <f t="shared" si="1015"/>
        <v/>
      </c>
      <c r="CS278" s="1110" t="str">
        <f t="shared" si="1015"/>
        <v/>
      </c>
      <c r="CT278" s="1113" t="str">
        <f t="shared" si="1015"/>
        <v/>
      </c>
      <c r="CU278" s="324" t="str">
        <f t="shared" si="901"/>
        <v/>
      </c>
      <c r="CV278" s="325" t="str">
        <f t="shared" si="902"/>
        <v/>
      </c>
      <c r="CW278" s="326" t="str">
        <f t="shared" si="903"/>
        <v/>
      </c>
      <c r="CX278" s="326" t="str">
        <f t="shared" si="904"/>
        <v/>
      </c>
      <c r="CY278" s="326" t="str">
        <f t="shared" si="905"/>
        <v/>
      </c>
      <c r="CZ278" s="326" t="str">
        <f t="shared" si="906"/>
        <v/>
      </c>
      <c r="DA278" s="326" t="str">
        <f t="shared" si="907"/>
        <v/>
      </c>
      <c r="DB278" s="327">
        <f t="shared" si="908"/>
        <v>2</v>
      </c>
      <c r="DC278" s="327">
        <f t="shared" si="909"/>
        <v>100</v>
      </c>
      <c r="DD278" s="327">
        <f t="shared" si="910"/>
        <v>150</v>
      </c>
      <c r="DE278" s="326" t="str">
        <f t="shared" si="911"/>
        <v/>
      </c>
      <c r="DF278" s="326" t="str">
        <f t="shared" si="912"/>
        <v/>
      </c>
      <c r="DG278" s="326" t="str">
        <f t="shared" si="913"/>
        <v/>
      </c>
      <c r="DH278" s="326" t="str">
        <f t="shared" si="914"/>
        <v/>
      </c>
      <c r="DI278" s="326" t="str">
        <f t="shared" si="915"/>
        <v/>
      </c>
      <c r="DJ278" s="325" t="str">
        <f t="shared" si="916"/>
        <v/>
      </c>
      <c r="DK278" s="324" t="str">
        <f t="shared" si="917"/>
        <v/>
      </c>
      <c r="DL278" s="428">
        <f t="shared" si="918"/>
        <v>0</v>
      </c>
      <c r="DM278" s="66">
        <f t="shared" si="919"/>
        <v>3</v>
      </c>
      <c r="DN278" s="66">
        <f t="shared" si="920"/>
        <v>4</v>
      </c>
      <c r="DO278" s="66">
        <f t="shared" si="921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82"/>
        <v>230</v>
      </c>
      <c r="CA279" s="373">
        <f t="shared" si="883"/>
        <v>230</v>
      </c>
      <c r="CB279" s="373">
        <f t="shared" si="884"/>
        <v>230</v>
      </c>
      <c r="CC279" s="462">
        <f t="shared" si="885"/>
        <v>230</v>
      </c>
      <c r="CD279" s="1109" t="str">
        <f t="shared" si="1016"/>
        <v/>
      </c>
      <c r="CE279" s="1110" t="str">
        <f t="shared" si="1015"/>
        <v/>
      </c>
      <c r="CF279" s="1111" t="str">
        <f t="shared" si="1015"/>
        <v/>
      </c>
      <c r="CG279" s="1111" t="str">
        <f t="shared" si="1015"/>
        <v/>
      </c>
      <c r="CH279" s="1111">
        <f t="shared" si="1015"/>
        <v>230</v>
      </c>
      <c r="CI279" s="1111">
        <f t="shared" si="1015"/>
        <v>230</v>
      </c>
      <c r="CJ279" s="1111">
        <f t="shared" si="1015"/>
        <v>230</v>
      </c>
      <c r="CK279" s="1112">
        <f t="shared" si="1015"/>
        <v>230</v>
      </c>
      <c r="CL279" s="1112">
        <f t="shared" si="1015"/>
        <v>230</v>
      </c>
      <c r="CM279" s="1112">
        <f t="shared" si="1015"/>
        <v>230</v>
      </c>
      <c r="CN279" s="1111">
        <f t="shared" si="1015"/>
        <v>230</v>
      </c>
      <c r="CO279" s="1111">
        <f t="shared" si="1015"/>
        <v>230</v>
      </c>
      <c r="CP279" s="1111">
        <f t="shared" si="1015"/>
        <v>230</v>
      </c>
      <c r="CQ279" s="1111" t="str">
        <f t="shared" si="1015"/>
        <v/>
      </c>
      <c r="CR279" s="1111" t="str">
        <f t="shared" si="1015"/>
        <v/>
      </c>
      <c r="CS279" s="1110" t="str">
        <f t="shared" si="1015"/>
        <v/>
      </c>
      <c r="CT279" s="1113" t="str">
        <f t="shared" si="1015"/>
        <v/>
      </c>
      <c r="CU279" s="324" t="str">
        <f t="shared" si="901"/>
        <v/>
      </c>
      <c r="CV279" s="325" t="str">
        <f t="shared" si="902"/>
        <v/>
      </c>
      <c r="CW279" s="326" t="str">
        <f t="shared" si="903"/>
        <v/>
      </c>
      <c r="CX279" s="326" t="str">
        <f t="shared" si="904"/>
        <v/>
      </c>
      <c r="CY279" s="326">
        <f t="shared" si="905"/>
        <v>230</v>
      </c>
      <c r="CZ279" s="326">
        <f t="shared" si="906"/>
        <v>230</v>
      </c>
      <c r="DA279" s="326">
        <f t="shared" si="907"/>
        <v>230</v>
      </c>
      <c r="DB279" s="327">
        <f t="shared" si="908"/>
        <v>230</v>
      </c>
      <c r="DC279" s="327">
        <f t="shared" si="909"/>
        <v>230</v>
      </c>
      <c r="DD279" s="327">
        <f t="shared" si="910"/>
        <v>230</v>
      </c>
      <c r="DE279" s="326">
        <f t="shared" si="911"/>
        <v>230</v>
      </c>
      <c r="DF279" s="326">
        <f t="shared" si="912"/>
        <v>230</v>
      </c>
      <c r="DG279" s="326">
        <f t="shared" si="913"/>
        <v>230</v>
      </c>
      <c r="DH279" s="326" t="str">
        <f t="shared" si="914"/>
        <v/>
      </c>
      <c r="DI279" s="326" t="str">
        <f t="shared" si="915"/>
        <v/>
      </c>
      <c r="DJ279" s="325" t="str">
        <f t="shared" si="916"/>
        <v/>
      </c>
      <c r="DK279" s="324" t="str">
        <f t="shared" si="917"/>
        <v/>
      </c>
      <c r="DL279" s="428">
        <f t="shared" si="918"/>
        <v>9</v>
      </c>
      <c r="DM279" s="66">
        <f t="shared" si="919"/>
        <v>9</v>
      </c>
      <c r="DN279" s="66">
        <f t="shared" si="920"/>
        <v>9</v>
      </c>
      <c r="DO279" s="66">
        <f t="shared" si="921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82"/>
        <v/>
      </c>
      <c r="CA280" s="373" t="str">
        <f t="shared" si="883"/>
        <v/>
      </c>
      <c r="CB280" s="373">
        <f t="shared" si="884"/>
        <v>280</v>
      </c>
      <c r="CC280" s="462">
        <f t="shared" si="885"/>
        <v>275</v>
      </c>
      <c r="CD280" s="1109" t="str">
        <f t="shared" si="1016"/>
        <v/>
      </c>
      <c r="CE280" s="1110" t="str">
        <f t="shared" si="1015"/>
        <v/>
      </c>
      <c r="CF280" s="1111" t="str">
        <f t="shared" si="1015"/>
        <v/>
      </c>
      <c r="CG280" s="1111" t="str">
        <f t="shared" si="1015"/>
        <v/>
      </c>
      <c r="CH280" s="1111" t="str">
        <f t="shared" si="1015"/>
        <v/>
      </c>
      <c r="CI280" s="1111" t="str">
        <f t="shared" si="1015"/>
        <v/>
      </c>
      <c r="CJ280" s="1111" t="str">
        <f t="shared" si="1015"/>
        <v/>
      </c>
      <c r="CK280" s="1112" t="str">
        <f t="shared" si="1015"/>
        <v/>
      </c>
      <c r="CL280" s="1112" t="str">
        <f t="shared" si="1015"/>
        <v/>
      </c>
      <c r="CM280" s="1112" t="str">
        <f t="shared" si="1015"/>
        <v/>
      </c>
      <c r="CN280" s="1111" t="str">
        <f t="shared" si="1015"/>
        <v/>
      </c>
      <c r="CO280" s="1111" t="str">
        <f t="shared" si="1015"/>
        <v/>
      </c>
      <c r="CP280" s="1111" t="str">
        <f t="shared" si="1015"/>
        <v/>
      </c>
      <c r="CQ280" s="1111" t="str">
        <f t="shared" si="1015"/>
        <v/>
      </c>
      <c r="CR280" s="1111" t="str">
        <f t="shared" si="1015"/>
        <v/>
      </c>
      <c r="CS280" s="1110" t="str">
        <f t="shared" si="1015"/>
        <v/>
      </c>
      <c r="CT280" s="1113" t="str">
        <f t="shared" si="1015"/>
        <v/>
      </c>
      <c r="CU280" s="324" t="str">
        <f t="shared" si="901"/>
        <v/>
      </c>
      <c r="CV280" s="325" t="str">
        <f t="shared" si="902"/>
        <v/>
      </c>
      <c r="CW280" s="326" t="str">
        <f t="shared" si="903"/>
        <v/>
      </c>
      <c r="CX280" s="326" t="str">
        <f t="shared" si="904"/>
        <v/>
      </c>
      <c r="CY280" s="326" t="str">
        <f t="shared" si="905"/>
        <v/>
      </c>
      <c r="CZ280" s="326" t="str">
        <f t="shared" si="906"/>
        <v/>
      </c>
      <c r="DA280" s="326" t="str">
        <f t="shared" si="907"/>
        <v/>
      </c>
      <c r="DB280" s="327" t="str">
        <f t="shared" si="908"/>
        <v/>
      </c>
      <c r="DC280" s="327">
        <f t="shared" si="909"/>
        <v>5</v>
      </c>
      <c r="DD280" s="327">
        <f t="shared" si="910"/>
        <v>120</v>
      </c>
      <c r="DE280" s="326" t="str">
        <f t="shared" si="911"/>
        <v/>
      </c>
      <c r="DF280" s="326" t="str">
        <f t="shared" si="912"/>
        <v/>
      </c>
      <c r="DG280" s="326" t="str">
        <f t="shared" si="913"/>
        <v/>
      </c>
      <c r="DH280" s="326" t="str">
        <f t="shared" si="914"/>
        <v/>
      </c>
      <c r="DI280" s="326" t="str">
        <f t="shared" si="915"/>
        <v/>
      </c>
      <c r="DJ280" s="325" t="str">
        <f t="shared" si="916"/>
        <v/>
      </c>
      <c r="DK280" s="324" t="str">
        <f t="shared" si="917"/>
        <v/>
      </c>
      <c r="DL280" s="428">
        <f t="shared" si="918"/>
        <v>0</v>
      </c>
      <c r="DM280" s="66">
        <f t="shared" si="919"/>
        <v>2</v>
      </c>
      <c r="DN280" s="66">
        <f t="shared" si="920"/>
        <v>4</v>
      </c>
      <c r="DO280" s="66">
        <f t="shared" si="921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82"/>
        <v/>
      </c>
      <c r="CA281" s="373" t="str">
        <f t="shared" si="883"/>
        <v/>
      </c>
      <c r="CB281" s="373">
        <f t="shared" si="884"/>
        <v>1.5</v>
      </c>
      <c r="CC281" s="462">
        <f t="shared" si="885"/>
        <v>3</v>
      </c>
      <c r="CD281" s="1109" t="str">
        <f t="shared" si="1016"/>
        <v/>
      </c>
      <c r="CE281" s="1110" t="str">
        <f t="shared" si="1015"/>
        <v/>
      </c>
      <c r="CF281" s="1111" t="str">
        <f t="shared" si="1015"/>
        <v/>
      </c>
      <c r="CG281" s="1111" t="str">
        <f t="shared" si="1015"/>
        <v/>
      </c>
      <c r="CH281" s="1111" t="str">
        <f t="shared" si="1015"/>
        <v/>
      </c>
      <c r="CI281" s="1111" t="str">
        <f t="shared" si="1015"/>
        <v/>
      </c>
      <c r="CJ281" s="1111" t="str">
        <f t="shared" si="1015"/>
        <v/>
      </c>
      <c r="CK281" s="1112" t="str">
        <f t="shared" si="1015"/>
        <v/>
      </c>
      <c r="CL281" s="1112" t="str">
        <f t="shared" si="1015"/>
        <v/>
      </c>
      <c r="CM281" s="1112" t="str">
        <f t="shared" si="1015"/>
        <v/>
      </c>
      <c r="CN281" s="1111" t="str">
        <f t="shared" si="1015"/>
        <v/>
      </c>
      <c r="CO281" s="1111" t="str">
        <f t="shared" si="1015"/>
        <v/>
      </c>
      <c r="CP281" s="1111" t="str">
        <f t="shared" si="1015"/>
        <v/>
      </c>
      <c r="CQ281" s="1111" t="str">
        <f t="shared" si="1015"/>
        <v/>
      </c>
      <c r="CR281" s="1111" t="str">
        <f t="shared" si="1015"/>
        <v/>
      </c>
      <c r="CS281" s="1110" t="str">
        <f t="shared" si="1015"/>
        <v/>
      </c>
      <c r="CT281" s="1113" t="str">
        <f t="shared" si="1015"/>
        <v/>
      </c>
      <c r="CU281" s="324" t="str">
        <f t="shared" si="901"/>
        <v/>
      </c>
      <c r="CV281" s="325" t="str">
        <f t="shared" si="902"/>
        <v/>
      </c>
      <c r="CW281" s="326" t="str">
        <f t="shared" si="903"/>
        <v/>
      </c>
      <c r="CX281" s="326" t="str">
        <f t="shared" si="904"/>
        <v/>
      </c>
      <c r="CY281" s="326" t="str">
        <f t="shared" si="905"/>
        <v/>
      </c>
      <c r="CZ281" s="326" t="str">
        <f t="shared" si="906"/>
        <v/>
      </c>
      <c r="DA281" s="326" t="str">
        <f t="shared" si="907"/>
        <v/>
      </c>
      <c r="DB281" s="327" t="str">
        <f t="shared" si="908"/>
        <v/>
      </c>
      <c r="DC281" s="327">
        <f t="shared" si="909"/>
        <v>2</v>
      </c>
      <c r="DD281" s="327" t="str">
        <f t="shared" si="910"/>
        <v/>
      </c>
      <c r="DE281" s="326" t="str">
        <f t="shared" si="911"/>
        <v/>
      </c>
      <c r="DF281" s="326" t="str">
        <f t="shared" si="912"/>
        <v/>
      </c>
      <c r="DG281" s="326" t="str">
        <f t="shared" si="913"/>
        <v/>
      </c>
      <c r="DH281" s="326" t="str">
        <f t="shared" si="914"/>
        <v/>
      </c>
      <c r="DI281" s="326" t="str">
        <f t="shared" si="915"/>
        <v/>
      </c>
      <c r="DJ281" s="325" t="str">
        <f t="shared" si="916"/>
        <v/>
      </c>
      <c r="DK281" s="324" t="str">
        <f t="shared" si="917"/>
        <v/>
      </c>
      <c r="DL281" s="428">
        <f t="shared" si="918"/>
        <v>0</v>
      </c>
      <c r="DM281" s="66">
        <f t="shared" si="919"/>
        <v>1</v>
      </c>
      <c r="DN281" s="66">
        <f t="shared" si="920"/>
        <v>4</v>
      </c>
      <c r="DO281" s="66">
        <f t="shared" si="921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17">IF(B280="","",B280*B281)</f>
        <v/>
      </c>
      <c r="C282" s="405" t="str">
        <f t="shared" si="1017"/>
        <v/>
      </c>
      <c r="D282" s="405" t="str">
        <f t="shared" si="1017"/>
        <v/>
      </c>
      <c r="E282" s="405" t="str">
        <f t="shared" si="1017"/>
        <v/>
      </c>
      <c r="F282" s="405" t="str">
        <f t="shared" si="1017"/>
        <v/>
      </c>
      <c r="G282" s="405" t="str">
        <f t="shared" si="1017"/>
        <v/>
      </c>
      <c r="H282" s="405" t="str">
        <f t="shared" si="1017"/>
        <v/>
      </c>
      <c r="I282" s="405" t="str">
        <f t="shared" si="1017"/>
        <v/>
      </c>
      <c r="J282" s="405" t="str">
        <f t="shared" si="1017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18">IF(T280="","",T280*T281)</f>
        <v>0</v>
      </c>
      <c r="U282" s="405" t="str">
        <f t="shared" si="1018"/>
        <v/>
      </c>
      <c r="V282" s="405" t="str">
        <f t="shared" si="1018"/>
        <v/>
      </c>
      <c r="W282" s="405" t="str">
        <f t="shared" si="1018"/>
        <v/>
      </c>
      <c r="X282" s="405" t="str">
        <f t="shared" si="1018"/>
        <v/>
      </c>
      <c r="Y282" s="405" t="str">
        <f t="shared" si="1018"/>
        <v/>
      </c>
      <c r="Z282" s="405" t="str">
        <f t="shared" si="1018"/>
        <v/>
      </c>
      <c r="AA282" s="405">
        <f t="shared" si="1018"/>
        <v>240</v>
      </c>
      <c r="AB282" s="405" t="str">
        <f t="shared" si="1018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1019">IF(AL280="","",AL280*AL281)</f>
        <v/>
      </c>
      <c r="AM282" s="405" t="str">
        <f t="shared" si="1019"/>
        <v/>
      </c>
      <c r="AN282" s="405" t="str">
        <f t="shared" si="1019"/>
        <v/>
      </c>
      <c r="AO282" s="405">
        <f t="shared" si="1019"/>
        <v>80</v>
      </c>
      <c r="AP282" s="405">
        <f t="shared" si="1019"/>
        <v>1200</v>
      </c>
      <c r="AQ282" s="405" t="str">
        <f t="shared" si="1019"/>
        <v/>
      </c>
      <c r="AR282" s="405">
        <f t="shared" si="1019"/>
        <v>800</v>
      </c>
      <c r="AS282" s="405">
        <f t="shared" si="1019"/>
        <v>150</v>
      </c>
      <c r="AT282" s="405" t="str">
        <f t="shared" si="1019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1020">IF(BD280="","",BD280*BD281)</f>
        <v>2000</v>
      </c>
      <c r="BE282" s="405">
        <f t="shared" si="1020"/>
        <v>900</v>
      </c>
      <c r="BF282" s="405">
        <f t="shared" si="1020"/>
        <v>1050</v>
      </c>
      <c r="BG282" s="405" t="str">
        <f t="shared" si="1020"/>
        <v/>
      </c>
      <c r="BH282" s="405">
        <f t="shared" si="1020"/>
        <v>20</v>
      </c>
      <c r="BI282" s="405" t="str">
        <f t="shared" si="1020"/>
        <v/>
      </c>
      <c r="BJ282" s="405">
        <f t="shared" si="1020"/>
        <v>5000</v>
      </c>
      <c r="BK282" s="405">
        <f t="shared" si="1020"/>
        <v>400</v>
      </c>
      <c r="BL282" s="405" t="str">
        <f t="shared" si="1020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82"/>
        <v/>
      </c>
      <c r="CA282" s="373" t="str">
        <f t="shared" si="883"/>
        <v/>
      </c>
      <c r="CB282" s="373">
        <f t="shared" si="884"/>
        <v>475</v>
      </c>
      <c r="CC282" s="462">
        <f t="shared" si="885"/>
        <v>1087.5</v>
      </c>
      <c r="CD282" s="1109" t="str">
        <f t="shared" si="1016"/>
        <v/>
      </c>
      <c r="CE282" s="1110" t="str">
        <f t="shared" si="1015"/>
        <v/>
      </c>
      <c r="CF282" s="1111" t="str">
        <f t="shared" si="1015"/>
        <v/>
      </c>
      <c r="CG282" s="1111" t="str">
        <f t="shared" si="1015"/>
        <v/>
      </c>
      <c r="CH282" s="1111" t="str">
        <f t="shared" si="1015"/>
        <v/>
      </c>
      <c r="CI282" s="1111" t="str">
        <f t="shared" si="1015"/>
        <v/>
      </c>
      <c r="CJ282" s="1111" t="str">
        <f t="shared" si="1015"/>
        <v/>
      </c>
      <c r="CK282" s="1112" t="str">
        <f t="shared" si="1015"/>
        <v/>
      </c>
      <c r="CL282" s="1112" t="str">
        <f t="shared" si="1015"/>
        <v/>
      </c>
      <c r="CM282" s="1112" t="str">
        <f t="shared" si="1015"/>
        <v/>
      </c>
      <c r="CN282" s="1111" t="str">
        <f t="shared" si="1015"/>
        <v/>
      </c>
      <c r="CO282" s="1111" t="str">
        <f t="shared" si="1015"/>
        <v/>
      </c>
      <c r="CP282" s="1111" t="str">
        <f t="shared" si="1015"/>
        <v/>
      </c>
      <c r="CQ282" s="1111" t="str">
        <f t="shared" si="1015"/>
        <v/>
      </c>
      <c r="CR282" s="1111" t="str">
        <f t="shared" si="1015"/>
        <v/>
      </c>
      <c r="CS282" s="1110" t="str">
        <f t="shared" si="1015"/>
        <v/>
      </c>
      <c r="CT282" s="1113" t="str">
        <f t="shared" si="1015"/>
        <v/>
      </c>
      <c r="CU282" s="324" t="str">
        <f t="shared" si="901"/>
        <v/>
      </c>
      <c r="CV282" s="325" t="str">
        <f t="shared" si="902"/>
        <v/>
      </c>
      <c r="CW282" s="326" t="str">
        <f t="shared" si="903"/>
        <v/>
      </c>
      <c r="CX282" s="326" t="str">
        <f t="shared" si="904"/>
        <v/>
      </c>
      <c r="CY282" s="326" t="str">
        <f t="shared" si="905"/>
        <v/>
      </c>
      <c r="CZ282" s="326" t="str">
        <f t="shared" si="906"/>
        <v/>
      </c>
      <c r="DA282" s="326" t="str">
        <f t="shared" si="907"/>
        <v/>
      </c>
      <c r="DB282" s="327" t="str">
        <f t="shared" si="908"/>
        <v/>
      </c>
      <c r="DC282" s="327">
        <f t="shared" si="909"/>
        <v>0</v>
      </c>
      <c r="DD282" s="327">
        <f t="shared" si="910"/>
        <v>240</v>
      </c>
      <c r="DE282" s="326" t="str">
        <f t="shared" si="911"/>
        <v/>
      </c>
      <c r="DF282" s="326" t="str">
        <f t="shared" si="912"/>
        <v/>
      </c>
      <c r="DG282" s="326" t="str">
        <f t="shared" si="913"/>
        <v/>
      </c>
      <c r="DH282" s="326" t="str">
        <f t="shared" si="914"/>
        <v/>
      </c>
      <c r="DI282" s="326" t="str">
        <f t="shared" si="915"/>
        <v/>
      </c>
      <c r="DJ282" s="325" t="str">
        <f t="shared" si="916"/>
        <v/>
      </c>
      <c r="DK282" s="324" t="str">
        <f t="shared" si="917"/>
        <v/>
      </c>
      <c r="DL282" s="428">
        <f t="shared" si="918"/>
        <v>0</v>
      </c>
      <c r="DM282" s="66">
        <f t="shared" si="919"/>
        <v>2</v>
      </c>
      <c r="DN282" s="66">
        <f t="shared" si="920"/>
        <v>4</v>
      </c>
      <c r="DO282" s="66">
        <f t="shared" si="921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82"/>
        <v/>
      </c>
      <c r="CA283" s="373" t="str">
        <f t="shared" si="883"/>
        <v/>
      </c>
      <c r="CB283" s="373" t="str">
        <f t="shared" si="884"/>
        <v/>
      </c>
      <c r="CC283" s="462" t="str">
        <f t="shared" si="885"/>
        <v/>
      </c>
      <c r="CD283" s="1109" t="str">
        <f t="shared" si="1016"/>
        <v/>
      </c>
      <c r="CE283" s="1110" t="str">
        <f t="shared" si="1015"/>
        <v/>
      </c>
      <c r="CF283" s="1111" t="str">
        <f t="shared" si="1015"/>
        <v/>
      </c>
      <c r="CG283" s="1111" t="str">
        <f t="shared" si="1015"/>
        <v/>
      </c>
      <c r="CH283" s="1111" t="str">
        <f t="shared" si="1015"/>
        <v/>
      </c>
      <c r="CI283" s="1111" t="str">
        <f t="shared" si="1015"/>
        <v/>
      </c>
      <c r="CJ283" s="1111" t="str">
        <f t="shared" si="1015"/>
        <v/>
      </c>
      <c r="CK283" s="1112" t="str">
        <f t="shared" si="1015"/>
        <v/>
      </c>
      <c r="CL283" s="1112" t="str">
        <f t="shared" si="1015"/>
        <v/>
      </c>
      <c r="CM283" s="1112" t="str">
        <f t="shared" si="1015"/>
        <v/>
      </c>
      <c r="CN283" s="1111" t="str">
        <f t="shared" si="1015"/>
        <v/>
      </c>
      <c r="CO283" s="1111" t="str">
        <f t="shared" si="1015"/>
        <v/>
      </c>
      <c r="CP283" s="1111" t="str">
        <f t="shared" si="1015"/>
        <v/>
      </c>
      <c r="CQ283" s="1111" t="str">
        <f t="shared" si="1015"/>
        <v/>
      </c>
      <c r="CR283" s="1111" t="str">
        <f t="shared" si="1015"/>
        <v/>
      </c>
      <c r="CS283" s="1110" t="str">
        <f t="shared" si="1015"/>
        <v/>
      </c>
      <c r="CT283" s="1113" t="str">
        <f t="shared" si="1015"/>
        <v/>
      </c>
      <c r="CU283" s="324" t="str">
        <f t="shared" si="901"/>
        <v/>
      </c>
      <c r="CV283" s="325" t="str">
        <f t="shared" si="902"/>
        <v/>
      </c>
      <c r="CW283" s="326" t="str">
        <f t="shared" si="903"/>
        <v/>
      </c>
      <c r="CX283" s="326" t="str">
        <f t="shared" si="904"/>
        <v/>
      </c>
      <c r="CY283" s="326" t="str">
        <f t="shared" si="905"/>
        <v/>
      </c>
      <c r="CZ283" s="326" t="str">
        <f t="shared" si="906"/>
        <v/>
      </c>
      <c r="DA283" s="326" t="str">
        <f t="shared" si="907"/>
        <v/>
      </c>
      <c r="DB283" s="327" t="str">
        <f t="shared" si="908"/>
        <v/>
      </c>
      <c r="DC283" s="327" t="str">
        <f t="shared" si="909"/>
        <v/>
      </c>
      <c r="DD283" s="327" t="str">
        <f t="shared" si="910"/>
        <v/>
      </c>
      <c r="DE283" s="326" t="str">
        <f t="shared" si="911"/>
        <v/>
      </c>
      <c r="DF283" s="326" t="str">
        <f t="shared" si="912"/>
        <v/>
      </c>
      <c r="DG283" s="326" t="str">
        <f t="shared" si="913"/>
        <v/>
      </c>
      <c r="DH283" s="326" t="str">
        <f t="shared" si="914"/>
        <v/>
      </c>
      <c r="DI283" s="326" t="str">
        <f t="shared" si="915"/>
        <v/>
      </c>
      <c r="DJ283" s="325" t="str">
        <f t="shared" si="916"/>
        <v/>
      </c>
      <c r="DK283" s="324" t="str">
        <f t="shared" si="917"/>
        <v/>
      </c>
      <c r="DL283" s="428">
        <f t="shared" si="918"/>
        <v>0</v>
      </c>
      <c r="DM283" s="66">
        <f t="shared" si="919"/>
        <v>0</v>
      </c>
      <c r="DN283" s="66">
        <f t="shared" si="920"/>
        <v>1</v>
      </c>
      <c r="DO283" s="66">
        <f t="shared" si="921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21">IF(B278="","",(B278-B280-B283)*B279/B$46/365/$G$1)</f>
        <v/>
      </c>
      <c r="C284" s="408" t="str">
        <f t="shared" si="1021"/>
        <v/>
      </c>
      <c r="D284" s="408" t="str">
        <f t="shared" si="1021"/>
        <v/>
      </c>
      <c r="E284" s="408" t="str">
        <f t="shared" si="1021"/>
        <v/>
      </c>
      <c r="F284" s="408" t="str">
        <f t="shared" si="1021"/>
        <v/>
      </c>
      <c r="G284" s="408" t="str">
        <f t="shared" si="1021"/>
        <v/>
      </c>
      <c r="H284" s="408" t="str">
        <f t="shared" si="1021"/>
        <v/>
      </c>
      <c r="I284" s="408" t="str">
        <f t="shared" si="1021"/>
        <v/>
      </c>
      <c r="J284" s="408" t="str">
        <f t="shared" si="1021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22">IF(T278="","",(T278-T280-T283)*T279/T$46/365/$G$1)</f>
        <v>-1.1252446183953033E-4</v>
      </c>
      <c r="U284" s="408" t="str">
        <f t="shared" si="1022"/>
        <v/>
      </c>
      <c r="V284" s="408" t="str">
        <f t="shared" si="1022"/>
        <v/>
      </c>
      <c r="W284" s="408" t="str">
        <f t="shared" si="1022"/>
        <v/>
      </c>
      <c r="X284" s="408" t="str">
        <f t="shared" si="1022"/>
        <v/>
      </c>
      <c r="Y284" s="408" t="str">
        <f t="shared" si="1022"/>
        <v/>
      </c>
      <c r="Z284" s="408" t="str">
        <f t="shared" si="1022"/>
        <v/>
      </c>
      <c r="AA284" s="408">
        <f t="shared" si="1022"/>
        <v>9.0019569471624266E-4</v>
      </c>
      <c r="AB284" s="408">
        <f t="shared" si="1022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1023">IF(AL278="","",(AL278-AL280-AL283)*AL279/AL$46/365/$G$1)</f>
        <v/>
      </c>
      <c r="AM284" s="408" t="str">
        <f t="shared" si="1023"/>
        <v/>
      </c>
      <c r="AN284" s="408" t="str">
        <f t="shared" si="1023"/>
        <v/>
      </c>
      <c r="AO284" s="408">
        <f t="shared" si="1023"/>
        <v>3.0006523157208092E-3</v>
      </c>
      <c r="AP284" s="408">
        <f t="shared" si="1023"/>
        <v>1.0002174385736031E-2</v>
      </c>
      <c r="AQ284" s="408" t="str">
        <f t="shared" si="1023"/>
        <v/>
      </c>
      <c r="AR284" s="408">
        <f t="shared" si="1023"/>
        <v>1.8754076973255054E-3</v>
      </c>
      <c r="AS284" s="408">
        <f t="shared" si="1023"/>
        <v>3.7508153946510109E-3</v>
      </c>
      <c r="AT284" s="408" t="str">
        <f t="shared" si="1023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1024">IF(BD278="","",(BD278-BD280-BD283)*BD279/BD$46/365/$G$1)</f>
        <v>0</v>
      </c>
      <c r="BE284" s="408">
        <f t="shared" si="1024"/>
        <v>0</v>
      </c>
      <c r="BF284" s="408">
        <f t="shared" si="1024"/>
        <v>1.350293542074364E-2</v>
      </c>
      <c r="BG284" s="408" t="str">
        <f t="shared" si="1024"/>
        <v/>
      </c>
      <c r="BH284" s="408">
        <f t="shared" si="1024"/>
        <v>1.5003261578604043E-4</v>
      </c>
      <c r="BI284" s="408" t="str">
        <f t="shared" si="1024"/>
        <v/>
      </c>
      <c r="BJ284" s="408">
        <f t="shared" si="1024"/>
        <v>1.5003261578604046E-3</v>
      </c>
      <c r="BK284" s="408">
        <f t="shared" si="1024"/>
        <v>2.5005435964340077E-3</v>
      </c>
      <c r="BL284" s="408" t="str">
        <f t="shared" si="1024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82"/>
        <v/>
      </c>
      <c r="CA284" s="398">
        <f t="shared" si="883"/>
        <v>9.0019569471624233E-4</v>
      </c>
      <c r="CB284" s="398">
        <f t="shared" si="884"/>
        <v>3.3757338551859096E-3</v>
      </c>
      <c r="CC284" s="465">
        <f t="shared" si="885"/>
        <v>1.037725592520113E-3</v>
      </c>
      <c r="CD284" s="111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5" t="str">
        <f t="shared" ref="CE284:CT290" si="10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6" t="str">
        <f t="shared" si="1025"/>
        <v/>
      </c>
      <c r="CG284" s="1116" t="str">
        <f t="shared" si="1025"/>
        <v/>
      </c>
      <c r="CH284" s="1116" t="str">
        <f t="shared" si="1025"/>
        <v/>
      </c>
      <c r="CI284" s="1116" t="str">
        <f t="shared" si="1025"/>
        <v/>
      </c>
      <c r="CJ284" s="1116" t="str">
        <f t="shared" si="1025"/>
        <v/>
      </c>
      <c r="CK284" s="1117" t="str">
        <f t="shared" si="1025"/>
        <v/>
      </c>
      <c r="CL284" s="1117" t="str">
        <f t="shared" si="1025"/>
        <v/>
      </c>
      <c r="CM284" s="1117" t="str">
        <f t="shared" si="1025"/>
        <v/>
      </c>
      <c r="CN284" s="1116" t="str">
        <f t="shared" si="1025"/>
        <v/>
      </c>
      <c r="CO284" s="1116" t="str">
        <f t="shared" si="1025"/>
        <v/>
      </c>
      <c r="CP284" s="1116" t="str">
        <f t="shared" si="1025"/>
        <v/>
      </c>
      <c r="CQ284" s="1116" t="str">
        <f t="shared" si="1025"/>
        <v/>
      </c>
      <c r="CR284" s="1116" t="str">
        <f t="shared" si="1025"/>
        <v/>
      </c>
      <c r="CS284" s="1115" t="str">
        <f t="shared" si="1025"/>
        <v/>
      </c>
      <c r="CT284" s="1118" t="str">
        <f t="shared" si="1025"/>
        <v/>
      </c>
      <c r="CU284" s="312" t="str">
        <f t="shared" si="901"/>
        <v/>
      </c>
      <c r="CV284" s="313" t="str">
        <f t="shared" si="902"/>
        <v/>
      </c>
      <c r="CW284" s="314" t="str">
        <f t="shared" si="903"/>
        <v/>
      </c>
      <c r="CX284" s="314" t="str">
        <f t="shared" si="904"/>
        <v/>
      </c>
      <c r="CY284" s="314" t="str">
        <f t="shared" si="905"/>
        <v/>
      </c>
      <c r="CZ284" s="314" t="str">
        <f t="shared" si="906"/>
        <v/>
      </c>
      <c r="DA284" s="314" t="str">
        <f t="shared" si="907"/>
        <v/>
      </c>
      <c r="DB284" s="315">
        <f t="shared" si="908"/>
        <v>-1.1252446183953033E-4</v>
      </c>
      <c r="DC284" s="315">
        <f t="shared" si="909"/>
        <v>9.0019569471624266E-4</v>
      </c>
      <c r="DD284" s="315">
        <f t="shared" si="910"/>
        <v>4.2866461653154409E-3</v>
      </c>
      <c r="DE284" s="314" t="str">
        <f t="shared" si="911"/>
        <v/>
      </c>
      <c r="DF284" s="314" t="str">
        <f t="shared" si="912"/>
        <v/>
      </c>
      <c r="DG284" s="314" t="str">
        <f t="shared" si="913"/>
        <v/>
      </c>
      <c r="DH284" s="314" t="str">
        <f t="shared" si="914"/>
        <v/>
      </c>
      <c r="DI284" s="314" t="str">
        <f t="shared" si="915"/>
        <v/>
      </c>
      <c r="DJ284" s="313" t="str">
        <f t="shared" si="916"/>
        <v/>
      </c>
      <c r="DK284" s="312" t="str">
        <f t="shared" si="917"/>
        <v/>
      </c>
      <c r="DL284" s="428">
        <f t="shared" si="918"/>
        <v>0</v>
      </c>
      <c r="DM284" s="66">
        <f t="shared" si="919"/>
        <v>3</v>
      </c>
      <c r="DN284" s="66">
        <f t="shared" si="920"/>
        <v>4</v>
      </c>
      <c r="DO284" s="66">
        <f t="shared" si="921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26">IF(DL285&lt;3,"",(SUM(B285:R285)-MIN(B285:R285)-MAX(B285:R285))/(DL285-2))</f>
        <v>88</v>
      </c>
      <c r="CA285" s="373">
        <f t="shared" ref="CA285:CA299" si="1027">IF(DM285&lt;3,"",(SUM(T285:AJ285)-MIN(T285:AJ285)-MAX(T285:AJ285))/(DM285-2))</f>
        <v>82.5</v>
      </c>
      <c r="CB285" s="373">
        <f t="shared" ref="CB285:CB299" si="1028">IF(DN285&lt;3,"",(SUM(AL285:BB285)-MIN(AL285:BB285)-MAX(AL285:BB285))/(DN285-2))</f>
        <v>400</v>
      </c>
      <c r="CC285" s="462">
        <f t="shared" ref="CC285:CC299" si="1029">IF(DO285&lt;3,"",(SUM(BD285:BT285)-MIN(BD285:BT285)-MAX(BD285:BT285))/(DO285-2))</f>
        <v>314</v>
      </c>
      <c r="CD285" s="1109" t="str">
        <f t="shared" ref="CD285:CD290" si="10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0" t="str">
        <f t="shared" si="1025"/>
        <v/>
      </c>
      <c r="CF285" s="1111" t="str">
        <f t="shared" si="1025"/>
        <v/>
      </c>
      <c r="CG285" s="1111" t="str">
        <f t="shared" si="1025"/>
        <v/>
      </c>
      <c r="CH285" s="1111" t="str">
        <f t="shared" si="1025"/>
        <v/>
      </c>
      <c r="CI285" s="1111">
        <f t="shared" si="1025"/>
        <v>40</v>
      </c>
      <c r="CJ285" s="1111">
        <f t="shared" si="1025"/>
        <v>40</v>
      </c>
      <c r="CK285" s="1112">
        <f t="shared" si="1025"/>
        <v>100</v>
      </c>
      <c r="CL285" s="1112">
        <f t="shared" si="1025"/>
        <v>100</v>
      </c>
      <c r="CM285" s="1112">
        <f t="shared" si="1025"/>
        <v>100</v>
      </c>
      <c r="CN285" s="1111">
        <f t="shared" si="1025"/>
        <v>100</v>
      </c>
      <c r="CO285" s="1111">
        <f t="shared" si="1025"/>
        <v>150</v>
      </c>
      <c r="CP285" s="1111" t="str">
        <f t="shared" si="1025"/>
        <v/>
      </c>
      <c r="CQ285" s="1111" t="str">
        <f t="shared" si="1025"/>
        <v/>
      </c>
      <c r="CR285" s="1111" t="str">
        <f t="shared" si="1025"/>
        <v/>
      </c>
      <c r="CS285" s="1110" t="str">
        <f t="shared" si="1025"/>
        <v/>
      </c>
      <c r="CT285" s="1113" t="str">
        <f t="shared" si="1025"/>
        <v/>
      </c>
      <c r="CU285" s="324" t="str">
        <f t="shared" si="901"/>
        <v/>
      </c>
      <c r="CV285" s="325" t="str">
        <f t="shared" si="902"/>
        <v/>
      </c>
      <c r="CW285" s="326" t="str">
        <f t="shared" si="903"/>
        <v/>
      </c>
      <c r="CX285" s="326" t="str">
        <f t="shared" si="904"/>
        <v/>
      </c>
      <c r="CY285" s="326" t="str">
        <f t="shared" si="905"/>
        <v/>
      </c>
      <c r="CZ285" s="326" t="str">
        <f t="shared" si="906"/>
        <v/>
      </c>
      <c r="DA285" s="326">
        <f t="shared" si="907"/>
        <v>50</v>
      </c>
      <c r="DB285" s="327">
        <f t="shared" si="908"/>
        <v>60</v>
      </c>
      <c r="DC285" s="327">
        <f t="shared" si="909"/>
        <v>80</v>
      </c>
      <c r="DD285" s="327">
        <f t="shared" si="910"/>
        <v>90</v>
      </c>
      <c r="DE285" s="326">
        <f t="shared" si="911"/>
        <v>100</v>
      </c>
      <c r="DF285" s="326">
        <f t="shared" si="912"/>
        <v>150</v>
      </c>
      <c r="DG285" s="326" t="str">
        <f t="shared" si="913"/>
        <v/>
      </c>
      <c r="DH285" s="326" t="str">
        <f t="shared" si="914"/>
        <v/>
      </c>
      <c r="DI285" s="326" t="str">
        <f t="shared" si="915"/>
        <v/>
      </c>
      <c r="DJ285" s="325" t="str">
        <f t="shared" si="916"/>
        <v/>
      </c>
      <c r="DK285" s="324" t="str">
        <f t="shared" si="917"/>
        <v/>
      </c>
      <c r="DL285" s="428">
        <f t="shared" si="918"/>
        <v>7</v>
      </c>
      <c r="DM285" s="66">
        <f t="shared" si="919"/>
        <v>6</v>
      </c>
      <c r="DN285" s="66">
        <f t="shared" si="920"/>
        <v>6</v>
      </c>
      <c r="DO285" s="66">
        <f t="shared" si="921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31">3360*$K$1</f>
        <v>3360</v>
      </c>
      <c r="C286" s="476">
        <f t="shared" si="1031"/>
        <v>3360</v>
      </c>
      <c r="D286" s="476">
        <f t="shared" si="1031"/>
        <v>3360</v>
      </c>
      <c r="E286" s="476">
        <f t="shared" si="1031"/>
        <v>3360</v>
      </c>
      <c r="F286" s="476">
        <f t="shared" si="1031"/>
        <v>3360</v>
      </c>
      <c r="G286" s="476">
        <f t="shared" si="1031"/>
        <v>3360</v>
      </c>
      <c r="H286" s="476">
        <v>3360</v>
      </c>
      <c r="I286" s="476">
        <f t="shared" si="1031"/>
        <v>3360</v>
      </c>
      <c r="J286" s="476">
        <f t="shared" si="1031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1032">3360*$K$1</f>
        <v>3360</v>
      </c>
      <c r="U286" s="476">
        <f t="shared" si="1032"/>
        <v>3360</v>
      </c>
      <c r="V286" s="476">
        <f t="shared" si="1032"/>
        <v>3360</v>
      </c>
      <c r="W286" s="476">
        <f t="shared" si="1032"/>
        <v>3360</v>
      </c>
      <c r="X286" s="476">
        <f t="shared" si="1032"/>
        <v>3360</v>
      </c>
      <c r="Y286" s="476">
        <f t="shared" si="1032"/>
        <v>3360</v>
      </c>
      <c r="Z286" s="476">
        <f t="shared" si="1032"/>
        <v>3360</v>
      </c>
      <c r="AA286" s="476">
        <f t="shared" si="1032"/>
        <v>3360</v>
      </c>
      <c r="AB286" s="476">
        <f t="shared" si="1032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1033">3360*$K$1</f>
        <v>3360</v>
      </c>
      <c r="AM286" s="476">
        <f t="shared" si="1033"/>
        <v>3360</v>
      </c>
      <c r="AN286" s="476">
        <f t="shared" si="1033"/>
        <v>3360</v>
      </c>
      <c r="AO286" s="476">
        <f t="shared" si="1033"/>
        <v>3360</v>
      </c>
      <c r="AP286" s="476">
        <f t="shared" si="1033"/>
        <v>3360</v>
      </c>
      <c r="AQ286" s="476">
        <f t="shared" si="1033"/>
        <v>3360</v>
      </c>
      <c r="AR286" s="476">
        <f t="shared" si="1033"/>
        <v>3360</v>
      </c>
      <c r="AS286" s="476">
        <v>3360</v>
      </c>
      <c r="AT286" s="476">
        <f t="shared" si="1033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1034">3360*$K$1</f>
        <v>3360</v>
      </c>
      <c r="BE286" s="476">
        <f t="shared" si="1034"/>
        <v>3360</v>
      </c>
      <c r="BF286" s="476">
        <f t="shared" si="1034"/>
        <v>3360</v>
      </c>
      <c r="BG286" s="476">
        <f t="shared" si="1034"/>
        <v>3360</v>
      </c>
      <c r="BH286" s="476">
        <f t="shared" si="1034"/>
        <v>3360</v>
      </c>
      <c r="BI286" s="476">
        <f t="shared" si="1034"/>
        <v>3360</v>
      </c>
      <c r="BJ286" s="476">
        <f t="shared" si="1034"/>
        <v>3360</v>
      </c>
      <c r="BK286" s="476">
        <f t="shared" si="1034"/>
        <v>3360</v>
      </c>
      <c r="BL286" s="476">
        <f t="shared" si="1034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26"/>
        <v>3360</v>
      </c>
      <c r="CA286" s="373">
        <f t="shared" si="1027"/>
        <v>3360</v>
      </c>
      <c r="CB286" s="373">
        <f t="shared" si="1028"/>
        <v>3360</v>
      </c>
      <c r="CC286" s="462">
        <f t="shared" si="1029"/>
        <v>3360</v>
      </c>
      <c r="CD286" s="1109" t="str">
        <f t="shared" si="1030"/>
        <v/>
      </c>
      <c r="CE286" s="1110" t="str">
        <f t="shared" si="1025"/>
        <v/>
      </c>
      <c r="CF286" s="1111" t="str">
        <f t="shared" si="1025"/>
        <v/>
      </c>
      <c r="CG286" s="1111" t="str">
        <f t="shared" si="1025"/>
        <v/>
      </c>
      <c r="CH286" s="1111">
        <f t="shared" si="1025"/>
        <v>3360</v>
      </c>
      <c r="CI286" s="1111">
        <f t="shared" si="1025"/>
        <v>3360</v>
      </c>
      <c r="CJ286" s="1111">
        <f t="shared" si="1025"/>
        <v>3360</v>
      </c>
      <c r="CK286" s="1112">
        <f t="shared" si="1025"/>
        <v>3360</v>
      </c>
      <c r="CL286" s="1112">
        <f t="shared" si="1025"/>
        <v>3360</v>
      </c>
      <c r="CM286" s="1112">
        <f t="shared" si="1025"/>
        <v>3360</v>
      </c>
      <c r="CN286" s="1111">
        <f t="shared" si="1025"/>
        <v>3360</v>
      </c>
      <c r="CO286" s="1111">
        <f t="shared" si="1025"/>
        <v>3360</v>
      </c>
      <c r="CP286" s="1111">
        <f t="shared" si="1025"/>
        <v>3360</v>
      </c>
      <c r="CQ286" s="1111" t="str">
        <f t="shared" si="1025"/>
        <v/>
      </c>
      <c r="CR286" s="1111" t="str">
        <f t="shared" si="1025"/>
        <v/>
      </c>
      <c r="CS286" s="1110" t="str">
        <f t="shared" si="1025"/>
        <v/>
      </c>
      <c r="CT286" s="1113" t="str">
        <f t="shared" si="1025"/>
        <v/>
      </c>
      <c r="CU286" s="324" t="str">
        <f t="shared" si="901"/>
        <v/>
      </c>
      <c r="CV286" s="325" t="str">
        <f t="shared" si="902"/>
        <v/>
      </c>
      <c r="CW286" s="326" t="str">
        <f t="shared" si="903"/>
        <v/>
      </c>
      <c r="CX286" s="326" t="str">
        <f t="shared" si="904"/>
        <v/>
      </c>
      <c r="CY286" s="326">
        <f t="shared" si="905"/>
        <v>3360</v>
      </c>
      <c r="CZ286" s="326">
        <f t="shared" si="906"/>
        <v>3360</v>
      </c>
      <c r="DA286" s="326">
        <f t="shared" si="907"/>
        <v>3360</v>
      </c>
      <c r="DB286" s="327">
        <f t="shared" si="908"/>
        <v>3360</v>
      </c>
      <c r="DC286" s="327">
        <f t="shared" si="909"/>
        <v>3360</v>
      </c>
      <c r="DD286" s="327">
        <f t="shared" si="910"/>
        <v>3360</v>
      </c>
      <c r="DE286" s="326">
        <f t="shared" si="911"/>
        <v>3360</v>
      </c>
      <c r="DF286" s="326">
        <f t="shared" si="912"/>
        <v>3360</v>
      </c>
      <c r="DG286" s="326">
        <f t="shared" si="913"/>
        <v>3360</v>
      </c>
      <c r="DH286" s="326" t="str">
        <f t="shared" si="914"/>
        <v/>
      </c>
      <c r="DI286" s="326" t="str">
        <f t="shared" si="915"/>
        <v/>
      </c>
      <c r="DJ286" s="325" t="str">
        <f t="shared" si="916"/>
        <v/>
      </c>
      <c r="DK286" s="324" t="str">
        <f t="shared" si="917"/>
        <v/>
      </c>
      <c r="DL286" s="428">
        <f t="shared" si="918"/>
        <v>9</v>
      </c>
      <c r="DM286" s="66">
        <f t="shared" si="919"/>
        <v>9</v>
      </c>
      <c r="DN286" s="66">
        <f t="shared" si="920"/>
        <v>9</v>
      </c>
      <c r="DO286" s="66">
        <f t="shared" si="921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26"/>
        <v/>
      </c>
      <c r="CA287" s="373" t="str">
        <f t="shared" si="1027"/>
        <v/>
      </c>
      <c r="CB287" s="373">
        <f t="shared" si="1028"/>
        <v>287.5</v>
      </c>
      <c r="CC287" s="462">
        <f t="shared" si="1029"/>
        <v>180</v>
      </c>
      <c r="CD287" s="1109" t="str">
        <f t="shared" si="1030"/>
        <v/>
      </c>
      <c r="CE287" s="1110" t="str">
        <f t="shared" si="1025"/>
        <v/>
      </c>
      <c r="CF287" s="1111" t="str">
        <f t="shared" si="1025"/>
        <v/>
      </c>
      <c r="CG287" s="1111" t="str">
        <f t="shared" si="1025"/>
        <v/>
      </c>
      <c r="CH287" s="1111" t="str">
        <f t="shared" si="1025"/>
        <v/>
      </c>
      <c r="CI287" s="1111" t="str">
        <f t="shared" si="1025"/>
        <v/>
      </c>
      <c r="CJ287" s="1111" t="str">
        <f t="shared" si="1025"/>
        <v/>
      </c>
      <c r="CK287" s="1112" t="str">
        <f t="shared" si="1025"/>
        <v/>
      </c>
      <c r="CL287" s="1112">
        <f t="shared" si="1025"/>
        <v>60</v>
      </c>
      <c r="CM287" s="1112" t="str">
        <f t="shared" si="1025"/>
        <v/>
      </c>
      <c r="CN287" s="1111" t="str">
        <f t="shared" si="1025"/>
        <v/>
      </c>
      <c r="CO287" s="1111" t="str">
        <f t="shared" si="1025"/>
        <v/>
      </c>
      <c r="CP287" s="1111" t="str">
        <f t="shared" si="1025"/>
        <v/>
      </c>
      <c r="CQ287" s="1111" t="str">
        <f t="shared" si="1025"/>
        <v/>
      </c>
      <c r="CR287" s="1111" t="str">
        <f t="shared" si="1025"/>
        <v/>
      </c>
      <c r="CS287" s="1110" t="str">
        <f t="shared" si="1025"/>
        <v/>
      </c>
      <c r="CT287" s="1113" t="str">
        <f t="shared" si="1025"/>
        <v/>
      </c>
      <c r="CU287" s="324" t="str">
        <f t="shared" si="901"/>
        <v/>
      </c>
      <c r="CV287" s="325" t="str">
        <f t="shared" si="902"/>
        <v/>
      </c>
      <c r="CW287" s="326" t="str">
        <f t="shared" si="903"/>
        <v/>
      </c>
      <c r="CX287" s="326" t="str">
        <f t="shared" si="904"/>
        <v/>
      </c>
      <c r="CY287" s="326" t="str">
        <f t="shared" si="905"/>
        <v/>
      </c>
      <c r="CZ287" s="326" t="str">
        <f t="shared" si="906"/>
        <v/>
      </c>
      <c r="DA287" s="326" t="str">
        <f t="shared" si="907"/>
        <v/>
      </c>
      <c r="DB287" s="327" t="str">
        <f t="shared" si="908"/>
        <v/>
      </c>
      <c r="DC287" s="327">
        <f t="shared" si="909"/>
        <v>40</v>
      </c>
      <c r="DD287" s="327" t="str">
        <f t="shared" si="910"/>
        <v/>
      </c>
      <c r="DE287" s="326" t="str">
        <f t="shared" si="911"/>
        <v/>
      </c>
      <c r="DF287" s="326" t="str">
        <f t="shared" si="912"/>
        <v/>
      </c>
      <c r="DG287" s="326" t="str">
        <f t="shared" si="913"/>
        <v/>
      </c>
      <c r="DH287" s="326" t="str">
        <f t="shared" si="914"/>
        <v/>
      </c>
      <c r="DI287" s="326" t="str">
        <f t="shared" si="915"/>
        <v/>
      </c>
      <c r="DJ287" s="325" t="str">
        <f t="shared" si="916"/>
        <v/>
      </c>
      <c r="DK287" s="324" t="str">
        <f t="shared" si="917"/>
        <v/>
      </c>
      <c r="DL287" s="428">
        <f t="shared" si="918"/>
        <v>1</v>
      </c>
      <c r="DM287" s="66">
        <f t="shared" si="919"/>
        <v>1</v>
      </c>
      <c r="DN287" s="66">
        <f t="shared" si="920"/>
        <v>6</v>
      </c>
      <c r="DO287" s="66">
        <f t="shared" si="921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26"/>
        <v/>
      </c>
      <c r="CA288" s="373" t="str">
        <f t="shared" si="1027"/>
        <v/>
      </c>
      <c r="CB288" s="373">
        <f t="shared" si="1028"/>
        <v>1.0333333333333332</v>
      </c>
      <c r="CC288" s="462">
        <f t="shared" si="1029"/>
        <v>1.44</v>
      </c>
      <c r="CD288" s="1109" t="str">
        <f t="shared" si="1030"/>
        <v/>
      </c>
      <c r="CE288" s="1110" t="str">
        <f t="shared" si="1025"/>
        <v/>
      </c>
      <c r="CF288" s="1111" t="str">
        <f t="shared" si="1025"/>
        <v/>
      </c>
      <c r="CG288" s="1111" t="str">
        <f t="shared" si="1025"/>
        <v/>
      </c>
      <c r="CH288" s="1111" t="str">
        <f t="shared" si="1025"/>
        <v/>
      </c>
      <c r="CI288" s="1111" t="str">
        <f t="shared" si="1025"/>
        <v/>
      </c>
      <c r="CJ288" s="1111" t="str">
        <f t="shared" si="1025"/>
        <v/>
      </c>
      <c r="CK288" s="1112" t="str">
        <f t="shared" si="1025"/>
        <v/>
      </c>
      <c r="CL288" s="1112">
        <f t="shared" si="1025"/>
        <v>0.5</v>
      </c>
      <c r="CM288" s="1112" t="str">
        <f t="shared" si="1025"/>
        <v/>
      </c>
      <c r="CN288" s="1111" t="str">
        <f t="shared" si="1025"/>
        <v/>
      </c>
      <c r="CO288" s="1111" t="str">
        <f t="shared" si="1025"/>
        <v/>
      </c>
      <c r="CP288" s="1111" t="str">
        <f t="shared" si="1025"/>
        <v/>
      </c>
      <c r="CQ288" s="1111" t="str">
        <f t="shared" si="1025"/>
        <v/>
      </c>
      <c r="CR288" s="1111" t="str">
        <f t="shared" si="1025"/>
        <v/>
      </c>
      <c r="CS288" s="1110" t="str">
        <f t="shared" si="1025"/>
        <v/>
      </c>
      <c r="CT288" s="1113" t="str">
        <f t="shared" si="1025"/>
        <v/>
      </c>
      <c r="CU288" s="324" t="str">
        <f t="shared" si="901"/>
        <v/>
      </c>
      <c r="CV288" s="325" t="str">
        <f t="shared" si="902"/>
        <v/>
      </c>
      <c r="CW288" s="326" t="str">
        <f t="shared" si="903"/>
        <v/>
      </c>
      <c r="CX288" s="326" t="str">
        <f t="shared" si="904"/>
        <v/>
      </c>
      <c r="CY288" s="326" t="str">
        <f t="shared" si="905"/>
        <v/>
      </c>
      <c r="CZ288" s="326" t="str">
        <f t="shared" si="906"/>
        <v/>
      </c>
      <c r="DA288" s="326" t="str">
        <f t="shared" si="907"/>
        <v/>
      </c>
      <c r="DB288" s="327" t="str">
        <f t="shared" si="908"/>
        <v/>
      </c>
      <c r="DC288" s="327">
        <f t="shared" si="909"/>
        <v>2</v>
      </c>
      <c r="DD288" s="327" t="str">
        <f t="shared" si="910"/>
        <v/>
      </c>
      <c r="DE288" s="326" t="str">
        <f t="shared" si="911"/>
        <v/>
      </c>
      <c r="DF288" s="326" t="str">
        <f t="shared" si="912"/>
        <v/>
      </c>
      <c r="DG288" s="326" t="str">
        <f t="shared" si="913"/>
        <v/>
      </c>
      <c r="DH288" s="326" t="str">
        <f t="shared" si="914"/>
        <v/>
      </c>
      <c r="DI288" s="326" t="str">
        <f t="shared" si="915"/>
        <v/>
      </c>
      <c r="DJ288" s="325" t="str">
        <f t="shared" si="916"/>
        <v/>
      </c>
      <c r="DK288" s="324" t="str">
        <f t="shared" si="917"/>
        <v/>
      </c>
      <c r="DL288" s="428">
        <f t="shared" si="918"/>
        <v>1</v>
      </c>
      <c r="DM288" s="66">
        <f t="shared" si="919"/>
        <v>1</v>
      </c>
      <c r="DN288" s="66">
        <f t="shared" si="920"/>
        <v>5</v>
      </c>
      <c r="DO288" s="66">
        <f t="shared" si="921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35">IF(B287="","",B287*B288)</f>
        <v/>
      </c>
      <c r="C289" s="405" t="str">
        <f t="shared" si="1035"/>
        <v/>
      </c>
      <c r="D289" s="405" t="str">
        <f t="shared" si="1035"/>
        <v/>
      </c>
      <c r="E289" s="405" t="str">
        <f t="shared" si="1035"/>
        <v/>
      </c>
      <c r="F289" s="405">
        <f t="shared" si="1035"/>
        <v>30</v>
      </c>
      <c r="G289" s="405" t="str">
        <f t="shared" si="1035"/>
        <v/>
      </c>
      <c r="H289" s="405" t="str">
        <f t="shared" si="1035"/>
        <v/>
      </c>
      <c r="I289" s="405" t="str">
        <f t="shared" si="1035"/>
        <v/>
      </c>
      <c r="J289" s="405" t="str">
        <f t="shared" si="1035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36">IF(T287="","",T287*T288)</f>
        <v/>
      </c>
      <c r="U289" s="405" t="str">
        <f t="shared" si="1036"/>
        <v/>
      </c>
      <c r="V289" s="405" t="str">
        <f t="shared" si="1036"/>
        <v/>
      </c>
      <c r="W289" s="405" t="str">
        <f t="shared" si="1036"/>
        <v/>
      </c>
      <c r="X289" s="405" t="str">
        <f t="shared" si="1036"/>
        <v/>
      </c>
      <c r="Y289" s="405">
        <f t="shared" si="1036"/>
        <v>80</v>
      </c>
      <c r="Z289" s="405" t="str">
        <f t="shared" si="1036"/>
        <v/>
      </c>
      <c r="AA289" s="405" t="str">
        <f t="shared" si="1036"/>
        <v/>
      </c>
      <c r="AB289" s="405" t="str">
        <f t="shared" si="1036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1037">IF(AL287="","",AL287*AL288)</f>
        <v/>
      </c>
      <c r="AM289" s="405" t="str">
        <f t="shared" si="1037"/>
        <v/>
      </c>
      <c r="AN289" s="405" t="str">
        <f t="shared" si="1037"/>
        <v/>
      </c>
      <c r="AO289" s="405">
        <f t="shared" si="1037"/>
        <v>150</v>
      </c>
      <c r="AP289" s="405">
        <f t="shared" si="1037"/>
        <v>360</v>
      </c>
      <c r="AQ289" s="405">
        <f t="shared" si="1037"/>
        <v>360</v>
      </c>
      <c r="AR289" s="405">
        <f t="shared" si="1037"/>
        <v>360</v>
      </c>
      <c r="AS289" s="405">
        <f t="shared" si="1037"/>
        <v>0</v>
      </c>
      <c r="AT289" s="405">
        <f t="shared" si="1037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1038">IF(BD287="","",BD287*BD288)</f>
        <v>216</v>
      </c>
      <c r="BE289" s="405" t="str">
        <f t="shared" si="1038"/>
        <v/>
      </c>
      <c r="BF289" s="405" t="str">
        <f t="shared" si="1038"/>
        <v/>
      </c>
      <c r="BG289" s="405">
        <f t="shared" si="1038"/>
        <v>360</v>
      </c>
      <c r="BH289" s="405">
        <f t="shared" si="1038"/>
        <v>150</v>
      </c>
      <c r="BI289" s="405">
        <f t="shared" si="1038"/>
        <v>500</v>
      </c>
      <c r="BJ289" s="405">
        <f t="shared" si="1038"/>
        <v>200</v>
      </c>
      <c r="BK289" s="405">
        <f t="shared" si="1038"/>
        <v>350</v>
      </c>
      <c r="BL289" s="405">
        <f t="shared" si="1038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26"/>
        <v/>
      </c>
      <c r="CA289" s="373" t="str">
        <f t="shared" si="1027"/>
        <v/>
      </c>
      <c r="CB289" s="373">
        <f t="shared" si="1028"/>
        <v>307.5</v>
      </c>
      <c r="CC289" s="462">
        <f t="shared" si="1029"/>
        <v>255.2</v>
      </c>
      <c r="CD289" s="1109" t="str">
        <f t="shared" si="1030"/>
        <v/>
      </c>
      <c r="CE289" s="1110" t="str">
        <f t="shared" si="1025"/>
        <v/>
      </c>
      <c r="CF289" s="1111" t="str">
        <f t="shared" si="1025"/>
        <v/>
      </c>
      <c r="CG289" s="1111" t="str">
        <f t="shared" si="1025"/>
        <v/>
      </c>
      <c r="CH289" s="1111" t="str">
        <f t="shared" si="1025"/>
        <v/>
      </c>
      <c r="CI289" s="1111" t="str">
        <f t="shared" si="1025"/>
        <v/>
      </c>
      <c r="CJ289" s="1111" t="str">
        <f t="shared" si="1025"/>
        <v/>
      </c>
      <c r="CK289" s="1112" t="str">
        <f t="shared" si="1025"/>
        <v/>
      </c>
      <c r="CL289" s="1112">
        <f t="shared" si="1025"/>
        <v>30</v>
      </c>
      <c r="CM289" s="1112" t="str">
        <f t="shared" si="1025"/>
        <v/>
      </c>
      <c r="CN289" s="1111" t="str">
        <f t="shared" si="1025"/>
        <v/>
      </c>
      <c r="CO289" s="1111" t="str">
        <f t="shared" si="1025"/>
        <v/>
      </c>
      <c r="CP289" s="1111" t="str">
        <f t="shared" si="1025"/>
        <v/>
      </c>
      <c r="CQ289" s="1111" t="str">
        <f t="shared" si="1025"/>
        <v/>
      </c>
      <c r="CR289" s="1111" t="str">
        <f t="shared" si="1025"/>
        <v/>
      </c>
      <c r="CS289" s="1110" t="str">
        <f t="shared" si="1025"/>
        <v/>
      </c>
      <c r="CT289" s="1113" t="str">
        <f t="shared" si="1025"/>
        <v/>
      </c>
      <c r="CU289" s="324" t="str">
        <f t="shared" si="901"/>
        <v/>
      </c>
      <c r="CV289" s="325" t="str">
        <f t="shared" si="902"/>
        <v/>
      </c>
      <c r="CW289" s="326" t="str">
        <f t="shared" si="903"/>
        <v/>
      </c>
      <c r="CX289" s="326" t="str">
        <f t="shared" si="904"/>
        <v/>
      </c>
      <c r="CY289" s="326" t="str">
        <f t="shared" si="905"/>
        <v/>
      </c>
      <c r="CZ289" s="326" t="str">
        <f t="shared" si="906"/>
        <v/>
      </c>
      <c r="DA289" s="326" t="str">
        <f t="shared" si="907"/>
        <v/>
      </c>
      <c r="DB289" s="327" t="str">
        <f t="shared" si="908"/>
        <v/>
      </c>
      <c r="DC289" s="327">
        <f t="shared" si="909"/>
        <v>80</v>
      </c>
      <c r="DD289" s="327" t="str">
        <f t="shared" si="910"/>
        <v/>
      </c>
      <c r="DE289" s="326" t="str">
        <f t="shared" si="911"/>
        <v/>
      </c>
      <c r="DF289" s="326" t="str">
        <f t="shared" si="912"/>
        <v/>
      </c>
      <c r="DG289" s="326" t="str">
        <f t="shared" si="913"/>
        <v/>
      </c>
      <c r="DH289" s="326" t="str">
        <f t="shared" si="914"/>
        <v/>
      </c>
      <c r="DI289" s="326" t="str">
        <f t="shared" si="915"/>
        <v/>
      </c>
      <c r="DJ289" s="325" t="str">
        <f t="shared" si="916"/>
        <v/>
      </c>
      <c r="DK289" s="324" t="str">
        <f t="shared" si="917"/>
        <v/>
      </c>
      <c r="DL289" s="428">
        <f t="shared" si="918"/>
        <v>1</v>
      </c>
      <c r="DM289" s="66">
        <f t="shared" si="919"/>
        <v>1</v>
      </c>
      <c r="DN289" s="66">
        <f t="shared" si="920"/>
        <v>6</v>
      </c>
      <c r="DO289" s="66">
        <f t="shared" si="921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26"/>
        <v>10</v>
      </c>
      <c r="CA290" s="373" t="str">
        <f t="shared" si="1027"/>
        <v/>
      </c>
      <c r="CB290" s="373">
        <f t="shared" si="1028"/>
        <v>20</v>
      </c>
      <c r="CC290" s="462">
        <f t="shared" si="1029"/>
        <v>16.666666666666668</v>
      </c>
      <c r="CD290" s="1109" t="str">
        <f t="shared" si="1030"/>
        <v/>
      </c>
      <c r="CE290" s="1110" t="str">
        <f t="shared" si="1025"/>
        <v/>
      </c>
      <c r="CF290" s="1111" t="str">
        <f t="shared" si="1025"/>
        <v/>
      </c>
      <c r="CG290" s="1111" t="str">
        <f t="shared" si="1025"/>
        <v/>
      </c>
      <c r="CH290" s="1111" t="str">
        <f t="shared" si="1025"/>
        <v/>
      </c>
      <c r="CI290" s="1111" t="str">
        <f t="shared" si="1025"/>
        <v/>
      </c>
      <c r="CJ290" s="1111" t="str">
        <f t="shared" si="1025"/>
        <v/>
      </c>
      <c r="CK290" s="1112">
        <f t="shared" si="1025"/>
        <v>5</v>
      </c>
      <c r="CL290" s="1112">
        <f t="shared" si="1025"/>
        <v>10</v>
      </c>
      <c r="CM290" s="1112">
        <f t="shared" si="1025"/>
        <v>40</v>
      </c>
      <c r="CN290" s="1111" t="str">
        <f t="shared" si="1025"/>
        <v/>
      </c>
      <c r="CO290" s="1111" t="str">
        <f t="shared" si="1025"/>
        <v/>
      </c>
      <c r="CP290" s="1111" t="str">
        <f t="shared" si="1025"/>
        <v/>
      </c>
      <c r="CQ290" s="1111" t="str">
        <f t="shared" si="1025"/>
        <v/>
      </c>
      <c r="CR290" s="1111" t="str">
        <f t="shared" si="1025"/>
        <v/>
      </c>
      <c r="CS290" s="1110" t="str">
        <f t="shared" si="1025"/>
        <v/>
      </c>
      <c r="CT290" s="1113" t="str">
        <f t="shared" si="1025"/>
        <v/>
      </c>
      <c r="CU290" s="324" t="str">
        <f t="shared" si="901"/>
        <v/>
      </c>
      <c r="CV290" s="325" t="str">
        <f t="shared" si="902"/>
        <v/>
      </c>
      <c r="CW290" s="326" t="str">
        <f t="shared" si="903"/>
        <v/>
      </c>
      <c r="CX290" s="326" t="str">
        <f t="shared" si="904"/>
        <v/>
      </c>
      <c r="CY290" s="326" t="str">
        <f t="shared" si="905"/>
        <v/>
      </c>
      <c r="CZ290" s="326" t="str">
        <f t="shared" si="906"/>
        <v/>
      </c>
      <c r="DA290" s="326" t="str">
        <f t="shared" si="907"/>
        <v/>
      </c>
      <c r="DB290" s="327" t="str">
        <f t="shared" si="908"/>
        <v/>
      </c>
      <c r="DC290" s="327">
        <f t="shared" si="909"/>
        <v>15</v>
      </c>
      <c r="DD290" s="327" t="str">
        <f t="shared" si="910"/>
        <v/>
      </c>
      <c r="DE290" s="326" t="str">
        <f t="shared" si="911"/>
        <v/>
      </c>
      <c r="DF290" s="326" t="str">
        <f t="shared" si="912"/>
        <v/>
      </c>
      <c r="DG290" s="326" t="str">
        <f t="shared" si="913"/>
        <v/>
      </c>
      <c r="DH290" s="326" t="str">
        <f t="shared" si="914"/>
        <v/>
      </c>
      <c r="DI290" s="326" t="str">
        <f t="shared" si="915"/>
        <v/>
      </c>
      <c r="DJ290" s="325" t="str">
        <f t="shared" si="916"/>
        <v/>
      </c>
      <c r="DK290" s="324" t="str">
        <f t="shared" si="917"/>
        <v/>
      </c>
      <c r="DL290" s="428">
        <f t="shared" si="918"/>
        <v>3</v>
      </c>
      <c r="DM290" s="66">
        <f t="shared" si="919"/>
        <v>1</v>
      </c>
      <c r="DN290" s="66">
        <f t="shared" si="920"/>
        <v>3</v>
      </c>
      <c r="DO290" s="66">
        <f t="shared" si="921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39">IF(B285="","",(B285-B287-B290)*B286/B$46/365/$G$1)</f>
        <v>4.1643835616438356E-2</v>
      </c>
      <c r="C291" s="408" t="str">
        <f t="shared" si="1039"/>
        <v/>
      </c>
      <c r="D291" s="408" t="str">
        <f t="shared" si="1039"/>
        <v/>
      </c>
      <c r="E291" s="408">
        <f t="shared" si="1039"/>
        <v>7.3059360730593603E-2</v>
      </c>
      <c r="F291" s="408">
        <f t="shared" si="1039"/>
        <v>2.9223744292237442E-2</v>
      </c>
      <c r="G291" s="408">
        <f t="shared" si="1039"/>
        <v>7.6712328767123292E-2</v>
      </c>
      <c r="H291" s="408">
        <f t="shared" si="1039"/>
        <v>2.9223744292237442E-2</v>
      </c>
      <c r="I291" s="408">
        <f t="shared" si="1039"/>
        <v>2.9223744292237442E-2</v>
      </c>
      <c r="J291" s="408">
        <f t="shared" si="1039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40">IF(T285="","",(T285-T287-T290)*T286/T$46/365/$G$1)</f>
        <v/>
      </c>
      <c r="U291" s="408" t="str">
        <f t="shared" si="1040"/>
        <v/>
      </c>
      <c r="V291" s="408" t="str">
        <f t="shared" si="1040"/>
        <v/>
      </c>
      <c r="W291" s="408">
        <f t="shared" si="1040"/>
        <v>2.63013698630137E-2</v>
      </c>
      <c r="X291" s="408">
        <f t="shared" si="1040"/>
        <v>5.4794520547945202E-2</v>
      </c>
      <c r="Y291" s="408">
        <f t="shared" si="1040"/>
        <v>2.5048923679060663E-2</v>
      </c>
      <c r="Z291" s="408">
        <f t="shared" si="1040"/>
        <v>1.9178082191780823E-2</v>
      </c>
      <c r="AA291" s="408">
        <f t="shared" si="1040"/>
        <v>3.9452054794520547E-2</v>
      </c>
      <c r="AB291" s="408">
        <f t="shared" si="1040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1041">IF(AL285="","",(AL285-AL287-AL290)*AL286/AL$46/365/$G$1)</f>
        <v/>
      </c>
      <c r="AM291" s="408" t="str">
        <f t="shared" si="1041"/>
        <v/>
      </c>
      <c r="AN291" s="408" t="str">
        <f t="shared" si="1041"/>
        <v/>
      </c>
      <c r="AO291" s="408">
        <f t="shared" si="1041"/>
        <v>5.4794520547945202E-2</v>
      </c>
      <c r="AP291" s="408">
        <f t="shared" si="1041"/>
        <v>2.1917808219178082E-2</v>
      </c>
      <c r="AQ291" s="408">
        <f t="shared" si="1041"/>
        <v>3.6529680365296802E-2</v>
      </c>
      <c r="AR291" s="408">
        <f t="shared" si="1041"/>
        <v>4.3835616438356165E-2</v>
      </c>
      <c r="AS291" s="408">
        <f t="shared" si="1041"/>
        <v>8.2191780821917818E-2</v>
      </c>
      <c r="AT291" s="408">
        <f t="shared" si="1041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1042">IF(BD285="","",(BD285-BD287-BD290)*BD286/BD$46/365/$G$1)</f>
        <v>2.5570776255707764E-2</v>
      </c>
      <c r="BE291" s="408" t="str">
        <f t="shared" si="1042"/>
        <v/>
      </c>
      <c r="BF291" s="408" t="str">
        <f t="shared" si="1042"/>
        <v/>
      </c>
      <c r="BG291" s="408">
        <f t="shared" si="1042"/>
        <v>4.8219178082191783E-2</v>
      </c>
      <c r="BH291" s="408">
        <f t="shared" si="1042"/>
        <v>4.3835616438356165E-2</v>
      </c>
      <c r="BI291" s="408">
        <f t="shared" si="1042"/>
        <v>0.11898238747553816</v>
      </c>
      <c r="BJ291" s="408">
        <f t="shared" si="1042"/>
        <v>3.6529680365296802E-2</v>
      </c>
      <c r="BK291" s="408">
        <f t="shared" si="1042"/>
        <v>7.1232876712328766E-2</v>
      </c>
      <c r="BL291" s="408">
        <f t="shared" si="1042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26"/>
        <v>4.2144814090019578E-2</v>
      </c>
      <c r="CA291" s="398">
        <f t="shared" si="1027"/>
        <v>3.6399217221135031E-2</v>
      </c>
      <c r="CB291" s="398">
        <f t="shared" si="1028"/>
        <v>5.4337899543378997E-2</v>
      </c>
      <c r="CC291" s="465">
        <f t="shared" si="1029"/>
        <v>5.4575342465753421E-2</v>
      </c>
      <c r="CD291" s="111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5" t="str">
        <f t="shared" ref="CE291:CT297" si="10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6" t="str">
        <f t="shared" si="1043"/>
        <v/>
      </c>
      <c r="CG291" s="1116" t="str">
        <f t="shared" si="1043"/>
        <v/>
      </c>
      <c r="CH291" s="1116" t="str">
        <f t="shared" si="1043"/>
        <v/>
      </c>
      <c r="CI291" s="1116">
        <f t="shared" si="1043"/>
        <v>2.9223744292237442E-2</v>
      </c>
      <c r="CJ291" s="1116">
        <f t="shared" si="1043"/>
        <v>2.9223744292237442E-2</v>
      </c>
      <c r="CK291" s="1117">
        <f t="shared" si="1043"/>
        <v>2.9223744292237442E-2</v>
      </c>
      <c r="CL291" s="1117">
        <f t="shared" si="1043"/>
        <v>3.7573385518590997E-2</v>
      </c>
      <c r="CM291" s="1117">
        <f t="shared" si="1043"/>
        <v>4.1643835616438356E-2</v>
      </c>
      <c r="CN291" s="1116">
        <f t="shared" si="1043"/>
        <v>7.3059360730593603E-2</v>
      </c>
      <c r="CO291" s="1116">
        <f t="shared" si="1043"/>
        <v>7.6712328767123292E-2</v>
      </c>
      <c r="CP291" s="1116" t="str">
        <f t="shared" si="1043"/>
        <v/>
      </c>
      <c r="CQ291" s="1116" t="str">
        <f t="shared" si="1043"/>
        <v/>
      </c>
      <c r="CR291" s="1116" t="str">
        <f t="shared" si="1043"/>
        <v/>
      </c>
      <c r="CS291" s="1115" t="str">
        <f t="shared" si="1043"/>
        <v/>
      </c>
      <c r="CT291" s="1118" t="str">
        <f t="shared" si="1043"/>
        <v/>
      </c>
      <c r="CU291" s="312" t="str">
        <f t="shared" si="901"/>
        <v/>
      </c>
      <c r="CV291" s="313" t="str">
        <f t="shared" si="902"/>
        <v/>
      </c>
      <c r="CW291" s="314" t="str">
        <f t="shared" si="903"/>
        <v/>
      </c>
      <c r="CX291" s="314" t="str">
        <f t="shared" si="904"/>
        <v/>
      </c>
      <c r="CY291" s="314" t="str">
        <f t="shared" si="905"/>
        <v/>
      </c>
      <c r="CZ291" s="314" t="str">
        <f t="shared" si="906"/>
        <v/>
      </c>
      <c r="DA291" s="314">
        <f t="shared" si="907"/>
        <v>1.9178082191780823E-2</v>
      </c>
      <c r="DB291" s="315">
        <f t="shared" si="908"/>
        <v>2.5048923679060663E-2</v>
      </c>
      <c r="DC291" s="315">
        <f t="shared" si="909"/>
        <v>2.63013698630137E-2</v>
      </c>
      <c r="DD291" s="315">
        <f t="shared" si="910"/>
        <v>3.9452054794520547E-2</v>
      </c>
      <c r="DE291" s="314">
        <f t="shared" si="911"/>
        <v>5.4794520547945202E-2</v>
      </c>
      <c r="DF291" s="314">
        <f t="shared" si="912"/>
        <v>9.393346379647749E-2</v>
      </c>
      <c r="DG291" s="314" t="str">
        <f t="shared" si="913"/>
        <v/>
      </c>
      <c r="DH291" s="314" t="str">
        <f t="shared" si="914"/>
        <v/>
      </c>
      <c r="DI291" s="314" t="str">
        <f t="shared" si="915"/>
        <v/>
      </c>
      <c r="DJ291" s="313" t="str">
        <f t="shared" si="916"/>
        <v/>
      </c>
      <c r="DK291" s="312" t="str">
        <f t="shared" si="917"/>
        <v/>
      </c>
      <c r="DL291" s="428">
        <f t="shared" si="918"/>
        <v>7</v>
      </c>
      <c r="DM291" s="66">
        <f t="shared" si="919"/>
        <v>6</v>
      </c>
      <c r="DN291" s="66">
        <f t="shared" si="920"/>
        <v>6</v>
      </c>
      <c r="DO291" s="66">
        <f t="shared" si="921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26"/>
        <v/>
      </c>
      <c r="CA292" s="373" t="str">
        <f t="shared" si="1027"/>
        <v/>
      </c>
      <c r="CB292" s="373" t="str">
        <f t="shared" si="1028"/>
        <v/>
      </c>
      <c r="CC292" s="462" t="str">
        <f t="shared" si="1029"/>
        <v/>
      </c>
      <c r="CD292" s="1109" t="str">
        <f t="shared" ref="CD292:CD297" si="10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0" t="str">
        <f t="shared" si="1043"/>
        <v/>
      </c>
      <c r="CF292" s="1111" t="str">
        <f t="shared" si="1043"/>
        <v/>
      </c>
      <c r="CG292" s="1111" t="str">
        <f t="shared" si="1043"/>
        <v/>
      </c>
      <c r="CH292" s="1111" t="str">
        <f t="shared" si="1043"/>
        <v/>
      </c>
      <c r="CI292" s="1111" t="str">
        <f t="shared" si="1043"/>
        <v/>
      </c>
      <c r="CJ292" s="1111" t="str">
        <f t="shared" si="1043"/>
        <v/>
      </c>
      <c r="CK292" s="1112" t="str">
        <f t="shared" si="1043"/>
        <v/>
      </c>
      <c r="CL292" s="1112" t="str">
        <f t="shared" si="1043"/>
        <v/>
      </c>
      <c r="CM292" s="1112" t="str">
        <f t="shared" si="1043"/>
        <v/>
      </c>
      <c r="CN292" s="1111" t="str">
        <f t="shared" si="1043"/>
        <v/>
      </c>
      <c r="CO292" s="1111" t="str">
        <f t="shared" si="1043"/>
        <v/>
      </c>
      <c r="CP292" s="1111" t="str">
        <f t="shared" si="1043"/>
        <v/>
      </c>
      <c r="CQ292" s="1111" t="str">
        <f t="shared" si="1043"/>
        <v/>
      </c>
      <c r="CR292" s="1111" t="str">
        <f t="shared" si="1043"/>
        <v/>
      </c>
      <c r="CS292" s="1110" t="str">
        <f t="shared" si="1043"/>
        <v/>
      </c>
      <c r="CT292" s="1113" t="str">
        <f t="shared" si="1043"/>
        <v/>
      </c>
      <c r="CU292" s="324" t="str">
        <f t="shared" si="901"/>
        <v/>
      </c>
      <c r="CV292" s="325" t="str">
        <f t="shared" si="902"/>
        <v/>
      </c>
      <c r="CW292" s="326" t="str">
        <f t="shared" si="903"/>
        <v/>
      </c>
      <c r="CX292" s="326" t="str">
        <f t="shared" si="904"/>
        <v/>
      </c>
      <c r="CY292" s="326" t="str">
        <f t="shared" si="905"/>
        <v/>
      </c>
      <c r="CZ292" s="326" t="str">
        <f t="shared" si="906"/>
        <v/>
      </c>
      <c r="DA292" s="326" t="str">
        <f t="shared" si="907"/>
        <v/>
      </c>
      <c r="DB292" s="327" t="str">
        <f t="shared" si="908"/>
        <v/>
      </c>
      <c r="DC292" s="327" t="str">
        <f t="shared" si="909"/>
        <v/>
      </c>
      <c r="DD292" s="327" t="str">
        <f t="shared" si="910"/>
        <v/>
      </c>
      <c r="DE292" s="326" t="str">
        <f t="shared" si="911"/>
        <v/>
      </c>
      <c r="DF292" s="326" t="str">
        <f t="shared" si="912"/>
        <v/>
      </c>
      <c r="DG292" s="326" t="str">
        <f t="shared" si="913"/>
        <v/>
      </c>
      <c r="DH292" s="326" t="str">
        <f t="shared" si="914"/>
        <v/>
      </c>
      <c r="DI292" s="326" t="str">
        <f t="shared" si="915"/>
        <v/>
      </c>
      <c r="DJ292" s="325" t="str">
        <f t="shared" si="916"/>
        <v/>
      </c>
      <c r="DK292" s="324" t="str">
        <f t="shared" si="917"/>
        <v/>
      </c>
      <c r="DL292" s="428">
        <f t="shared" si="918"/>
        <v>0</v>
      </c>
      <c r="DM292" s="66">
        <f t="shared" si="919"/>
        <v>0</v>
      </c>
      <c r="DN292" s="66">
        <f t="shared" si="920"/>
        <v>0</v>
      </c>
      <c r="DO292" s="66">
        <f t="shared" si="921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45">3440*$K$1</f>
        <v>3440</v>
      </c>
      <c r="C293" s="476">
        <f t="shared" si="1045"/>
        <v>3440</v>
      </c>
      <c r="D293" s="476">
        <f t="shared" si="1045"/>
        <v>3440</v>
      </c>
      <c r="E293" s="476">
        <f t="shared" si="1045"/>
        <v>3440</v>
      </c>
      <c r="F293" s="476">
        <f t="shared" si="1045"/>
        <v>3440</v>
      </c>
      <c r="G293" s="476">
        <f t="shared" si="1045"/>
        <v>3440</v>
      </c>
      <c r="H293" s="476">
        <f t="shared" si="1045"/>
        <v>3440</v>
      </c>
      <c r="I293" s="476">
        <f t="shared" si="1045"/>
        <v>3440</v>
      </c>
      <c r="J293" s="476">
        <f t="shared" si="1045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1046">3440*$K$1</f>
        <v>3440</v>
      </c>
      <c r="U293" s="476">
        <f t="shared" si="1046"/>
        <v>3440</v>
      </c>
      <c r="V293" s="476">
        <f t="shared" si="1046"/>
        <v>3440</v>
      </c>
      <c r="W293" s="476">
        <f t="shared" si="1046"/>
        <v>3440</v>
      </c>
      <c r="X293" s="476">
        <f t="shared" si="1046"/>
        <v>3440</v>
      </c>
      <c r="Y293" s="476">
        <f t="shared" si="1046"/>
        <v>3440</v>
      </c>
      <c r="Z293" s="476">
        <f t="shared" si="1046"/>
        <v>3440</v>
      </c>
      <c r="AA293" s="476">
        <f t="shared" si="1046"/>
        <v>3440</v>
      </c>
      <c r="AB293" s="476">
        <f t="shared" si="1046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1047">3440*$K$1</f>
        <v>3440</v>
      </c>
      <c r="AM293" s="476">
        <f t="shared" si="1047"/>
        <v>3440</v>
      </c>
      <c r="AN293" s="476">
        <f t="shared" si="1047"/>
        <v>3440</v>
      </c>
      <c r="AO293" s="476">
        <f t="shared" si="1047"/>
        <v>3440</v>
      </c>
      <c r="AP293" s="476">
        <f t="shared" si="1047"/>
        <v>3440</v>
      </c>
      <c r="AQ293" s="476">
        <f t="shared" si="1047"/>
        <v>3440</v>
      </c>
      <c r="AR293" s="476">
        <f t="shared" si="1047"/>
        <v>3440</v>
      </c>
      <c r="AS293" s="476">
        <f t="shared" si="1047"/>
        <v>3440</v>
      </c>
      <c r="AT293" s="476">
        <f t="shared" si="1047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1048">3440*$K$1</f>
        <v>3440</v>
      </c>
      <c r="BE293" s="476">
        <f t="shared" si="1048"/>
        <v>3440</v>
      </c>
      <c r="BF293" s="476">
        <f t="shared" si="1048"/>
        <v>3440</v>
      </c>
      <c r="BG293" s="476">
        <f t="shared" si="1048"/>
        <v>3440</v>
      </c>
      <c r="BH293" s="476">
        <f t="shared" si="1048"/>
        <v>3440</v>
      </c>
      <c r="BI293" s="476">
        <f t="shared" si="1048"/>
        <v>3440</v>
      </c>
      <c r="BJ293" s="476">
        <f t="shared" si="1048"/>
        <v>3440</v>
      </c>
      <c r="BK293" s="476">
        <f t="shared" si="1048"/>
        <v>3440</v>
      </c>
      <c r="BL293" s="476">
        <f t="shared" si="1048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26"/>
        <v>3440</v>
      </c>
      <c r="CA293" s="373">
        <f t="shared" si="1027"/>
        <v>3440</v>
      </c>
      <c r="CB293" s="373">
        <f t="shared" si="1028"/>
        <v>3440</v>
      </c>
      <c r="CC293" s="462">
        <f t="shared" si="1029"/>
        <v>3440</v>
      </c>
      <c r="CD293" s="1109" t="str">
        <f t="shared" si="1044"/>
        <v/>
      </c>
      <c r="CE293" s="1110" t="str">
        <f t="shared" si="1043"/>
        <v/>
      </c>
      <c r="CF293" s="1111" t="str">
        <f t="shared" si="1043"/>
        <v/>
      </c>
      <c r="CG293" s="1111" t="str">
        <f t="shared" si="1043"/>
        <v/>
      </c>
      <c r="CH293" s="1111">
        <f t="shared" si="1043"/>
        <v>3440</v>
      </c>
      <c r="CI293" s="1111">
        <f t="shared" si="1043"/>
        <v>3440</v>
      </c>
      <c r="CJ293" s="1111">
        <f t="shared" si="1043"/>
        <v>3440</v>
      </c>
      <c r="CK293" s="1112">
        <f t="shared" si="1043"/>
        <v>3440</v>
      </c>
      <c r="CL293" s="1112">
        <f t="shared" si="1043"/>
        <v>3440</v>
      </c>
      <c r="CM293" s="1112">
        <f t="shared" si="1043"/>
        <v>3440</v>
      </c>
      <c r="CN293" s="1111">
        <f t="shared" si="1043"/>
        <v>3440</v>
      </c>
      <c r="CO293" s="1111">
        <f t="shared" si="1043"/>
        <v>3440</v>
      </c>
      <c r="CP293" s="1111">
        <f t="shared" si="1043"/>
        <v>3440</v>
      </c>
      <c r="CQ293" s="1111" t="str">
        <f t="shared" si="1043"/>
        <v/>
      </c>
      <c r="CR293" s="1111" t="str">
        <f t="shared" si="1043"/>
        <v/>
      </c>
      <c r="CS293" s="1110" t="str">
        <f t="shared" si="1043"/>
        <v/>
      </c>
      <c r="CT293" s="1113" t="str">
        <f t="shared" si="1043"/>
        <v/>
      </c>
      <c r="CU293" s="324" t="str">
        <f t="shared" si="901"/>
        <v/>
      </c>
      <c r="CV293" s="325" t="str">
        <f t="shared" si="902"/>
        <v/>
      </c>
      <c r="CW293" s="326" t="str">
        <f t="shared" si="903"/>
        <v/>
      </c>
      <c r="CX293" s="326" t="str">
        <f t="shared" si="904"/>
        <v/>
      </c>
      <c r="CY293" s="326">
        <f t="shared" si="905"/>
        <v>3440</v>
      </c>
      <c r="CZ293" s="326">
        <f t="shared" si="906"/>
        <v>3440</v>
      </c>
      <c r="DA293" s="326">
        <f t="shared" si="907"/>
        <v>3440</v>
      </c>
      <c r="DB293" s="327">
        <f t="shared" si="908"/>
        <v>3440</v>
      </c>
      <c r="DC293" s="327">
        <f t="shared" si="909"/>
        <v>3440</v>
      </c>
      <c r="DD293" s="327">
        <f t="shared" si="910"/>
        <v>3440</v>
      </c>
      <c r="DE293" s="326">
        <f t="shared" si="911"/>
        <v>3440</v>
      </c>
      <c r="DF293" s="326">
        <f t="shared" si="912"/>
        <v>3440</v>
      </c>
      <c r="DG293" s="326">
        <f t="shared" si="913"/>
        <v>3440</v>
      </c>
      <c r="DH293" s="326" t="str">
        <f t="shared" si="914"/>
        <v/>
      </c>
      <c r="DI293" s="326" t="str">
        <f t="shared" si="915"/>
        <v/>
      </c>
      <c r="DJ293" s="325" t="str">
        <f t="shared" si="916"/>
        <v/>
      </c>
      <c r="DK293" s="324" t="str">
        <f t="shared" si="917"/>
        <v/>
      </c>
      <c r="DL293" s="428">
        <f t="shared" si="918"/>
        <v>9</v>
      </c>
      <c r="DM293" s="66">
        <f t="shared" si="919"/>
        <v>9</v>
      </c>
      <c r="DN293" s="66">
        <f t="shared" si="920"/>
        <v>9</v>
      </c>
      <c r="DO293" s="66">
        <f t="shared" si="921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26"/>
        <v/>
      </c>
      <c r="CA294" s="373" t="str">
        <f t="shared" si="1027"/>
        <v/>
      </c>
      <c r="CB294" s="373" t="str">
        <f t="shared" si="1028"/>
        <v/>
      </c>
      <c r="CC294" s="462" t="str">
        <f t="shared" si="1029"/>
        <v/>
      </c>
      <c r="CD294" s="1109" t="str">
        <f t="shared" si="1044"/>
        <v/>
      </c>
      <c r="CE294" s="1110" t="str">
        <f t="shared" si="1043"/>
        <v/>
      </c>
      <c r="CF294" s="1111" t="str">
        <f t="shared" si="1043"/>
        <v/>
      </c>
      <c r="CG294" s="1111" t="str">
        <f t="shared" si="1043"/>
        <v/>
      </c>
      <c r="CH294" s="1111" t="str">
        <f t="shared" si="1043"/>
        <v/>
      </c>
      <c r="CI294" s="1111" t="str">
        <f t="shared" si="1043"/>
        <v/>
      </c>
      <c r="CJ294" s="1111" t="str">
        <f t="shared" si="1043"/>
        <v/>
      </c>
      <c r="CK294" s="1112" t="str">
        <f t="shared" si="1043"/>
        <v/>
      </c>
      <c r="CL294" s="1112" t="str">
        <f t="shared" si="1043"/>
        <v/>
      </c>
      <c r="CM294" s="1112" t="str">
        <f t="shared" si="1043"/>
        <v/>
      </c>
      <c r="CN294" s="1111" t="str">
        <f t="shared" si="1043"/>
        <v/>
      </c>
      <c r="CO294" s="1111" t="str">
        <f t="shared" si="1043"/>
        <v/>
      </c>
      <c r="CP294" s="1111" t="str">
        <f t="shared" si="1043"/>
        <v/>
      </c>
      <c r="CQ294" s="1111" t="str">
        <f t="shared" si="1043"/>
        <v/>
      </c>
      <c r="CR294" s="1111" t="str">
        <f t="shared" si="1043"/>
        <v/>
      </c>
      <c r="CS294" s="1110" t="str">
        <f t="shared" si="1043"/>
        <v/>
      </c>
      <c r="CT294" s="1113" t="str">
        <f t="shared" si="1043"/>
        <v/>
      </c>
      <c r="CU294" s="324" t="str">
        <f t="shared" si="901"/>
        <v/>
      </c>
      <c r="CV294" s="325" t="str">
        <f t="shared" si="902"/>
        <v/>
      </c>
      <c r="CW294" s="326" t="str">
        <f t="shared" si="903"/>
        <v/>
      </c>
      <c r="CX294" s="326" t="str">
        <f t="shared" si="904"/>
        <v/>
      </c>
      <c r="CY294" s="326" t="str">
        <f t="shared" si="905"/>
        <v/>
      </c>
      <c r="CZ294" s="326" t="str">
        <f t="shared" si="906"/>
        <v/>
      </c>
      <c r="DA294" s="326" t="str">
        <f t="shared" si="907"/>
        <v/>
      </c>
      <c r="DB294" s="327" t="str">
        <f t="shared" si="908"/>
        <v/>
      </c>
      <c r="DC294" s="327" t="str">
        <f t="shared" si="909"/>
        <v/>
      </c>
      <c r="DD294" s="327" t="str">
        <f t="shared" si="910"/>
        <v/>
      </c>
      <c r="DE294" s="326" t="str">
        <f t="shared" si="911"/>
        <v/>
      </c>
      <c r="DF294" s="326" t="str">
        <f t="shared" si="912"/>
        <v/>
      </c>
      <c r="DG294" s="326" t="str">
        <f t="shared" si="913"/>
        <v/>
      </c>
      <c r="DH294" s="326" t="str">
        <f t="shared" si="914"/>
        <v/>
      </c>
      <c r="DI294" s="326" t="str">
        <f t="shared" si="915"/>
        <v/>
      </c>
      <c r="DJ294" s="325" t="str">
        <f t="shared" si="916"/>
        <v/>
      </c>
      <c r="DK294" s="324" t="str">
        <f t="shared" si="917"/>
        <v/>
      </c>
      <c r="DL294" s="428">
        <f t="shared" si="918"/>
        <v>0</v>
      </c>
      <c r="DM294" s="66">
        <f t="shared" si="919"/>
        <v>0</v>
      </c>
      <c r="DN294" s="66">
        <f t="shared" si="920"/>
        <v>0</v>
      </c>
      <c r="DO294" s="66">
        <f t="shared" si="921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26"/>
        <v/>
      </c>
      <c r="CA295" s="373" t="str">
        <f t="shared" si="1027"/>
        <v/>
      </c>
      <c r="CB295" s="373" t="str">
        <f t="shared" si="1028"/>
        <v/>
      </c>
      <c r="CC295" s="462" t="str">
        <f t="shared" si="1029"/>
        <v/>
      </c>
      <c r="CD295" s="1109" t="str">
        <f t="shared" si="1044"/>
        <v/>
      </c>
      <c r="CE295" s="1110" t="str">
        <f t="shared" si="1043"/>
        <v/>
      </c>
      <c r="CF295" s="1111" t="str">
        <f t="shared" si="1043"/>
        <v/>
      </c>
      <c r="CG295" s="1111" t="str">
        <f t="shared" si="1043"/>
        <v/>
      </c>
      <c r="CH295" s="1111" t="str">
        <f t="shared" si="1043"/>
        <v/>
      </c>
      <c r="CI295" s="1111" t="str">
        <f t="shared" si="1043"/>
        <v/>
      </c>
      <c r="CJ295" s="1111" t="str">
        <f t="shared" si="1043"/>
        <v/>
      </c>
      <c r="CK295" s="1112" t="str">
        <f t="shared" si="1043"/>
        <v/>
      </c>
      <c r="CL295" s="1112" t="str">
        <f t="shared" si="1043"/>
        <v/>
      </c>
      <c r="CM295" s="1112" t="str">
        <f t="shared" si="1043"/>
        <v/>
      </c>
      <c r="CN295" s="1111" t="str">
        <f t="shared" si="1043"/>
        <v/>
      </c>
      <c r="CO295" s="1111" t="str">
        <f t="shared" si="1043"/>
        <v/>
      </c>
      <c r="CP295" s="1111" t="str">
        <f t="shared" si="1043"/>
        <v/>
      </c>
      <c r="CQ295" s="1111" t="str">
        <f t="shared" si="1043"/>
        <v/>
      </c>
      <c r="CR295" s="1111" t="str">
        <f t="shared" si="1043"/>
        <v/>
      </c>
      <c r="CS295" s="1110" t="str">
        <f t="shared" si="1043"/>
        <v/>
      </c>
      <c r="CT295" s="1113" t="str">
        <f t="shared" si="1043"/>
        <v/>
      </c>
      <c r="CU295" s="324" t="str">
        <f t="shared" si="901"/>
        <v/>
      </c>
      <c r="CV295" s="325" t="str">
        <f t="shared" si="902"/>
        <v/>
      </c>
      <c r="CW295" s="326" t="str">
        <f t="shared" si="903"/>
        <v/>
      </c>
      <c r="CX295" s="326" t="str">
        <f t="shared" si="904"/>
        <v/>
      </c>
      <c r="CY295" s="326" t="str">
        <f t="shared" si="905"/>
        <v/>
      </c>
      <c r="CZ295" s="326" t="str">
        <f t="shared" si="906"/>
        <v/>
      </c>
      <c r="DA295" s="326" t="str">
        <f t="shared" si="907"/>
        <v/>
      </c>
      <c r="DB295" s="327" t="str">
        <f t="shared" si="908"/>
        <v/>
      </c>
      <c r="DC295" s="327" t="str">
        <f t="shared" si="909"/>
        <v/>
      </c>
      <c r="DD295" s="327" t="str">
        <f t="shared" si="910"/>
        <v/>
      </c>
      <c r="DE295" s="326" t="str">
        <f t="shared" si="911"/>
        <v/>
      </c>
      <c r="DF295" s="326" t="str">
        <f t="shared" si="912"/>
        <v/>
      </c>
      <c r="DG295" s="326" t="str">
        <f t="shared" si="913"/>
        <v/>
      </c>
      <c r="DH295" s="326" t="str">
        <f t="shared" si="914"/>
        <v/>
      </c>
      <c r="DI295" s="326" t="str">
        <f t="shared" si="915"/>
        <v/>
      </c>
      <c r="DJ295" s="325" t="str">
        <f t="shared" si="916"/>
        <v/>
      </c>
      <c r="DK295" s="324" t="str">
        <f t="shared" si="917"/>
        <v/>
      </c>
      <c r="DL295" s="428">
        <f t="shared" si="918"/>
        <v>0</v>
      </c>
      <c r="DM295" s="66">
        <f t="shared" si="919"/>
        <v>0</v>
      </c>
      <c r="DN295" s="66">
        <f t="shared" si="920"/>
        <v>0</v>
      </c>
      <c r="DO295" s="66">
        <f t="shared" si="921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49">IF(B294="","",B294*B295)</f>
        <v/>
      </c>
      <c r="C296" s="405" t="str">
        <f t="shared" si="1049"/>
        <v/>
      </c>
      <c r="D296" s="405" t="str">
        <f t="shared" si="1049"/>
        <v/>
      </c>
      <c r="E296" s="405" t="str">
        <f t="shared" si="1049"/>
        <v/>
      </c>
      <c r="F296" s="405" t="str">
        <f t="shared" si="1049"/>
        <v/>
      </c>
      <c r="G296" s="405" t="str">
        <f t="shared" si="1049"/>
        <v/>
      </c>
      <c r="H296" s="405" t="str">
        <f t="shared" si="1049"/>
        <v/>
      </c>
      <c r="I296" s="405" t="str">
        <f t="shared" si="1049"/>
        <v/>
      </c>
      <c r="J296" s="405" t="str">
        <f t="shared" si="1049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50">IF(T294="","",T294*T295)</f>
        <v/>
      </c>
      <c r="U296" s="405" t="str">
        <f t="shared" si="1050"/>
        <v/>
      </c>
      <c r="V296" s="405" t="str">
        <f t="shared" si="1050"/>
        <v/>
      </c>
      <c r="W296" s="405" t="str">
        <f t="shared" si="1050"/>
        <v/>
      </c>
      <c r="X296" s="405" t="str">
        <f t="shared" si="1050"/>
        <v/>
      </c>
      <c r="Y296" s="405" t="str">
        <f t="shared" si="1050"/>
        <v/>
      </c>
      <c r="Z296" s="405" t="str">
        <f t="shared" si="1050"/>
        <v/>
      </c>
      <c r="AA296" s="405" t="str">
        <f t="shared" si="1050"/>
        <v/>
      </c>
      <c r="AB296" s="405" t="str">
        <f t="shared" si="1050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1051">IF(AL294="","",AL294*AL295)</f>
        <v/>
      </c>
      <c r="AM296" s="405" t="str">
        <f t="shared" si="1051"/>
        <v/>
      </c>
      <c r="AN296" s="405" t="str">
        <f t="shared" si="1051"/>
        <v/>
      </c>
      <c r="AO296" s="405" t="str">
        <f t="shared" si="1051"/>
        <v/>
      </c>
      <c r="AP296" s="405" t="str">
        <f t="shared" si="1051"/>
        <v/>
      </c>
      <c r="AQ296" s="405" t="str">
        <f t="shared" si="1051"/>
        <v/>
      </c>
      <c r="AR296" s="405" t="str">
        <f t="shared" si="1051"/>
        <v/>
      </c>
      <c r="AS296" s="405" t="str">
        <f t="shared" si="1051"/>
        <v/>
      </c>
      <c r="AT296" s="405" t="str">
        <f t="shared" si="1051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1052">IF(BD294="","",BD294*BD295)</f>
        <v/>
      </c>
      <c r="BE296" s="405" t="str">
        <f t="shared" si="1052"/>
        <v/>
      </c>
      <c r="BF296" s="405" t="str">
        <f t="shared" si="1052"/>
        <v/>
      </c>
      <c r="BG296" s="405" t="str">
        <f t="shared" si="1052"/>
        <v/>
      </c>
      <c r="BH296" s="405" t="str">
        <f t="shared" si="1052"/>
        <v/>
      </c>
      <c r="BI296" s="405" t="str">
        <f t="shared" si="1052"/>
        <v/>
      </c>
      <c r="BJ296" s="405" t="str">
        <f t="shared" si="1052"/>
        <v/>
      </c>
      <c r="BK296" s="405" t="str">
        <f t="shared" si="1052"/>
        <v/>
      </c>
      <c r="BL296" s="405" t="str">
        <f t="shared" si="1052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26"/>
        <v/>
      </c>
      <c r="CA296" s="373" t="str">
        <f t="shared" si="1027"/>
        <v/>
      </c>
      <c r="CB296" s="373" t="str">
        <f t="shared" si="1028"/>
        <v/>
      </c>
      <c r="CC296" s="462" t="str">
        <f t="shared" si="1029"/>
        <v/>
      </c>
      <c r="CD296" s="1109" t="str">
        <f t="shared" si="1044"/>
        <v/>
      </c>
      <c r="CE296" s="1110" t="str">
        <f t="shared" si="1043"/>
        <v/>
      </c>
      <c r="CF296" s="1111" t="str">
        <f t="shared" si="1043"/>
        <v/>
      </c>
      <c r="CG296" s="1111" t="str">
        <f t="shared" si="1043"/>
        <v/>
      </c>
      <c r="CH296" s="1111" t="str">
        <f t="shared" si="1043"/>
        <v/>
      </c>
      <c r="CI296" s="1111" t="str">
        <f t="shared" si="1043"/>
        <v/>
      </c>
      <c r="CJ296" s="1111" t="str">
        <f t="shared" si="1043"/>
        <v/>
      </c>
      <c r="CK296" s="1112" t="str">
        <f t="shared" si="1043"/>
        <v/>
      </c>
      <c r="CL296" s="1112" t="str">
        <f t="shared" si="1043"/>
        <v/>
      </c>
      <c r="CM296" s="1112" t="str">
        <f t="shared" si="1043"/>
        <v/>
      </c>
      <c r="CN296" s="1111" t="str">
        <f t="shared" si="1043"/>
        <v/>
      </c>
      <c r="CO296" s="1111" t="str">
        <f t="shared" si="1043"/>
        <v/>
      </c>
      <c r="CP296" s="1111" t="str">
        <f t="shared" si="1043"/>
        <v/>
      </c>
      <c r="CQ296" s="1111" t="str">
        <f t="shared" si="1043"/>
        <v/>
      </c>
      <c r="CR296" s="1111" t="str">
        <f t="shared" si="1043"/>
        <v/>
      </c>
      <c r="CS296" s="1110" t="str">
        <f t="shared" si="1043"/>
        <v/>
      </c>
      <c r="CT296" s="1113" t="str">
        <f t="shared" si="1043"/>
        <v/>
      </c>
      <c r="CU296" s="324" t="str">
        <f t="shared" si="901"/>
        <v/>
      </c>
      <c r="CV296" s="325" t="str">
        <f t="shared" si="902"/>
        <v/>
      </c>
      <c r="CW296" s="326" t="str">
        <f t="shared" si="903"/>
        <v/>
      </c>
      <c r="CX296" s="326" t="str">
        <f t="shared" si="904"/>
        <v/>
      </c>
      <c r="CY296" s="326" t="str">
        <f t="shared" si="905"/>
        <v/>
      </c>
      <c r="CZ296" s="326" t="str">
        <f t="shared" si="906"/>
        <v/>
      </c>
      <c r="DA296" s="326" t="str">
        <f t="shared" si="907"/>
        <v/>
      </c>
      <c r="DB296" s="327" t="str">
        <f t="shared" si="908"/>
        <v/>
      </c>
      <c r="DC296" s="327" t="str">
        <f t="shared" si="909"/>
        <v/>
      </c>
      <c r="DD296" s="327" t="str">
        <f t="shared" si="910"/>
        <v/>
      </c>
      <c r="DE296" s="326" t="str">
        <f t="shared" si="911"/>
        <v/>
      </c>
      <c r="DF296" s="326" t="str">
        <f t="shared" si="912"/>
        <v/>
      </c>
      <c r="DG296" s="326" t="str">
        <f t="shared" si="913"/>
        <v/>
      </c>
      <c r="DH296" s="326" t="str">
        <f t="shared" si="914"/>
        <v/>
      </c>
      <c r="DI296" s="326" t="str">
        <f t="shared" si="915"/>
        <v/>
      </c>
      <c r="DJ296" s="325" t="str">
        <f t="shared" si="916"/>
        <v/>
      </c>
      <c r="DK296" s="324" t="str">
        <f t="shared" si="917"/>
        <v/>
      </c>
      <c r="DL296" s="428">
        <f t="shared" si="918"/>
        <v>0</v>
      </c>
      <c r="DM296" s="66">
        <f t="shared" si="919"/>
        <v>0</v>
      </c>
      <c r="DN296" s="66">
        <f t="shared" si="920"/>
        <v>0</v>
      </c>
      <c r="DO296" s="66">
        <f t="shared" si="921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26"/>
        <v/>
      </c>
      <c r="CA297" s="373" t="str">
        <f t="shared" si="1027"/>
        <v/>
      </c>
      <c r="CB297" s="373" t="str">
        <f t="shared" si="1028"/>
        <v/>
      </c>
      <c r="CC297" s="462" t="str">
        <f t="shared" si="1029"/>
        <v/>
      </c>
      <c r="CD297" s="1109" t="str">
        <f t="shared" si="1044"/>
        <v/>
      </c>
      <c r="CE297" s="1110" t="str">
        <f t="shared" si="1043"/>
        <v/>
      </c>
      <c r="CF297" s="1111" t="str">
        <f t="shared" si="1043"/>
        <v/>
      </c>
      <c r="CG297" s="1111" t="str">
        <f t="shared" si="1043"/>
        <v/>
      </c>
      <c r="CH297" s="1111" t="str">
        <f t="shared" si="1043"/>
        <v/>
      </c>
      <c r="CI297" s="1111" t="str">
        <f t="shared" si="1043"/>
        <v/>
      </c>
      <c r="CJ297" s="1111" t="str">
        <f t="shared" si="1043"/>
        <v/>
      </c>
      <c r="CK297" s="1112" t="str">
        <f t="shared" si="1043"/>
        <v/>
      </c>
      <c r="CL297" s="1112" t="str">
        <f t="shared" si="1043"/>
        <v/>
      </c>
      <c r="CM297" s="1112" t="str">
        <f t="shared" si="1043"/>
        <v/>
      </c>
      <c r="CN297" s="1111" t="str">
        <f t="shared" si="1043"/>
        <v/>
      </c>
      <c r="CO297" s="1111" t="str">
        <f t="shared" si="1043"/>
        <v/>
      </c>
      <c r="CP297" s="1111" t="str">
        <f t="shared" si="1043"/>
        <v/>
      </c>
      <c r="CQ297" s="1111" t="str">
        <f t="shared" si="1043"/>
        <v/>
      </c>
      <c r="CR297" s="1111" t="str">
        <f t="shared" si="1043"/>
        <v/>
      </c>
      <c r="CS297" s="1110" t="str">
        <f t="shared" si="1043"/>
        <v/>
      </c>
      <c r="CT297" s="1113" t="str">
        <f t="shared" si="1043"/>
        <v/>
      </c>
      <c r="CU297" s="324" t="str">
        <f t="shared" si="901"/>
        <v/>
      </c>
      <c r="CV297" s="325" t="str">
        <f t="shared" si="902"/>
        <v/>
      </c>
      <c r="CW297" s="326" t="str">
        <f t="shared" si="903"/>
        <v/>
      </c>
      <c r="CX297" s="326" t="str">
        <f t="shared" si="904"/>
        <v/>
      </c>
      <c r="CY297" s="326" t="str">
        <f t="shared" si="905"/>
        <v/>
      </c>
      <c r="CZ297" s="326" t="str">
        <f t="shared" si="906"/>
        <v/>
      </c>
      <c r="DA297" s="326" t="str">
        <f t="shared" si="907"/>
        <v/>
      </c>
      <c r="DB297" s="327" t="str">
        <f t="shared" si="908"/>
        <v/>
      </c>
      <c r="DC297" s="327" t="str">
        <f t="shared" si="909"/>
        <v/>
      </c>
      <c r="DD297" s="327" t="str">
        <f t="shared" si="910"/>
        <v/>
      </c>
      <c r="DE297" s="326" t="str">
        <f t="shared" si="911"/>
        <v/>
      </c>
      <c r="DF297" s="326" t="str">
        <f t="shared" si="912"/>
        <v/>
      </c>
      <c r="DG297" s="326" t="str">
        <f t="shared" si="913"/>
        <v/>
      </c>
      <c r="DH297" s="326" t="str">
        <f t="shared" si="914"/>
        <v/>
      </c>
      <c r="DI297" s="326" t="str">
        <f t="shared" si="915"/>
        <v/>
      </c>
      <c r="DJ297" s="325" t="str">
        <f t="shared" si="916"/>
        <v/>
      </c>
      <c r="DK297" s="324" t="str">
        <f t="shared" si="917"/>
        <v/>
      </c>
      <c r="DL297" s="428">
        <f t="shared" si="918"/>
        <v>0</v>
      </c>
      <c r="DM297" s="66">
        <f t="shared" si="919"/>
        <v>0</v>
      </c>
      <c r="DN297" s="66">
        <f t="shared" si="920"/>
        <v>0</v>
      </c>
      <c r="DO297" s="66">
        <f t="shared" si="921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053">IF(B292="","",(B292-B294-B297)*B293/B$46/365/$G$1)</f>
        <v/>
      </c>
      <c r="C298" s="408" t="str">
        <f t="shared" si="1053"/>
        <v/>
      </c>
      <c r="D298" s="408" t="str">
        <f t="shared" si="1053"/>
        <v/>
      </c>
      <c r="E298" s="408" t="str">
        <f t="shared" si="1053"/>
        <v/>
      </c>
      <c r="F298" s="408" t="str">
        <f t="shared" si="1053"/>
        <v/>
      </c>
      <c r="G298" s="408" t="str">
        <f t="shared" si="1053"/>
        <v/>
      </c>
      <c r="H298" s="408" t="str">
        <f t="shared" si="1053"/>
        <v/>
      </c>
      <c r="I298" s="408" t="str">
        <f t="shared" si="1053"/>
        <v/>
      </c>
      <c r="J298" s="408" t="str">
        <f t="shared" si="1053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054">IF(T292="","",(T292-T294-T297)*T293/T$46/365/$G$1)</f>
        <v/>
      </c>
      <c r="U298" s="408" t="str">
        <f t="shared" si="1054"/>
        <v/>
      </c>
      <c r="V298" s="408" t="str">
        <f t="shared" si="1054"/>
        <v/>
      </c>
      <c r="W298" s="408" t="str">
        <f t="shared" si="1054"/>
        <v/>
      </c>
      <c r="X298" s="408" t="str">
        <f t="shared" si="1054"/>
        <v/>
      </c>
      <c r="Y298" s="408" t="str">
        <f t="shared" si="1054"/>
        <v/>
      </c>
      <c r="Z298" s="408" t="str">
        <f t="shared" si="1054"/>
        <v/>
      </c>
      <c r="AA298" s="408" t="str">
        <f t="shared" si="1054"/>
        <v/>
      </c>
      <c r="AB298" s="408" t="str">
        <f t="shared" si="1054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1055">IF(AL292="","",(AL292-AL294-AL297)*AL293/AL$46/365/$G$1)</f>
        <v/>
      </c>
      <c r="AM298" s="408" t="str">
        <f t="shared" si="1055"/>
        <v/>
      </c>
      <c r="AN298" s="408" t="str">
        <f t="shared" si="1055"/>
        <v/>
      </c>
      <c r="AO298" s="408" t="str">
        <f t="shared" si="1055"/>
        <v/>
      </c>
      <c r="AP298" s="408" t="str">
        <f t="shared" si="1055"/>
        <v/>
      </c>
      <c r="AQ298" s="408" t="str">
        <f t="shared" si="1055"/>
        <v/>
      </c>
      <c r="AR298" s="408" t="str">
        <f t="shared" si="1055"/>
        <v/>
      </c>
      <c r="AS298" s="408" t="str">
        <f t="shared" si="1055"/>
        <v/>
      </c>
      <c r="AT298" s="408" t="str">
        <f t="shared" si="1055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1056">IF(BD292="","",(BD292-BD294-BD297)*BD293/BD$46/365/$G$1)</f>
        <v/>
      </c>
      <c r="BE298" s="408" t="str">
        <f t="shared" si="1056"/>
        <v/>
      </c>
      <c r="BF298" s="408" t="str">
        <f t="shared" si="1056"/>
        <v/>
      </c>
      <c r="BG298" s="408" t="str">
        <f t="shared" si="1056"/>
        <v/>
      </c>
      <c r="BH298" s="408" t="str">
        <f t="shared" si="1056"/>
        <v/>
      </c>
      <c r="BI298" s="408" t="str">
        <f t="shared" si="1056"/>
        <v/>
      </c>
      <c r="BJ298" s="408" t="str">
        <f t="shared" si="1056"/>
        <v/>
      </c>
      <c r="BK298" s="408" t="str">
        <f t="shared" si="1056"/>
        <v/>
      </c>
      <c r="BL298" s="408" t="str">
        <f t="shared" si="1056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26"/>
        <v/>
      </c>
      <c r="CA298" s="398" t="str">
        <f t="shared" si="1027"/>
        <v/>
      </c>
      <c r="CB298" s="398" t="str">
        <f t="shared" si="1028"/>
        <v/>
      </c>
      <c r="CC298" s="465" t="str">
        <f t="shared" si="1029"/>
        <v/>
      </c>
      <c r="CD298" s="111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5" t="str">
        <f t="shared" ref="CE298:CT299" si="10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6" t="str">
        <f t="shared" si="1057"/>
        <v/>
      </c>
      <c r="CG298" s="1116" t="str">
        <f t="shared" si="1057"/>
        <v/>
      </c>
      <c r="CH298" s="1116" t="str">
        <f t="shared" si="1057"/>
        <v/>
      </c>
      <c r="CI298" s="1116" t="str">
        <f t="shared" si="1057"/>
        <v/>
      </c>
      <c r="CJ298" s="1116" t="str">
        <f t="shared" si="1057"/>
        <v/>
      </c>
      <c r="CK298" s="1117" t="str">
        <f t="shared" si="1057"/>
        <v/>
      </c>
      <c r="CL298" s="1117" t="str">
        <f t="shared" si="1057"/>
        <v/>
      </c>
      <c r="CM298" s="1117" t="str">
        <f t="shared" si="1057"/>
        <v/>
      </c>
      <c r="CN298" s="1116" t="str">
        <f t="shared" si="1057"/>
        <v/>
      </c>
      <c r="CO298" s="1116" t="str">
        <f t="shared" si="1057"/>
        <v/>
      </c>
      <c r="CP298" s="1116" t="str">
        <f t="shared" si="1057"/>
        <v/>
      </c>
      <c r="CQ298" s="1116" t="str">
        <f t="shared" si="1057"/>
        <v/>
      </c>
      <c r="CR298" s="1116" t="str">
        <f t="shared" si="1057"/>
        <v/>
      </c>
      <c r="CS298" s="1115" t="str">
        <f t="shared" si="1057"/>
        <v/>
      </c>
      <c r="CT298" s="1118" t="str">
        <f t="shared" si="1057"/>
        <v/>
      </c>
      <c r="CU298" s="312" t="str">
        <f t="shared" si="901"/>
        <v/>
      </c>
      <c r="CV298" s="313" t="str">
        <f t="shared" si="902"/>
        <v/>
      </c>
      <c r="CW298" s="314" t="str">
        <f t="shared" si="903"/>
        <v/>
      </c>
      <c r="CX298" s="314" t="str">
        <f t="shared" si="904"/>
        <v/>
      </c>
      <c r="CY298" s="314" t="str">
        <f t="shared" si="905"/>
        <v/>
      </c>
      <c r="CZ298" s="314" t="str">
        <f t="shared" si="906"/>
        <v/>
      </c>
      <c r="DA298" s="314" t="str">
        <f t="shared" si="907"/>
        <v/>
      </c>
      <c r="DB298" s="315" t="str">
        <f t="shared" si="908"/>
        <v/>
      </c>
      <c r="DC298" s="315" t="str">
        <f t="shared" si="909"/>
        <v/>
      </c>
      <c r="DD298" s="315" t="str">
        <f t="shared" si="910"/>
        <v/>
      </c>
      <c r="DE298" s="314" t="str">
        <f t="shared" si="911"/>
        <v/>
      </c>
      <c r="DF298" s="314" t="str">
        <f t="shared" si="912"/>
        <v/>
      </c>
      <c r="DG298" s="314" t="str">
        <f t="shared" si="913"/>
        <v/>
      </c>
      <c r="DH298" s="314" t="str">
        <f t="shared" si="914"/>
        <v/>
      </c>
      <c r="DI298" s="314" t="str">
        <f t="shared" si="915"/>
        <v/>
      </c>
      <c r="DJ298" s="313" t="str">
        <f t="shared" si="916"/>
        <v/>
      </c>
      <c r="DK298" s="312" t="str">
        <f t="shared" si="917"/>
        <v/>
      </c>
      <c r="DL298" s="428">
        <f t="shared" si="918"/>
        <v>0</v>
      </c>
      <c r="DM298" s="66">
        <f t="shared" si="919"/>
        <v>0</v>
      </c>
      <c r="DN298" s="66">
        <f t="shared" si="920"/>
        <v>0</v>
      </c>
      <c r="DO298" s="66">
        <f t="shared" si="921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3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26"/>
        <v>46</v>
      </c>
      <c r="CA299" s="373">
        <f t="shared" si="1027"/>
        <v>44.333333333333336</v>
      </c>
      <c r="CB299" s="373">
        <f t="shared" si="1028"/>
        <v>39.166666666666664</v>
      </c>
      <c r="CC299" s="462">
        <f t="shared" si="1029"/>
        <v>17.399999999999999</v>
      </c>
      <c r="CD299" s="110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0" t="str">
        <f t="shared" si="1057"/>
        <v/>
      </c>
      <c r="CF299" s="1111" t="str">
        <f t="shared" si="1057"/>
        <v/>
      </c>
      <c r="CG299" s="1111" t="str">
        <f t="shared" si="1057"/>
        <v/>
      </c>
      <c r="CH299" s="1111" t="str">
        <f t="shared" si="1057"/>
        <v/>
      </c>
      <c r="CI299" s="1111">
        <f t="shared" si="1057"/>
        <v>20</v>
      </c>
      <c r="CJ299" s="1111">
        <f t="shared" si="1057"/>
        <v>40</v>
      </c>
      <c r="CK299" s="1112">
        <f t="shared" si="1057"/>
        <v>40</v>
      </c>
      <c r="CL299" s="1112">
        <f t="shared" si="1057"/>
        <v>50</v>
      </c>
      <c r="CM299" s="1112">
        <f t="shared" si="1057"/>
        <v>50</v>
      </c>
      <c r="CN299" s="1111">
        <f t="shared" si="1057"/>
        <v>50</v>
      </c>
      <c r="CO299" s="1111">
        <f t="shared" si="1057"/>
        <v>60</v>
      </c>
      <c r="CP299" s="1111" t="str">
        <f t="shared" si="1057"/>
        <v/>
      </c>
      <c r="CQ299" s="1111" t="str">
        <f t="shared" si="1057"/>
        <v/>
      </c>
      <c r="CR299" s="1111" t="str">
        <f t="shared" si="1057"/>
        <v/>
      </c>
      <c r="CS299" s="1110" t="str">
        <f t="shared" si="1057"/>
        <v/>
      </c>
      <c r="CT299" s="1113" t="str">
        <f t="shared" si="1057"/>
        <v/>
      </c>
      <c r="CU299" s="324" t="str">
        <f t="shared" si="901"/>
        <v/>
      </c>
      <c r="CV299" s="325" t="str">
        <f t="shared" si="902"/>
        <v/>
      </c>
      <c r="CW299" s="326" t="str">
        <f t="shared" si="903"/>
        <v/>
      </c>
      <c r="CX299" s="326" t="str">
        <f t="shared" si="904"/>
        <v/>
      </c>
      <c r="CY299" s="326" t="str">
        <f t="shared" si="905"/>
        <v/>
      </c>
      <c r="CZ299" s="326">
        <f t="shared" si="906"/>
        <v>20</v>
      </c>
      <c r="DA299" s="326">
        <f t="shared" si="907"/>
        <v>26</v>
      </c>
      <c r="DB299" s="327">
        <f t="shared" si="908"/>
        <v>40</v>
      </c>
      <c r="DC299" s="327">
        <f t="shared" si="909"/>
        <v>50</v>
      </c>
      <c r="DD299" s="327">
        <f t="shared" si="910"/>
        <v>50</v>
      </c>
      <c r="DE299" s="326">
        <f t="shared" si="911"/>
        <v>50</v>
      </c>
      <c r="DF299" s="326">
        <f t="shared" si="912"/>
        <v>50</v>
      </c>
      <c r="DG299" s="326">
        <f t="shared" si="913"/>
        <v>60</v>
      </c>
      <c r="DH299" s="326" t="str">
        <f t="shared" si="914"/>
        <v/>
      </c>
      <c r="DI299" s="326" t="str">
        <f t="shared" si="915"/>
        <v/>
      </c>
      <c r="DJ299" s="325" t="str">
        <f t="shared" si="916"/>
        <v/>
      </c>
      <c r="DK299" s="324" t="str">
        <f t="shared" si="917"/>
        <v/>
      </c>
      <c r="DL299" s="428">
        <f t="shared" si="918"/>
        <v>7</v>
      </c>
      <c r="DM299" s="66">
        <f t="shared" si="919"/>
        <v>8</v>
      </c>
      <c r="DN299" s="66">
        <f t="shared" si="920"/>
        <v>8</v>
      </c>
      <c r="DO299" s="66">
        <f t="shared" si="921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2"/>
      <c r="CE300" s="1153"/>
      <c r="CF300" s="1153"/>
      <c r="CG300" s="1153"/>
      <c r="CH300" s="1153"/>
      <c r="CI300" s="1153"/>
      <c r="CJ300" s="1153"/>
      <c r="CK300" s="1153"/>
      <c r="CL300" s="1153"/>
      <c r="CM300" s="1153"/>
      <c r="CN300" s="1153"/>
      <c r="CO300" s="1153"/>
      <c r="CP300" s="1153"/>
      <c r="CQ300" s="1153"/>
      <c r="CR300" s="1153"/>
      <c r="CS300" s="1153"/>
      <c r="CT300" s="1135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058">IF(DL301&lt;3,"",(SUM(B301:R301)-MIN(B301:R301)-MAX(B301:R301))/(DL301-2))</f>
        <v>2</v>
      </c>
      <c r="CA301" s="373">
        <f t="shared" ref="CA301:CA309" si="1059">IF(DM301&lt;3,"",(SUM(T301:AJ301)-MIN(T301:AJ301)-MAX(T301:AJ301))/(DM301-2))</f>
        <v>2</v>
      </c>
      <c r="CB301" s="373">
        <f t="shared" ref="CB301:CB309" si="1060">IF(DN301&lt;3,"",(SUM(AL301:BB301)-MIN(AL301:BB301)-MAX(AL301:BB301))/(DN301-2))</f>
        <v>2</v>
      </c>
      <c r="CC301" s="462">
        <f t="shared" ref="CC301:CC309" si="1061">IF(DO301&lt;3,"",(SUM(BD301:BT301)-MIN(BD301:BT301)-MAX(BD301:BT301))/(DO301-2))</f>
        <v>2</v>
      </c>
      <c r="CD301" s="1109" t="str">
        <f t="shared" ref="CD301:CS307" si="10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0" t="str">
        <f t="shared" si="1062"/>
        <v/>
      </c>
      <c r="CF301" s="1111" t="str">
        <f t="shared" si="1062"/>
        <v/>
      </c>
      <c r="CG301" s="1111" t="str">
        <f t="shared" si="1062"/>
        <v/>
      </c>
      <c r="CH301" s="1111" t="str">
        <f t="shared" si="1062"/>
        <v/>
      </c>
      <c r="CI301" s="1111" t="str">
        <f t="shared" si="1062"/>
        <v/>
      </c>
      <c r="CJ301" s="1111">
        <f t="shared" si="1062"/>
        <v>2</v>
      </c>
      <c r="CK301" s="1112">
        <f t="shared" si="1062"/>
        <v>2</v>
      </c>
      <c r="CL301" s="1112">
        <f t="shared" si="1062"/>
        <v>2</v>
      </c>
      <c r="CM301" s="1112">
        <f t="shared" si="1062"/>
        <v>2</v>
      </c>
      <c r="CN301" s="1111">
        <f t="shared" si="1062"/>
        <v>2</v>
      </c>
      <c r="CO301" s="1111">
        <f t="shared" si="1062"/>
        <v>2</v>
      </c>
      <c r="CP301" s="1111" t="str">
        <f t="shared" si="1062"/>
        <v/>
      </c>
      <c r="CQ301" s="1111" t="str">
        <f t="shared" si="1062"/>
        <v/>
      </c>
      <c r="CR301" s="1111" t="str">
        <f t="shared" si="1062"/>
        <v/>
      </c>
      <c r="CS301" s="1110" t="str">
        <f t="shared" si="1062"/>
        <v/>
      </c>
      <c r="CT301" s="1113" t="str">
        <f t="shared" ref="CT301:CT307" si="10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0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0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0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0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0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0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0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0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0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0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0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0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0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0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0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0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0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081">COUNT(B301:R301)</f>
        <v>6</v>
      </c>
      <c r="DM301" s="66">
        <f t="shared" ref="DM301:DM309" si="1082">COUNT(T301:AJ301)</f>
        <v>8</v>
      </c>
      <c r="DN301" s="66">
        <f t="shared" ref="DN301:DN309" si="1083">COUNT(AL301:BB301)</f>
        <v>8</v>
      </c>
      <c r="DO301" s="66">
        <f t="shared" ref="DO301:DO309" si="1084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085">IF(B299="","",B299*B301)</f>
        <v>100</v>
      </c>
      <c r="C302" s="405">
        <f t="shared" si="1085"/>
        <v>100</v>
      </c>
      <c r="D302" s="405" t="str">
        <f t="shared" si="1085"/>
        <v/>
      </c>
      <c r="E302" s="405">
        <f t="shared" si="1085"/>
        <v>100</v>
      </c>
      <c r="F302" s="405">
        <f t="shared" si="1085"/>
        <v>80</v>
      </c>
      <c r="G302" s="405">
        <f t="shared" si="1085"/>
        <v>120</v>
      </c>
      <c r="H302" s="405">
        <f t="shared" si="1085"/>
        <v>0</v>
      </c>
      <c r="I302" s="405">
        <f t="shared" si="1085"/>
        <v>40</v>
      </c>
      <c r="J302" s="405" t="str">
        <f t="shared" si="1085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086">IF(T299="","",T299*T301)</f>
        <v>100</v>
      </c>
      <c r="U302" s="405">
        <f t="shared" si="1086"/>
        <v>80</v>
      </c>
      <c r="V302" s="405">
        <f t="shared" si="1086"/>
        <v>40</v>
      </c>
      <c r="W302" s="405">
        <f t="shared" si="1086"/>
        <v>100</v>
      </c>
      <c r="X302" s="405">
        <f t="shared" si="1086"/>
        <v>120</v>
      </c>
      <c r="Y302" s="405">
        <f t="shared" si="1086"/>
        <v>52</v>
      </c>
      <c r="Z302" s="405">
        <f t="shared" si="1086"/>
        <v>100</v>
      </c>
      <c r="AA302" s="405">
        <f t="shared" si="1086"/>
        <v>100</v>
      </c>
      <c r="AB302" s="405" t="str">
        <f t="shared" si="1086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1087">IF(AL299="","",AL299*AL301)</f>
        <v>80</v>
      </c>
      <c r="AM302" s="405">
        <f t="shared" si="1087"/>
        <v>90</v>
      </c>
      <c r="AN302" s="405">
        <f t="shared" si="1087"/>
        <v>100</v>
      </c>
      <c r="AO302" s="405">
        <f t="shared" si="1087"/>
        <v>60</v>
      </c>
      <c r="AP302" s="405">
        <f t="shared" si="1087"/>
        <v>40</v>
      </c>
      <c r="AQ302" s="405">
        <f t="shared" si="1087"/>
        <v>60</v>
      </c>
      <c r="AR302" s="405">
        <f t="shared" si="1087"/>
        <v>120</v>
      </c>
      <c r="AS302" s="405">
        <f t="shared" si="1087"/>
        <v>80</v>
      </c>
      <c r="AT302" s="405" t="str">
        <f t="shared" si="1087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1088">IF(BD299="","",BD299*BD301)</f>
        <v>40</v>
      </c>
      <c r="BE302" s="405">
        <f t="shared" si="1088"/>
        <v>20</v>
      </c>
      <c r="BF302" s="405" t="str">
        <f t="shared" si="1088"/>
        <v/>
      </c>
      <c r="BG302" s="405">
        <f t="shared" si="1088"/>
        <v>24</v>
      </c>
      <c r="BH302" s="405">
        <f t="shared" si="1088"/>
        <v>30</v>
      </c>
      <c r="BI302" s="405">
        <f t="shared" si="1088"/>
        <v>160</v>
      </c>
      <c r="BJ302" s="405">
        <f t="shared" si="1088"/>
        <v>40</v>
      </c>
      <c r="BK302" s="405">
        <f t="shared" si="1088"/>
        <v>40</v>
      </c>
      <c r="BL302" s="405" t="str">
        <f t="shared" si="1088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058"/>
        <v>84</v>
      </c>
      <c r="CA302" s="373">
        <f t="shared" si="1059"/>
        <v>88.666666666666671</v>
      </c>
      <c r="CB302" s="373">
        <f t="shared" si="1060"/>
        <v>78.333333333333329</v>
      </c>
      <c r="CC302" s="462">
        <f t="shared" si="1061"/>
        <v>34.799999999999997</v>
      </c>
      <c r="CD302" s="1109" t="str">
        <f t="shared" si="1062"/>
        <v/>
      </c>
      <c r="CE302" s="1110" t="str">
        <f t="shared" si="1062"/>
        <v/>
      </c>
      <c r="CF302" s="1111" t="str">
        <f t="shared" si="1062"/>
        <v/>
      </c>
      <c r="CG302" s="1111" t="str">
        <f t="shared" si="1062"/>
        <v/>
      </c>
      <c r="CH302" s="1111" t="str">
        <f t="shared" si="1062"/>
        <v/>
      </c>
      <c r="CI302" s="1111">
        <f t="shared" si="1062"/>
        <v>0</v>
      </c>
      <c r="CJ302" s="1111">
        <f t="shared" si="1062"/>
        <v>40</v>
      </c>
      <c r="CK302" s="1112">
        <f t="shared" si="1062"/>
        <v>80</v>
      </c>
      <c r="CL302" s="1112">
        <f t="shared" si="1062"/>
        <v>100</v>
      </c>
      <c r="CM302" s="1112">
        <f t="shared" si="1062"/>
        <v>100</v>
      </c>
      <c r="CN302" s="1111">
        <f t="shared" si="1062"/>
        <v>100</v>
      </c>
      <c r="CO302" s="1111">
        <f t="shared" si="1062"/>
        <v>120</v>
      </c>
      <c r="CP302" s="1111" t="str">
        <f t="shared" si="1062"/>
        <v/>
      </c>
      <c r="CQ302" s="1111" t="str">
        <f t="shared" si="1062"/>
        <v/>
      </c>
      <c r="CR302" s="1111" t="str">
        <f t="shared" si="1062"/>
        <v/>
      </c>
      <c r="CS302" s="1110" t="str">
        <f t="shared" si="1062"/>
        <v/>
      </c>
      <c r="CT302" s="1113" t="str">
        <f t="shared" si="1063"/>
        <v/>
      </c>
      <c r="CU302" s="324" t="str">
        <f t="shared" si="1064"/>
        <v/>
      </c>
      <c r="CV302" s="325" t="str">
        <f t="shared" si="1065"/>
        <v/>
      </c>
      <c r="CW302" s="326" t="str">
        <f t="shared" si="1066"/>
        <v/>
      </c>
      <c r="CX302" s="326" t="str">
        <f t="shared" si="1067"/>
        <v/>
      </c>
      <c r="CY302" s="326" t="str">
        <f t="shared" si="1068"/>
        <v/>
      </c>
      <c r="CZ302" s="326">
        <f t="shared" si="1069"/>
        <v>40</v>
      </c>
      <c r="DA302" s="326">
        <f t="shared" si="1070"/>
        <v>52</v>
      </c>
      <c r="DB302" s="327">
        <f t="shared" si="1071"/>
        <v>80</v>
      </c>
      <c r="DC302" s="327">
        <f t="shared" si="1072"/>
        <v>100</v>
      </c>
      <c r="DD302" s="327">
        <f t="shared" si="1073"/>
        <v>100</v>
      </c>
      <c r="DE302" s="326">
        <f t="shared" si="1074"/>
        <v>100</v>
      </c>
      <c r="DF302" s="326">
        <f t="shared" si="1075"/>
        <v>100</v>
      </c>
      <c r="DG302" s="326">
        <f t="shared" si="1076"/>
        <v>120</v>
      </c>
      <c r="DH302" s="326" t="str">
        <f t="shared" si="1077"/>
        <v/>
      </c>
      <c r="DI302" s="326" t="str">
        <f t="shared" si="1078"/>
        <v/>
      </c>
      <c r="DJ302" s="325" t="str">
        <f t="shared" si="1079"/>
        <v/>
      </c>
      <c r="DK302" s="324" t="str">
        <f t="shared" si="1080"/>
        <v/>
      </c>
      <c r="DL302" s="428">
        <f t="shared" si="1081"/>
        <v>7</v>
      </c>
      <c r="DM302" s="66">
        <f t="shared" si="1082"/>
        <v>8</v>
      </c>
      <c r="DN302" s="66">
        <f t="shared" si="1083"/>
        <v>8</v>
      </c>
      <c r="DO302" s="66">
        <f t="shared" si="1084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089">1530*$K$1</f>
        <v>1530</v>
      </c>
      <c r="C303" s="476">
        <f t="shared" si="1089"/>
        <v>1530</v>
      </c>
      <c r="D303" s="476">
        <f t="shared" si="1089"/>
        <v>1530</v>
      </c>
      <c r="E303" s="476">
        <f t="shared" si="1089"/>
        <v>1530</v>
      </c>
      <c r="F303" s="476">
        <f t="shared" si="1089"/>
        <v>1530</v>
      </c>
      <c r="G303" s="476">
        <f t="shared" si="1089"/>
        <v>1530</v>
      </c>
      <c r="H303" s="476">
        <f t="shared" si="1089"/>
        <v>1530</v>
      </c>
      <c r="I303" s="476">
        <f t="shared" si="1089"/>
        <v>1530</v>
      </c>
      <c r="J303" s="476">
        <f t="shared" si="1089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090">1530*$K$1</f>
        <v>1530</v>
      </c>
      <c r="U303" s="476">
        <f t="shared" si="1090"/>
        <v>1530</v>
      </c>
      <c r="V303" s="476">
        <f t="shared" si="1090"/>
        <v>1530</v>
      </c>
      <c r="W303" s="476">
        <f t="shared" si="1090"/>
        <v>1530</v>
      </c>
      <c r="X303" s="476">
        <f t="shared" si="1090"/>
        <v>1530</v>
      </c>
      <c r="Y303" s="476">
        <f t="shared" si="1090"/>
        <v>1530</v>
      </c>
      <c r="Z303" s="476">
        <f t="shared" si="1090"/>
        <v>1530</v>
      </c>
      <c r="AA303" s="476">
        <f t="shared" si="1090"/>
        <v>1530</v>
      </c>
      <c r="AB303" s="476">
        <f t="shared" si="1090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1090"/>
        <v>1530</v>
      </c>
      <c r="AM303" s="476">
        <f t="shared" si="1090"/>
        <v>1530</v>
      </c>
      <c r="AN303" s="476">
        <f t="shared" si="1090"/>
        <v>1530</v>
      </c>
      <c r="AO303" s="476">
        <f t="shared" si="1090"/>
        <v>1530</v>
      </c>
      <c r="AP303" s="476">
        <f t="shared" si="1090"/>
        <v>1530</v>
      </c>
      <c r="AQ303" s="476">
        <f t="shared" si="1090"/>
        <v>1530</v>
      </c>
      <c r="AR303" s="476">
        <f t="shared" si="1090"/>
        <v>1530</v>
      </c>
      <c r="AS303" s="476">
        <f t="shared" si="1090"/>
        <v>1530</v>
      </c>
      <c r="AT303" s="476">
        <f t="shared" si="1090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1090"/>
        <v>1530</v>
      </c>
      <c r="BE303" s="476">
        <f t="shared" si="1090"/>
        <v>1530</v>
      </c>
      <c r="BF303" s="476">
        <f t="shared" si="1090"/>
        <v>1530</v>
      </c>
      <c r="BG303" s="476">
        <f t="shared" si="1090"/>
        <v>1530</v>
      </c>
      <c r="BH303" s="476">
        <f t="shared" si="1090"/>
        <v>1530</v>
      </c>
      <c r="BI303" s="476">
        <f t="shared" si="1090"/>
        <v>1530</v>
      </c>
      <c r="BJ303" s="476">
        <f t="shared" si="1090"/>
        <v>1530</v>
      </c>
      <c r="BK303" s="476">
        <f t="shared" si="1090"/>
        <v>1530</v>
      </c>
      <c r="BL303" s="476">
        <f t="shared" si="1090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1090"/>
        <v>1530</v>
      </c>
      <c r="BW303" s="476">
        <f t="shared" si="1090"/>
        <v>1530</v>
      </c>
      <c r="BX303" s="476">
        <f t="shared" si="1090"/>
        <v>1530</v>
      </c>
      <c r="BY303" s="476">
        <f t="shared" si="1090"/>
        <v>1530</v>
      </c>
      <c r="BZ303" s="373">
        <f t="shared" si="1058"/>
        <v>1530</v>
      </c>
      <c r="CA303" s="373">
        <f t="shared" si="1059"/>
        <v>1530</v>
      </c>
      <c r="CB303" s="373">
        <f t="shared" si="1060"/>
        <v>1530</v>
      </c>
      <c r="CC303" s="462">
        <f t="shared" si="1061"/>
        <v>1530</v>
      </c>
      <c r="CD303" s="1109" t="str">
        <f t="shared" si="1062"/>
        <v/>
      </c>
      <c r="CE303" s="1110" t="str">
        <f t="shared" si="1062"/>
        <v/>
      </c>
      <c r="CF303" s="1111" t="str">
        <f t="shared" si="1062"/>
        <v/>
      </c>
      <c r="CG303" s="1111" t="str">
        <f t="shared" si="1062"/>
        <v/>
      </c>
      <c r="CH303" s="1111">
        <f t="shared" si="1062"/>
        <v>1530</v>
      </c>
      <c r="CI303" s="1111">
        <f t="shared" si="1062"/>
        <v>1530</v>
      </c>
      <c r="CJ303" s="1111">
        <f t="shared" si="1062"/>
        <v>1530</v>
      </c>
      <c r="CK303" s="1112">
        <f t="shared" si="1062"/>
        <v>1530</v>
      </c>
      <c r="CL303" s="1112">
        <f t="shared" si="1062"/>
        <v>1530</v>
      </c>
      <c r="CM303" s="1112">
        <f t="shared" si="1062"/>
        <v>1530</v>
      </c>
      <c r="CN303" s="1111">
        <f t="shared" si="1062"/>
        <v>1530</v>
      </c>
      <c r="CO303" s="1111">
        <f t="shared" si="1062"/>
        <v>1530</v>
      </c>
      <c r="CP303" s="1111">
        <f t="shared" si="1062"/>
        <v>1530</v>
      </c>
      <c r="CQ303" s="1111" t="str">
        <f t="shared" si="1062"/>
        <v/>
      </c>
      <c r="CR303" s="1111" t="str">
        <f t="shared" si="1062"/>
        <v/>
      </c>
      <c r="CS303" s="1110" t="str">
        <f t="shared" si="1062"/>
        <v/>
      </c>
      <c r="CT303" s="1113" t="str">
        <f t="shared" si="1063"/>
        <v/>
      </c>
      <c r="CU303" s="324" t="str">
        <f t="shared" si="1064"/>
        <v/>
      </c>
      <c r="CV303" s="325" t="str">
        <f t="shared" si="1065"/>
        <v/>
      </c>
      <c r="CW303" s="326" t="str">
        <f t="shared" si="1066"/>
        <v/>
      </c>
      <c r="CX303" s="326" t="str">
        <f t="shared" si="1067"/>
        <v/>
      </c>
      <c r="CY303" s="326">
        <f t="shared" si="1068"/>
        <v>1530</v>
      </c>
      <c r="CZ303" s="326">
        <f t="shared" si="1069"/>
        <v>1530</v>
      </c>
      <c r="DA303" s="326">
        <f t="shared" si="1070"/>
        <v>1530</v>
      </c>
      <c r="DB303" s="327">
        <f t="shared" si="1071"/>
        <v>1530</v>
      </c>
      <c r="DC303" s="327">
        <f t="shared" si="1072"/>
        <v>1530</v>
      </c>
      <c r="DD303" s="327">
        <f t="shared" si="1073"/>
        <v>1530</v>
      </c>
      <c r="DE303" s="326">
        <f t="shared" si="1074"/>
        <v>1530</v>
      </c>
      <c r="DF303" s="326">
        <f t="shared" si="1075"/>
        <v>1530</v>
      </c>
      <c r="DG303" s="326">
        <f t="shared" si="1076"/>
        <v>1530</v>
      </c>
      <c r="DH303" s="326" t="str">
        <f t="shared" si="1077"/>
        <v/>
      </c>
      <c r="DI303" s="326" t="str">
        <f t="shared" si="1078"/>
        <v/>
      </c>
      <c r="DJ303" s="325" t="str">
        <f t="shared" si="1079"/>
        <v/>
      </c>
      <c r="DK303" s="324" t="str">
        <f t="shared" si="1080"/>
        <v/>
      </c>
      <c r="DL303" s="428">
        <f t="shared" si="1081"/>
        <v>9</v>
      </c>
      <c r="DM303" s="66">
        <f t="shared" si="1082"/>
        <v>9</v>
      </c>
      <c r="DN303" s="66">
        <f t="shared" si="1083"/>
        <v>9</v>
      </c>
      <c r="DO303" s="66">
        <f t="shared" si="1084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058"/>
        <v/>
      </c>
      <c r="CA304" s="373" t="str">
        <f t="shared" si="1059"/>
        <v/>
      </c>
      <c r="CB304" s="373" t="str">
        <f t="shared" si="1060"/>
        <v/>
      </c>
      <c r="CC304" s="462" t="str">
        <f t="shared" si="1061"/>
        <v/>
      </c>
      <c r="CD304" s="1109" t="str">
        <f t="shared" si="1062"/>
        <v/>
      </c>
      <c r="CE304" s="1110" t="str">
        <f t="shared" si="1062"/>
        <v/>
      </c>
      <c r="CF304" s="1111" t="str">
        <f t="shared" si="1062"/>
        <v/>
      </c>
      <c r="CG304" s="1111" t="str">
        <f t="shared" si="1062"/>
        <v/>
      </c>
      <c r="CH304" s="1111" t="str">
        <f t="shared" si="1062"/>
        <v/>
      </c>
      <c r="CI304" s="1111" t="str">
        <f t="shared" si="1062"/>
        <v/>
      </c>
      <c r="CJ304" s="1111" t="str">
        <f t="shared" si="1062"/>
        <v/>
      </c>
      <c r="CK304" s="1112" t="str">
        <f t="shared" si="1062"/>
        <v/>
      </c>
      <c r="CL304" s="1112" t="str">
        <f t="shared" si="1062"/>
        <v/>
      </c>
      <c r="CM304" s="1112" t="str">
        <f t="shared" si="1062"/>
        <v/>
      </c>
      <c r="CN304" s="1111" t="str">
        <f t="shared" si="1062"/>
        <v/>
      </c>
      <c r="CO304" s="1111" t="str">
        <f t="shared" si="1062"/>
        <v/>
      </c>
      <c r="CP304" s="1111" t="str">
        <f t="shared" si="1062"/>
        <v/>
      </c>
      <c r="CQ304" s="1111" t="str">
        <f t="shared" si="1062"/>
        <v/>
      </c>
      <c r="CR304" s="1111" t="str">
        <f t="shared" si="1062"/>
        <v/>
      </c>
      <c r="CS304" s="1110" t="str">
        <f t="shared" si="1062"/>
        <v/>
      </c>
      <c r="CT304" s="1113" t="str">
        <f t="shared" si="1063"/>
        <v/>
      </c>
      <c r="CU304" s="324" t="str">
        <f t="shared" si="1064"/>
        <v/>
      </c>
      <c r="CV304" s="325" t="str">
        <f t="shared" si="1065"/>
        <v/>
      </c>
      <c r="CW304" s="326" t="str">
        <f t="shared" si="1066"/>
        <v/>
      </c>
      <c r="CX304" s="326" t="str">
        <f t="shared" si="1067"/>
        <v/>
      </c>
      <c r="CY304" s="326" t="str">
        <f t="shared" si="1068"/>
        <v/>
      </c>
      <c r="CZ304" s="326" t="str">
        <f t="shared" si="1069"/>
        <v/>
      </c>
      <c r="DA304" s="326" t="str">
        <f t="shared" si="1070"/>
        <v/>
      </c>
      <c r="DB304" s="327" t="str">
        <f t="shared" si="1071"/>
        <v/>
      </c>
      <c r="DC304" s="327" t="str">
        <f t="shared" si="1072"/>
        <v/>
      </c>
      <c r="DD304" s="327" t="str">
        <f t="shared" si="1073"/>
        <v/>
      </c>
      <c r="DE304" s="326" t="str">
        <f t="shared" si="1074"/>
        <v/>
      </c>
      <c r="DF304" s="326" t="str">
        <f t="shared" si="1075"/>
        <v/>
      </c>
      <c r="DG304" s="326" t="str">
        <f t="shared" si="1076"/>
        <v/>
      </c>
      <c r="DH304" s="326" t="str">
        <f t="shared" si="1077"/>
        <v/>
      </c>
      <c r="DI304" s="326" t="str">
        <f t="shared" si="1078"/>
        <v/>
      </c>
      <c r="DJ304" s="325" t="str">
        <f t="shared" si="1079"/>
        <v/>
      </c>
      <c r="DK304" s="324" t="str">
        <f t="shared" si="1080"/>
        <v/>
      </c>
      <c r="DL304" s="428">
        <f t="shared" si="1081"/>
        <v>0</v>
      </c>
      <c r="DM304" s="66">
        <f t="shared" si="1082"/>
        <v>0</v>
      </c>
      <c r="DN304" s="66">
        <f t="shared" si="1083"/>
        <v>0</v>
      </c>
      <c r="DO304" s="66">
        <f t="shared" si="1084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058"/>
        <v/>
      </c>
      <c r="CA305" s="373" t="str">
        <f t="shared" si="1059"/>
        <v/>
      </c>
      <c r="CB305" s="373" t="str">
        <f t="shared" si="1060"/>
        <v/>
      </c>
      <c r="CC305" s="462" t="str">
        <f t="shared" si="1061"/>
        <v/>
      </c>
      <c r="CD305" s="1109" t="str">
        <f t="shared" si="1062"/>
        <v/>
      </c>
      <c r="CE305" s="1110" t="str">
        <f t="shared" si="1062"/>
        <v/>
      </c>
      <c r="CF305" s="1111" t="str">
        <f t="shared" si="1062"/>
        <v/>
      </c>
      <c r="CG305" s="1111" t="str">
        <f t="shared" si="1062"/>
        <v/>
      </c>
      <c r="CH305" s="1111" t="str">
        <f t="shared" si="1062"/>
        <v/>
      </c>
      <c r="CI305" s="1111" t="str">
        <f t="shared" si="1062"/>
        <v/>
      </c>
      <c r="CJ305" s="1111" t="str">
        <f t="shared" si="1062"/>
        <v/>
      </c>
      <c r="CK305" s="1112" t="str">
        <f t="shared" si="1062"/>
        <v/>
      </c>
      <c r="CL305" s="1112" t="str">
        <f t="shared" si="1062"/>
        <v/>
      </c>
      <c r="CM305" s="1112" t="str">
        <f t="shared" si="1062"/>
        <v/>
      </c>
      <c r="CN305" s="1111" t="str">
        <f t="shared" si="1062"/>
        <v/>
      </c>
      <c r="CO305" s="1111" t="str">
        <f t="shared" si="1062"/>
        <v/>
      </c>
      <c r="CP305" s="1111" t="str">
        <f t="shared" si="1062"/>
        <v/>
      </c>
      <c r="CQ305" s="1111" t="str">
        <f t="shared" si="1062"/>
        <v/>
      </c>
      <c r="CR305" s="1111" t="str">
        <f t="shared" si="1062"/>
        <v/>
      </c>
      <c r="CS305" s="1110" t="str">
        <f t="shared" si="1062"/>
        <v/>
      </c>
      <c r="CT305" s="1113" t="str">
        <f t="shared" si="1063"/>
        <v/>
      </c>
      <c r="CU305" s="324" t="str">
        <f t="shared" si="1064"/>
        <v/>
      </c>
      <c r="CV305" s="325" t="str">
        <f t="shared" si="1065"/>
        <v/>
      </c>
      <c r="CW305" s="326" t="str">
        <f t="shared" si="1066"/>
        <v/>
      </c>
      <c r="CX305" s="326" t="str">
        <f t="shared" si="1067"/>
        <v/>
      </c>
      <c r="CY305" s="326" t="str">
        <f t="shared" si="1068"/>
        <v/>
      </c>
      <c r="CZ305" s="326" t="str">
        <f t="shared" si="1069"/>
        <v/>
      </c>
      <c r="DA305" s="326" t="str">
        <f t="shared" si="1070"/>
        <v/>
      </c>
      <c r="DB305" s="327" t="str">
        <f t="shared" si="1071"/>
        <v/>
      </c>
      <c r="DC305" s="327" t="str">
        <f t="shared" si="1072"/>
        <v/>
      </c>
      <c r="DD305" s="327" t="str">
        <f t="shared" si="1073"/>
        <v/>
      </c>
      <c r="DE305" s="326" t="str">
        <f t="shared" si="1074"/>
        <v/>
      </c>
      <c r="DF305" s="326" t="str">
        <f t="shared" si="1075"/>
        <v/>
      </c>
      <c r="DG305" s="326" t="str">
        <f t="shared" si="1076"/>
        <v/>
      </c>
      <c r="DH305" s="326" t="str">
        <f t="shared" si="1077"/>
        <v/>
      </c>
      <c r="DI305" s="326" t="str">
        <f t="shared" si="1078"/>
        <v/>
      </c>
      <c r="DJ305" s="325" t="str">
        <f t="shared" si="1079"/>
        <v/>
      </c>
      <c r="DK305" s="324" t="str">
        <f t="shared" si="1080"/>
        <v/>
      </c>
      <c r="DL305" s="428">
        <f t="shared" si="1081"/>
        <v>0</v>
      </c>
      <c r="DM305" s="66">
        <f t="shared" si="1082"/>
        <v>0</v>
      </c>
      <c r="DN305" s="66">
        <f t="shared" si="1083"/>
        <v>0</v>
      </c>
      <c r="DO305" s="66">
        <f t="shared" si="1084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091">IF(B304="","",B304*B305)</f>
        <v/>
      </c>
      <c r="C306" s="405" t="str">
        <f t="shared" si="1091"/>
        <v/>
      </c>
      <c r="D306" s="405" t="str">
        <f t="shared" si="1091"/>
        <v/>
      </c>
      <c r="E306" s="405" t="str">
        <f t="shared" si="1091"/>
        <v/>
      </c>
      <c r="F306" s="405" t="str">
        <f t="shared" si="1091"/>
        <v/>
      </c>
      <c r="G306" s="405" t="str">
        <f t="shared" si="1091"/>
        <v/>
      </c>
      <c r="H306" s="405" t="str">
        <f t="shared" si="1091"/>
        <v/>
      </c>
      <c r="I306" s="405" t="str">
        <f t="shared" si="1091"/>
        <v/>
      </c>
      <c r="J306" s="405" t="str">
        <f t="shared" si="1091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092">IF(T304="","",T304*T305)</f>
        <v/>
      </c>
      <c r="U306" s="405" t="str">
        <f t="shared" si="1092"/>
        <v/>
      </c>
      <c r="V306" s="405" t="str">
        <f t="shared" si="1092"/>
        <v/>
      </c>
      <c r="W306" s="405" t="str">
        <f t="shared" si="1092"/>
        <v/>
      </c>
      <c r="X306" s="405" t="str">
        <f t="shared" si="1092"/>
        <v/>
      </c>
      <c r="Y306" s="405" t="str">
        <f t="shared" si="1092"/>
        <v/>
      </c>
      <c r="Z306" s="405" t="str">
        <f t="shared" si="1092"/>
        <v/>
      </c>
      <c r="AA306" s="405" t="str">
        <f t="shared" si="1092"/>
        <v/>
      </c>
      <c r="AB306" s="405" t="str">
        <f t="shared" si="1092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1093">IF(AL304="","",AL304*AL305)</f>
        <v/>
      </c>
      <c r="AM306" s="405" t="str">
        <f t="shared" si="1093"/>
        <v/>
      </c>
      <c r="AN306" s="405" t="str">
        <f t="shared" si="1093"/>
        <v/>
      </c>
      <c r="AO306" s="405" t="str">
        <f t="shared" si="1093"/>
        <v/>
      </c>
      <c r="AP306" s="405" t="str">
        <f t="shared" si="1093"/>
        <v/>
      </c>
      <c r="AQ306" s="405" t="str">
        <f t="shared" si="1093"/>
        <v/>
      </c>
      <c r="AR306" s="405" t="str">
        <f t="shared" si="1093"/>
        <v/>
      </c>
      <c r="AS306" s="405" t="str">
        <f t="shared" si="1093"/>
        <v/>
      </c>
      <c r="AT306" s="405" t="str">
        <f t="shared" si="1093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1094">IF(BD304="","",BD304*BD305)</f>
        <v/>
      </c>
      <c r="BE306" s="405" t="str">
        <f t="shared" si="1094"/>
        <v/>
      </c>
      <c r="BF306" s="405" t="str">
        <f t="shared" si="1094"/>
        <v/>
      </c>
      <c r="BG306" s="405" t="str">
        <f t="shared" si="1094"/>
        <v/>
      </c>
      <c r="BH306" s="405" t="str">
        <f t="shared" si="1094"/>
        <v/>
      </c>
      <c r="BI306" s="405" t="str">
        <f t="shared" si="1094"/>
        <v/>
      </c>
      <c r="BJ306" s="405" t="str">
        <f t="shared" si="1094"/>
        <v/>
      </c>
      <c r="BK306" s="405" t="str">
        <f t="shared" si="1094"/>
        <v/>
      </c>
      <c r="BL306" s="405" t="str">
        <f t="shared" si="1094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058"/>
        <v/>
      </c>
      <c r="CA306" s="373" t="str">
        <f t="shared" si="1059"/>
        <v/>
      </c>
      <c r="CB306" s="373" t="str">
        <f t="shared" si="1060"/>
        <v/>
      </c>
      <c r="CC306" s="462" t="str">
        <f t="shared" si="1061"/>
        <v/>
      </c>
      <c r="CD306" s="1109" t="str">
        <f t="shared" si="1062"/>
        <v/>
      </c>
      <c r="CE306" s="1110" t="str">
        <f t="shared" si="1062"/>
        <v/>
      </c>
      <c r="CF306" s="1111" t="str">
        <f t="shared" si="1062"/>
        <v/>
      </c>
      <c r="CG306" s="1111" t="str">
        <f t="shared" si="1062"/>
        <v/>
      </c>
      <c r="CH306" s="1111" t="str">
        <f t="shared" si="1062"/>
        <v/>
      </c>
      <c r="CI306" s="1111" t="str">
        <f t="shared" si="1062"/>
        <v/>
      </c>
      <c r="CJ306" s="1111" t="str">
        <f t="shared" si="1062"/>
        <v/>
      </c>
      <c r="CK306" s="1112" t="str">
        <f t="shared" si="1062"/>
        <v/>
      </c>
      <c r="CL306" s="1112" t="str">
        <f t="shared" si="1062"/>
        <v/>
      </c>
      <c r="CM306" s="1112" t="str">
        <f t="shared" si="1062"/>
        <v/>
      </c>
      <c r="CN306" s="1111" t="str">
        <f t="shared" si="1062"/>
        <v/>
      </c>
      <c r="CO306" s="1111" t="str">
        <f t="shared" si="1062"/>
        <v/>
      </c>
      <c r="CP306" s="1111" t="str">
        <f t="shared" si="1062"/>
        <v/>
      </c>
      <c r="CQ306" s="1111" t="str">
        <f t="shared" si="1062"/>
        <v/>
      </c>
      <c r="CR306" s="1111" t="str">
        <f t="shared" si="1062"/>
        <v/>
      </c>
      <c r="CS306" s="1110" t="str">
        <f t="shared" si="1062"/>
        <v/>
      </c>
      <c r="CT306" s="1113" t="str">
        <f t="shared" si="1063"/>
        <v/>
      </c>
      <c r="CU306" s="324" t="str">
        <f t="shared" si="1064"/>
        <v/>
      </c>
      <c r="CV306" s="325" t="str">
        <f t="shared" si="1065"/>
        <v/>
      </c>
      <c r="CW306" s="326" t="str">
        <f t="shared" si="1066"/>
        <v/>
      </c>
      <c r="CX306" s="326" t="str">
        <f t="shared" si="1067"/>
        <v/>
      </c>
      <c r="CY306" s="326" t="str">
        <f t="shared" si="1068"/>
        <v/>
      </c>
      <c r="CZ306" s="326" t="str">
        <f t="shared" si="1069"/>
        <v/>
      </c>
      <c r="DA306" s="326" t="str">
        <f t="shared" si="1070"/>
        <v/>
      </c>
      <c r="DB306" s="327" t="str">
        <f t="shared" si="1071"/>
        <v/>
      </c>
      <c r="DC306" s="327" t="str">
        <f t="shared" si="1072"/>
        <v/>
      </c>
      <c r="DD306" s="327" t="str">
        <f t="shared" si="1073"/>
        <v/>
      </c>
      <c r="DE306" s="326" t="str">
        <f t="shared" si="1074"/>
        <v/>
      </c>
      <c r="DF306" s="326" t="str">
        <f t="shared" si="1075"/>
        <v/>
      </c>
      <c r="DG306" s="326" t="str">
        <f t="shared" si="1076"/>
        <v/>
      </c>
      <c r="DH306" s="326" t="str">
        <f t="shared" si="1077"/>
        <v/>
      </c>
      <c r="DI306" s="326" t="str">
        <f t="shared" si="1078"/>
        <v/>
      </c>
      <c r="DJ306" s="325" t="str">
        <f t="shared" si="1079"/>
        <v/>
      </c>
      <c r="DK306" s="324" t="str">
        <f t="shared" si="1080"/>
        <v/>
      </c>
      <c r="DL306" s="428">
        <f t="shared" si="1081"/>
        <v>0</v>
      </c>
      <c r="DM306" s="66">
        <f t="shared" si="1082"/>
        <v>0</v>
      </c>
      <c r="DN306" s="66">
        <f t="shared" si="1083"/>
        <v>0</v>
      </c>
      <c r="DO306" s="66">
        <f t="shared" si="1084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058"/>
        <v/>
      </c>
      <c r="CA307" s="373" t="str">
        <f t="shared" si="1059"/>
        <v/>
      </c>
      <c r="CB307" s="373" t="str">
        <f t="shared" si="1060"/>
        <v/>
      </c>
      <c r="CC307" s="462" t="str">
        <f t="shared" si="1061"/>
        <v/>
      </c>
      <c r="CD307" s="1109" t="str">
        <f t="shared" si="1062"/>
        <v/>
      </c>
      <c r="CE307" s="1110" t="str">
        <f t="shared" si="1062"/>
        <v/>
      </c>
      <c r="CF307" s="1111" t="str">
        <f t="shared" si="1062"/>
        <v/>
      </c>
      <c r="CG307" s="1111" t="str">
        <f t="shared" si="1062"/>
        <v/>
      </c>
      <c r="CH307" s="1111" t="str">
        <f t="shared" si="1062"/>
        <v/>
      </c>
      <c r="CI307" s="1111" t="str">
        <f t="shared" si="1062"/>
        <v/>
      </c>
      <c r="CJ307" s="1111" t="str">
        <f t="shared" si="1062"/>
        <v/>
      </c>
      <c r="CK307" s="1112" t="str">
        <f t="shared" si="1062"/>
        <v/>
      </c>
      <c r="CL307" s="1112" t="str">
        <f t="shared" si="1062"/>
        <v/>
      </c>
      <c r="CM307" s="1112" t="str">
        <f t="shared" si="1062"/>
        <v/>
      </c>
      <c r="CN307" s="1111" t="str">
        <f t="shared" si="1062"/>
        <v/>
      </c>
      <c r="CO307" s="1111" t="str">
        <f t="shared" si="1062"/>
        <v/>
      </c>
      <c r="CP307" s="1111" t="str">
        <f t="shared" si="1062"/>
        <v/>
      </c>
      <c r="CQ307" s="1111" t="str">
        <f t="shared" si="1062"/>
        <v/>
      </c>
      <c r="CR307" s="1111" t="str">
        <f t="shared" si="1062"/>
        <v/>
      </c>
      <c r="CS307" s="1110" t="str">
        <f t="shared" si="1062"/>
        <v/>
      </c>
      <c r="CT307" s="1113" t="str">
        <f t="shared" si="1063"/>
        <v/>
      </c>
      <c r="CU307" s="324" t="str">
        <f t="shared" si="1064"/>
        <v/>
      </c>
      <c r="CV307" s="325" t="str">
        <f t="shared" si="1065"/>
        <v/>
      </c>
      <c r="CW307" s="326" t="str">
        <f t="shared" si="1066"/>
        <v/>
      </c>
      <c r="CX307" s="326" t="str">
        <f t="shared" si="1067"/>
        <v/>
      </c>
      <c r="CY307" s="326" t="str">
        <f t="shared" si="1068"/>
        <v/>
      </c>
      <c r="CZ307" s="326" t="str">
        <f t="shared" si="1069"/>
        <v/>
      </c>
      <c r="DA307" s="326" t="str">
        <f t="shared" si="1070"/>
        <v/>
      </c>
      <c r="DB307" s="327" t="str">
        <f t="shared" si="1071"/>
        <v/>
      </c>
      <c r="DC307" s="327" t="str">
        <f t="shared" si="1072"/>
        <v/>
      </c>
      <c r="DD307" s="327" t="str">
        <f t="shared" si="1073"/>
        <v/>
      </c>
      <c r="DE307" s="326" t="str">
        <f t="shared" si="1074"/>
        <v/>
      </c>
      <c r="DF307" s="326" t="str">
        <f t="shared" si="1075"/>
        <v/>
      </c>
      <c r="DG307" s="326" t="str">
        <f t="shared" si="1076"/>
        <v/>
      </c>
      <c r="DH307" s="326" t="str">
        <f t="shared" si="1077"/>
        <v/>
      </c>
      <c r="DI307" s="326" t="str">
        <f t="shared" si="1078"/>
        <v/>
      </c>
      <c r="DJ307" s="325" t="str">
        <f t="shared" si="1079"/>
        <v/>
      </c>
      <c r="DK307" s="324" t="str">
        <f t="shared" si="1080"/>
        <v/>
      </c>
      <c r="DL307" s="428">
        <f t="shared" si="1081"/>
        <v>0</v>
      </c>
      <c r="DM307" s="66">
        <f t="shared" si="1082"/>
        <v>0</v>
      </c>
      <c r="DN307" s="66">
        <f t="shared" si="1083"/>
        <v>0</v>
      </c>
      <c r="DO307" s="66">
        <f t="shared" si="1084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095">IF(B302="","",(B302-B304-B307)*B303/B$46/365/$G$1)</f>
        <v>1.9960861056751468E-2</v>
      </c>
      <c r="C308" s="408">
        <f t="shared" si="1095"/>
        <v>2.8515515795359242E-2</v>
      </c>
      <c r="D308" s="408" t="str">
        <f t="shared" si="1095"/>
        <v/>
      </c>
      <c r="E308" s="408">
        <f t="shared" si="1095"/>
        <v>3.3268101761252451E-2</v>
      </c>
      <c r="F308" s="408">
        <f t="shared" si="1095"/>
        <v>2.661448140900196E-2</v>
      </c>
      <c r="G308" s="408">
        <f t="shared" si="1095"/>
        <v>2.9941291585127202E-2</v>
      </c>
      <c r="H308" s="408">
        <f t="shared" si="1095"/>
        <v>0</v>
      </c>
      <c r="I308" s="408">
        <f t="shared" si="1095"/>
        <v>1.330724070450098E-2</v>
      </c>
      <c r="J308" s="408" t="str">
        <f t="shared" si="1095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096">IF(T302="","",(T302-T304-T307)*T303/T$46/365/$G$1)</f>
        <v>2.4951076320939337E-2</v>
      </c>
      <c r="U308" s="408">
        <f t="shared" si="1096"/>
        <v>1.4516989859455614E-2</v>
      </c>
      <c r="V308" s="408">
        <f t="shared" si="1096"/>
        <v>6.6536203522504899E-3</v>
      </c>
      <c r="W308" s="408">
        <f t="shared" si="1096"/>
        <v>1.9960861056751468E-2</v>
      </c>
      <c r="X308" s="408">
        <f t="shared" si="1096"/>
        <v>2.9941291585127202E-2</v>
      </c>
      <c r="Y308" s="408">
        <f t="shared" si="1096"/>
        <v>1.4828068213586806E-2</v>
      </c>
      <c r="Z308" s="408">
        <f t="shared" si="1096"/>
        <v>2.4951076320939337E-2</v>
      </c>
      <c r="AA308" s="408">
        <f t="shared" si="1096"/>
        <v>1.9960861056751468E-2</v>
      </c>
      <c r="AB308" s="408" t="str">
        <f t="shared" si="1096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1097">IF(AL302="","",(AL302-AL304-AL307)*AL303/AL$46/365/$G$1)</f>
        <v>1.4516989859455614E-2</v>
      </c>
      <c r="AM308" s="408">
        <f t="shared" si="1097"/>
        <v>1.4970645792563601E-2</v>
      </c>
      <c r="AN308" s="408">
        <f t="shared" si="1097"/>
        <v>2.4951076320939337E-2</v>
      </c>
      <c r="AO308" s="408">
        <f t="shared" si="1097"/>
        <v>1.4970645792563601E-2</v>
      </c>
      <c r="AP308" s="408">
        <f t="shared" si="1097"/>
        <v>1.330724070450098E-2</v>
      </c>
      <c r="AQ308" s="408">
        <f t="shared" si="1097"/>
        <v>1.9960861056751468E-2</v>
      </c>
      <c r="AR308" s="408">
        <f t="shared" si="1097"/>
        <v>2.9941291585127202E-2</v>
      </c>
      <c r="AS308" s="408">
        <f t="shared" si="1097"/>
        <v>1.9960861056751468E-2</v>
      </c>
      <c r="AT308" s="408" t="str">
        <f t="shared" si="1097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1098">IF(BD302="","",(BD302-BD304-BD307)*BD303/BD$46/365/$G$1)</f>
        <v>6.6536203522504899E-3</v>
      </c>
      <c r="BE308" s="408">
        <f t="shared" si="1098"/>
        <v>3.326810176125245E-3</v>
      </c>
      <c r="BF308" s="408" t="str">
        <f t="shared" si="1098"/>
        <v/>
      </c>
      <c r="BG308" s="408">
        <f t="shared" si="1098"/>
        <v>4.7906066536203525E-3</v>
      </c>
      <c r="BH308" s="408">
        <f t="shared" si="1098"/>
        <v>5.9882583170254404E-3</v>
      </c>
      <c r="BI308" s="408">
        <f t="shared" si="1098"/>
        <v>4.5624825272574783E-2</v>
      </c>
      <c r="BJ308" s="408">
        <f t="shared" si="1098"/>
        <v>1.330724070450098E-2</v>
      </c>
      <c r="BK308" s="408">
        <f t="shared" si="1098"/>
        <v>6.6536203522504899E-3</v>
      </c>
      <c r="BL308" s="408" t="str">
        <f t="shared" si="1098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058"/>
        <v>2.3667878110148172E-2</v>
      </c>
      <c r="CA308" s="398">
        <f t="shared" si="1059"/>
        <v>1.9861488804737339E-2</v>
      </c>
      <c r="CB308" s="398">
        <f t="shared" si="1060"/>
        <v>1.822184664650418E-2</v>
      </c>
      <c r="CC308" s="465">
        <f t="shared" si="1061"/>
        <v>7.4786692759295521E-3</v>
      </c>
      <c r="CD308" s="111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5" t="str">
        <f t="shared" ref="CE308:CT309" si="10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6" t="str">
        <f t="shared" si="1099"/>
        <v/>
      </c>
      <c r="CG308" s="1116" t="str">
        <f t="shared" si="1099"/>
        <v/>
      </c>
      <c r="CH308" s="1116" t="str">
        <f t="shared" si="1099"/>
        <v/>
      </c>
      <c r="CI308" s="1116">
        <f t="shared" si="1099"/>
        <v>0</v>
      </c>
      <c r="CJ308" s="1116">
        <f t="shared" si="1099"/>
        <v>1.330724070450098E-2</v>
      </c>
      <c r="CK308" s="1117">
        <f t="shared" si="1099"/>
        <v>1.9960861056751468E-2</v>
      </c>
      <c r="CL308" s="1117">
        <f t="shared" si="1099"/>
        <v>2.661448140900196E-2</v>
      </c>
      <c r="CM308" s="1117">
        <f t="shared" si="1099"/>
        <v>2.8515515795359242E-2</v>
      </c>
      <c r="CN308" s="1116">
        <f t="shared" si="1099"/>
        <v>2.9941291585127202E-2</v>
      </c>
      <c r="CO308" s="1116">
        <f t="shared" si="1099"/>
        <v>3.3268101761252451E-2</v>
      </c>
      <c r="CP308" s="1116" t="str">
        <f t="shared" si="1099"/>
        <v/>
      </c>
      <c r="CQ308" s="1116" t="str">
        <f t="shared" si="1099"/>
        <v/>
      </c>
      <c r="CR308" s="1116" t="str">
        <f t="shared" si="1099"/>
        <v/>
      </c>
      <c r="CS308" s="1115" t="str">
        <f t="shared" si="1099"/>
        <v/>
      </c>
      <c r="CT308" s="1118" t="str">
        <f t="shared" si="1099"/>
        <v/>
      </c>
      <c r="CU308" s="312" t="str">
        <f t="shared" si="1064"/>
        <v/>
      </c>
      <c r="CV308" s="313" t="str">
        <f t="shared" si="1065"/>
        <v/>
      </c>
      <c r="CW308" s="314" t="str">
        <f t="shared" si="1066"/>
        <v/>
      </c>
      <c r="CX308" s="314" t="str">
        <f t="shared" si="1067"/>
        <v/>
      </c>
      <c r="CY308" s="314" t="str">
        <f t="shared" si="1068"/>
        <v/>
      </c>
      <c r="CZ308" s="314">
        <f t="shared" si="1069"/>
        <v>6.6536203522504899E-3</v>
      </c>
      <c r="DA308" s="314">
        <f t="shared" si="1070"/>
        <v>1.4516989859455614E-2</v>
      </c>
      <c r="DB308" s="315">
        <f t="shared" si="1071"/>
        <v>1.4828068213586806E-2</v>
      </c>
      <c r="DC308" s="315">
        <f t="shared" si="1072"/>
        <v>1.9960861056751468E-2</v>
      </c>
      <c r="DD308" s="315">
        <f t="shared" si="1073"/>
        <v>1.9960861056751468E-2</v>
      </c>
      <c r="DE308" s="314">
        <f t="shared" si="1074"/>
        <v>2.4951076320939337E-2</v>
      </c>
      <c r="DF308" s="314">
        <f t="shared" si="1075"/>
        <v>2.4951076320939337E-2</v>
      </c>
      <c r="DG308" s="314">
        <f t="shared" si="1076"/>
        <v>2.9941291585127202E-2</v>
      </c>
      <c r="DH308" s="314" t="str">
        <f t="shared" si="1077"/>
        <v/>
      </c>
      <c r="DI308" s="314" t="str">
        <f t="shared" si="1078"/>
        <v/>
      </c>
      <c r="DJ308" s="313" t="str">
        <f t="shared" si="1079"/>
        <v/>
      </c>
      <c r="DK308" s="312" t="str">
        <f t="shared" si="1080"/>
        <v/>
      </c>
      <c r="DL308" s="428">
        <f t="shared" si="1081"/>
        <v>7</v>
      </c>
      <c r="DM308" s="66">
        <f t="shared" si="1082"/>
        <v>8</v>
      </c>
      <c r="DN308" s="66">
        <f t="shared" si="1083"/>
        <v>8</v>
      </c>
      <c r="DO308" s="66">
        <f t="shared" si="1084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058"/>
        <v>40</v>
      </c>
      <c r="CA309" s="373" t="str">
        <f t="shared" si="1059"/>
        <v/>
      </c>
      <c r="CB309" s="373">
        <f t="shared" si="1060"/>
        <v>4.2</v>
      </c>
      <c r="CC309" s="462">
        <f t="shared" si="1061"/>
        <v>5.8</v>
      </c>
      <c r="CD309" s="110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0" t="str">
        <f t="shared" si="1099"/>
        <v/>
      </c>
      <c r="CF309" s="1111" t="str">
        <f t="shared" si="1099"/>
        <v/>
      </c>
      <c r="CG309" s="1111" t="str">
        <f t="shared" si="1099"/>
        <v/>
      </c>
      <c r="CH309" s="1111" t="str">
        <f t="shared" si="1099"/>
        <v/>
      </c>
      <c r="CI309" s="1111" t="str">
        <f t="shared" si="1099"/>
        <v/>
      </c>
      <c r="CJ309" s="1111" t="str">
        <f t="shared" si="1099"/>
        <v/>
      </c>
      <c r="CK309" s="1112">
        <f t="shared" si="1099"/>
        <v>3</v>
      </c>
      <c r="CL309" s="1112">
        <f t="shared" si="1099"/>
        <v>40</v>
      </c>
      <c r="CM309" s="1112">
        <f t="shared" si="1099"/>
        <v>250</v>
      </c>
      <c r="CN309" s="1111" t="str">
        <f t="shared" si="1099"/>
        <v/>
      </c>
      <c r="CO309" s="1111" t="str">
        <f t="shared" si="1099"/>
        <v/>
      </c>
      <c r="CP309" s="1111" t="str">
        <f t="shared" si="1099"/>
        <v/>
      </c>
      <c r="CQ309" s="1111" t="str">
        <f t="shared" si="1099"/>
        <v/>
      </c>
      <c r="CR309" s="1111" t="str">
        <f t="shared" si="1099"/>
        <v/>
      </c>
      <c r="CS309" s="1110" t="str">
        <f t="shared" si="1099"/>
        <v/>
      </c>
      <c r="CT309" s="1113" t="str">
        <f t="shared" si="1099"/>
        <v/>
      </c>
      <c r="CU309" s="324" t="str">
        <f t="shared" si="1064"/>
        <v/>
      </c>
      <c r="CV309" s="325" t="str">
        <f t="shared" si="1065"/>
        <v/>
      </c>
      <c r="CW309" s="326" t="str">
        <f t="shared" si="1066"/>
        <v/>
      </c>
      <c r="CX309" s="326" t="str">
        <f t="shared" si="1067"/>
        <v/>
      </c>
      <c r="CY309" s="326" t="str">
        <f t="shared" si="1068"/>
        <v/>
      </c>
      <c r="CZ309" s="326" t="str">
        <f t="shared" si="1069"/>
        <v/>
      </c>
      <c r="DA309" s="326" t="str">
        <f t="shared" si="1070"/>
        <v/>
      </c>
      <c r="DB309" s="327" t="str">
        <f t="shared" si="1071"/>
        <v/>
      </c>
      <c r="DC309" s="327">
        <f t="shared" si="1072"/>
        <v>4</v>
      </c>
      <c r="DD309" s="327">
        <f t="shared" si="1073"/>
        <v>5</v>
      </c>
      <c r="DE309" s="326" t="str">
        <f t="shared" si="1074"/>
        <v/>
      </c>
      <c r="DF309" s="326" t="str">
        <f t="shared" si="1075"/>
        <v/>
      </c>
      <c r="DG309" s="326" t="str">
        <f t="shared" si="1076"/>
        <v/>
      </c>
      <c r="DH309" s="326" t="str">
        <f t="shared" si="1077"/>
        <v/>
      </c>
      <c r="DI309" s="326" t="str">
        <f t="shared" si="1078"/>
        <v/>
      </c>
      <c r="DJ309" s="325" t="str">
        <f t="shared" si="1079"/>
        <v/>
      </c>
      <c r="DK309" s="324" t="str">
        <f t="shared" si="1080"/>
        <v/>
      </c>
      <c r="DL309" s="428">
        <f t="shared" si="1081"/>
        <v>3</v>
      </c>
      <c r="DM309" s="66">
        <f t="shared" si="1082"/>
        <v>2</v>
      </c>
      <c r="DN309" s="66">
        <f t="shared" si="1083"/>
        <v>7</v>
      </c>
      <c r="DO309" s="66">
        <f t="shared" si="1084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2"/>
      <c r="CE310" s="1153"/>
      <c r="CF310" s="1153"/>
      <c r="CG310" s="1153"/>
      <c r="CH310" s="1153"/>
      <c r="CI310" s="1153"/>
      <c r="CJ310" s="1153"/>
      <c r="CK310" s="1153"/>
      <c r="CL310" s="1153"/>
      <c r="CM310" s="1153"/>
      <c r="CN310" s="1153"/>
      <c r="CO310" s="1153"/>
      <c r="CP310" s="1153"/>
      <c r="CQ310" s="1153"/>
      <c r="CR310" s="1153"/>
      <c r="CS310" s="1153"/>
      <c r="CT310" s="1135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00">IF(DL311&lt;3,"",(SUM(B311:R311)-MIN(B311:R311)-MAX(B311:R311))/(DL311-2))</f>
        <v/>
      </c>
      <c r="CA311" s="373" t="str">
        <f t="shared" ref="CA311:CA319" si="1101">IF(DM311&lt;3,"",(SUM(T311:AJ311)-MIN(T311:AJ311)-MAX(T311:AJ311))/(DM311-2))</f>
        <v/>
      </c>
      <c r="CB311" s="373">
        <f t="shared" ref="CB311:CB319" si="1102">IF(DN311&lt;3,"",(SUM(AL311:BB311)-MIN(AL311:BB311)-MAX(AL311:BB311))/(DN311-2))</f>
        <v>48</v>
      </c>
      <c r="CC311" s="462">
        <f t="shared" ref="CC311:CC319" si="1103">IF(DO311&lt;3,"",(SUM(BD311:BT311)-MIN(BD311:BT311)-MAX(BD311:BT311))/(DO311-2))</f>
        <v>50</v>
      </c>
      <c r="CD311" s="1109" t="str">
        <f t="shared" ref="CD311:CS317" si="11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0" t="str">
        <f t="shared" si="1104"/>
        <v/>
      </c>
      <c r="CF311" s="1111" t="str">
        <f t="shared" si="1104"/>
        <v/>
      </c>
      <c r="CG311" s="1111" t="str">
        <f t="shared" si="1104"/>
        <v/>
      </c>
      <c r="CH311" s="1111" t="str">
        <f t="shared" si="1104"/>
        <v/>
      </c>
      <c r="CI311" s="1111" t="str">
        <f t="shared" si="1104"/>
        <v/>
      </c>
      <c r="CJ311" s="1111" t="str">
        <f t="shared" si="1104"/>
        <v/>
      </c>
      <c r="CK311" s="1112" t="str">
        <f t="shared" si="1104"/>
        <v/>
      </c>
      <c r="CL311" s="1112">
        <f t="shared" si="1104"/>
        <v>3</v>
      </c>
      <c r="CM311" s="1112" t="str">
        <f t="shared" si="1104"/>
        <v/>
      </c>
      <c r="CN311" s="1111" t="str">
        <f t="shared" si="1104"/>
        <v/>
      </c>
      <c r="CO311" s="1111" t="str">
        <f t="shared" si="1104"/>
        <v/>
      </c>
      <c r="CP311" s="1111" t="str">
        <f t="shared" si="1104"/>
        <v/>
      </c>
      <c r="CQ311" s="1111" t="str">
        <f t="shared" si="1104"/>
        <v/>
      </c>
      <c r="CR311" s="1111" t="str">
        <f t="shared" si="1104"/>
        <v/>
      </c>
      <c r="CS311" s="1110" t="str">
        <f t="shared" si="1104"/>
        <v/>
      </c>
      <c r="CT311" s="1113" t="str">
        <f t="shared" ref="CT311:CT317" si="11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23">COUNT(B311:R311)</f>
        <v>1</v>
      </c>
      <c r="DM311" s="66">
        <f t="shared" ref="DM311:DM319" si="1124">COUNT(T311:AJ311)</f>
        <v>2</v>
      </c>
      <c r="DN311" s="66">
        <f t="shared" ref="DN311:DN319" si="1125">COUNT(AL311:BB311)</f>
        <v>7</v>
      </c>
      <c r="DO311" s="66">
        <f t="shared" ref="DO311:DO319" si="112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27">IF(B309="","",B309*B311)</f>
        <v/>
      </c>
      <c r="C312" s="405">
        <f t="shared" si="1127"/>
        <v>9</v>
      </c>
      <c r="D312" s="405" t="str">
        <f t="shared" si="1127"/>
        <v/>
      </c>
      <c r="E312" s="405">
        <f t="shared" si="1127"/>
        <v>0</v>
      </c>
      <c r="F312" s="405" t="str">
        <f t="shared" si="1127"/>
        <v/>
      </c>
      <c r="G312" s="405" t="str">
        <f t="shared" si="1127"/>
        <v/>
      </c>
      <c r="H312" s="405">
        <f t="shared" si="1127"/>
        <v>0</v>
      </c>
      <c r="I312" s="405" t="str">
        <f t="shared" si="1127"/>
        <v/>
      </c>
      <c r="J312" s="405" t="str">
        <f t="shared" si="1127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1128">IF(T309="","",T309*T311)</f>
        <v/>
      </c>
      <c r="U312" s="405" t="str">
        <f t="shared" si="1128"/>
        <v/>
      </c>
      <c r="V312" s="405">
        <f t="shared" si="1128"/>
        <v>80</v>
      </c>
      <c r="W312" s="405">
        <f t="shared" si="1128"/>
        <v>100</v>
      </c>
      <c r="X312" s="405" t="str">
        <f t="shared" si="1128"/>
        <v/>
      </c>
      <c r="Y312" s="405" t="str">
        <f t="shared" si="1128"/>
        <v/>
      </c>
      <c r="Z312" s="405" t="str">
        <f t="shared" si="1128"/>
        <v/>
      </c>
      <c r="AA312" s="405" t="str">
        <f t="shared" si="1128"/>
        <v/>
      </c>
      <c r="AB312" s="405" t="str">
        <f t="shared" si="1128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1129">IF(AL309="","",AL309*AL311)</f>
        <v>250</v>
      </c>
      <c r="AM312" s="405">
        <f t="shared" si="1129"/>
        <v>250</v>
      </c>
      <c r="AN312" s="405">
        <f t="shared" si="1129"/>
        <v>60</v>
      </c>
      <c r="AO312" s="405">
        <f t="shared" si="1129"/>
        <v>80</v>
      </c>
      <c r="AP312" s="405" t="str">
        <f t="shared" si="1129"/>
        <v/>
      </c>
      <c r="AQ312" s="405">
        <f t="shared" si="1129"/>
        <v>500</v>
      </c>
      <c r="AR312" s="405" t="str">
        <f t="shared" si="1129"/>
        <v/>
      </c>
      <c r="AS312" s="405">
        <f t="shared" si="1129"/>
        <v>250</v>
      </c>
      <c r="AT312" s="405">
        <f t="shared" si="1129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1130">IF(BD309="","",BD309*BD311)</f>
        <v>240</v>
      </c>
      <c r="BE312" s="405">
        <f t="shared" si="1130"/>
        <v>200</v>
      </c>
      <c r="BF312" s="405">
        <f t="shared" si="1130"/>
        <v>750</v>
      </c>
      <c r="BG312" s="405">
        <f t="shared" si="1130"/>
        <v>250</v>
      </c>
      <c r="BH312" s="405">
        <f t="shared" si="1130"/>
        <v>100</v>
      </c>
      <c r="BI312" s="405" t="str">
        <f t="shared" si="1130"/>
        <v/>
      </c>
      <c r="BJ312" s="405">
        <f t="shared" si="1130"/>
        <v>500</v>
      </c>
      <c r="BK312" s="405">
        <f t="shared" si="1130"/>
        <v>250</v>
      </c>
      <c r="BL312" s="405" t="str">
        <f t="shared" si="1130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00"/>
        <v>0</v>
      </c>
      <c r="CA312" s="373" t="str">
        <f t="shared" si="1101"/>
        <v/>
      </c>
      <c r="CB312" s="373">
        <f t="shared" si="1102"/>
        <v>182</v>
      </c>
      <c r="CC312" s="462">
        <f t="shared" si="1103"/>
        <v>288</v>
      </c>
      <c r="CD312" s="1109" t="str">
        <f t="shared" si="1104"/>
        <v/>
      </c>
      <c r="CE312" s="1110" t="str">
        <f t="shared" si="1104"/>
        <v/>
      </c>
      <c r="CF312" s="1111" t="str">
        <f t="shared" si="1104"/>
        <v/>
      </c>
      <c r="CG312" s="1111" t="str">
        <f t="shared" si="1104"/>
        <v/>
      </c>
      <c r="CH312" s="1111" t="str">
        <f t="shared" si="1104"/>
        <v/>
      </c>
      <c r="CI312" s="1111" t="str">
        <f t="shared" si="1104"/>
        <v/>
      </c>
      <c r="CJ312" s="1111" t="str">
        <f t="shared" si="1104"/>
        <v/>
      </c>
      <c r="CK312" s="1112">
        <f t="shared" si="1104"/>
        <v>0</v>
      </c>
      <c r="CL312" s="1112">
        <f t="shared" si="1104"/>
        <v>0</v>
      </c>
      <c r="CM312" s="1112">
        <f t="shared" si="1104"/>
        <v>9</v>
      </c>
      <c r="CN312" s="1111" t="str">
        <f t="shared" si="1104"/>
        <v/>
      </c>
      <c r="CO312" s="1111" t="str">
        <f t="shared" si="1104"/>
        <v/>
      </c>
      <c r="CP312" s="1111" t="str">
        <f t="shared" si="1104"/>
        <v/>
      </c>
      <c r="CQ312" s="1111" t="str">
        <f t="shared" si="1104"/>
        <v/>
      </c>
      <c r="CR312" s="1111" t="str">
        <f t="shared" si="1104"/>
        <v/>
      </c>
      <c r="CS312" s="1110" t="str">
        <f t="shared" si="1104"/>
        <v/>
      </c>
      <c r="CT312" s="1113" t="str">
        <f t="shared" si="1105"/>
        <v/>
      </c>
      <c r="CU312" s="324" t="str">
        <f t="shared" si="1106"/>
        <v/>
      </c>
      <c r="CV312" s="325" t="str">
        <f t="shared" si="1107"/>
        <v/>
      </c>
      <c r="CW312" s="326" t="str">
        <f t="shared" si="1108"/>
        <v/>
      </c>
      <c r="CX312" s="326" t="str">
        <f t="shared" si="1109"/>
        <v/>
      </c>
      <c r="CY312" s="326" t="str">
        <f t="shared" si="1110"/>
        <v/>
      </c>
      <c r="CZ312" s="326" t="str">
        <f t="shared" si="1111"/>
        <v/>
      </c>
      <c r="DA312" s="326" t="str">
        <f t="shared" si="1112"/>
        <v/>
      </c>
      <c r="DB312" s="327" t="str">
        <f t="shared" si="1113"/>
        <v/>
      </c>
      <c r="DC312" s="327">
        <f t="shared" si="1114"/>
        <v>80</v>
      </c>
      <c r="DD312" s="327">
        <f t="shared" si="1115"/>
        <v>100</v>
      </c>
      <c r="DE312" s="326" t="str">
        <f t="shared" si="1116"/>
        <v/>
      </c>
      <c r="DF312" s="326" t="str">
        <f t="shared" si="1117"/>
        <v/>
      </c>
      <c r="DG312" s="326" t="str">
        <f t="shared" si="1118"/>
        <v/>
      </c>
      <c r="DH312" s="326" t="str">
        <f t="shared" si="1119"/>
        <v/>
      </c>
      <c r="DI312" s="326" t="str">
        <f t="shared" si="1120"/>
        <v/>
      </c>
      <c r="DJ312" s="325" t="str">
        <f t="shared" si="1121"/>
        <v/>
      </c>
      <c r="DK312" s="324" t="str">
        <f t="shared" si="1122"/>
        <v/>
      </c>
      <c r="DL312" s="428">
        <f t="shared" si="1123"/>
        <v>3</v>
      </c>
      <c r="DM312" s="66">
        <f t="shared" si="1124"/>
        <v>2</v>
      </c>
      <c r="DN312" s="66">
        <f t="shared" si="1125"/>
        <v>7</v>
      </c>
      <c r="DO312" s="66">
        <f t="shared" si="112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1131">230*$K$1</f>
        <v>230</v>
      </c>
      <c r="C313" s="476">
        <f t="shared" si="1131"/>
        <v>230</v>
      </c>
      <c r="D313" s="476">
        <f t="shared" si="1131"/>
        <v>230</v>
      </c>
      <c r="E313" s="476">
        <f t="shared" si="1131"/>
        <v>230</v>
      </c>
      <c r="F313" s="476">
        <f t="shared" si="1131"/>
        <v>230</v>
      </c>
      <c r="G313" s="476">
        <f t="shared" si="1131"/>
        <v>230</v>
      </c>
      <c r="H313" s="476">
        <f t="shared" si="1131"/>
        <v>230</v>
      </c>
      <c r="I313" s="476">
        <f t="shared" si="1131"/>
        <v>230</v>
      </c>
      <c r="J313" s="476">
        <f t="shared" si="1131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1132">230*$K$1</f>
        <v>230</v>
      </c>
      <c r="U313" s="476">
        <f t="shared" si="1132"/>
        <v>230</v>
      </c>
      <c r="V313" s="476">
        <f t="shared" si="1132"/>
        <v>230</v>
      </c>
      <c r="W313" s="476">
        <f t="shared" si="1132"/>
        <v>230</v>
      </c>
      <c r="X313" s="476">
        <f t="shared" si="1132"/>
        <v>230</v>
      </c>
      <c r="Y313" s="476">
        <f t="shared" si="1132"/>
        <v>230</v>
      </c>
      <c r="Z313" s="476">
        <f t="shared" si="1132"/>
        <v>230</v>
      </c>
      <c r="AA313" s="476">
        <f t="shared" si="1132"/>
        <v>230</v>
      </c>
      <c r="AB313" s="476">
        <f t="shared" si="1132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00"/>
        <v>230</v>
      </c>
      <c r="CA313" s="373">
        <f t="shared" si="1101"/>
        <v>230</v>
      </c>
      <c r="CB313" s="373">
        <f t="shared" si="1102"/>
        <v>230</v>
      </c>
      <c r="CC313" s="462">
        <f t="shared" si="1103"/>
        <v>230</v>
      </c>
      <c r="CD313" s="1109" t="str">
        <f t="shared" si="1104"/>
        <v/>
      </c>
      <c r="CE313" s="1110" t="str">
        <f t="shared" si="1104"/>
        <v/>
      </c>
      <c r="CF313" s="1111" t="str">
        <f t="shared" si="1104"/>
        <v/>
      </c>
      <c r="CG313" s="1111" t="str">
        <f t="shared" si="1104"/>
        <v/>
      </c>
      <c r="CH313" s="1111">
        <f t="shared" si="1104"/>
        <v>230</v>
      </c>
      <c r="CI313" s="1111">
        <f t="shared" si="1104"/>
        <v>230</v>
      </c>
      <c r="CJ313" s="1111">
        <f t="shared" si="1104"/>
        <v>230</v>
      </c>
      <c r="CK313" s="1112">
        <f t="shared" si="1104"/>
        <v>230</v>
      </c>
      <c r="CL313" s="1112">
        <f t="shared" si="1104"/>
        <v>230</v>
      </c>
      <c r="CM313" s="1112">
        <f t="shared" si="1104"/>
        <v>230</v>
      </c>
      <c r="CN313" s="1111">
        <f t="shared" si="1104"/>
        <v>230</v>
      </c>
      <c r="CO313" s="1111">
        <f t="shared" si="1104"/>
        <v>230</v>
      </c>
      <c r="CP313" s="1111">
        <f t="shared" si="1104"/>
        <v>230</v>
      </c>
      <c r="CQ313" s="1111" t="str">
        <f t="shared" si="1104"/>
        <v/>
      </c>
      <c r="CR313" s="1111" t="str">
        <f t="shared" si="1104"/>
        <v/>
      </c>
      <c r="CS313" s="1110" t="str">
        <f t="shared" si="1104"/>
        <v/>
      </c>
      <c r="CT313" s="1113" t="str">
        <f t="shared" si="1105"/>
        <v/>
      </c>
      <c r="CU313" s="324" t="str">
        <f t="shared" si="1106"/>
        <v/>
      </c>
      <c r="CV313" s="325" t="str">
        <f t="shared" si="1107"/>
        <v/>
      </c>
      <c r="CW313" s="326" t="str">
        <f t="shared" si="1108"/>
        <v/>
      </c>
      <c r="CX313" s="326" t="str">
        <f t="shared" si="1109"/>
        <v/>
      </c>
      <c r="CY313" s="326">
        <f t="shared" si="1110"/>
        <v>230</v>
      </c>
      <c r="CZ313" s="326">
        <f t="shared" si="1111"/>
        <v>230</v>
      </c>
      <c r="DA313" s="326">
        <f t="shared" si="1112"/>
        <v>230</v>
      </c>
      <c r="DB313" s="327">
        <f t="shared" si="1113"/>
        <v>230</v>
      </c>
      <c r="DC313" s="327">
        <f t="shared" si="1114"/>
        <v>230</v>
      </c>
      <c r="DD313" s="327">
        <f t="shared" si="1115"/>
        <v>230</v>
      </c>
      <c r="DE313" s="326">
        <f t="shared" si="1116"/>
        <v>230</v>
      </c>
      <c r="DF313" s="326">
        <f t="shared" si="1117"/>
        <v>230</v>
      </c>
      <c r="DG313" s="326">
        <f t="shared" si="1118"/>
        <v>230</v>
      </c>
      <c r="DH313" s="326" t="str">
        <f t="shared" si="1119"/>
        <v/>
      </c>
      <c r="DI313" s="326" t="str">
        <f t="shared" si="1120"/>
        <v/>
      </c>
      <c r="DJ313" s="325" t="str">
        <f t="shared" si="1121"/>
        <v/>
      </c>
      <c r="DK313" s="324" t="str">
        <f t="shared" si="1122"/>
        <v/>
      </c>
      <c r="DL313" s="428">
        <f t="shared" si="1123"/>
        <v>9</v>
      </c>
      <c r="DM313" s="66">
        <f t="shared" si="1124"/>
        <v>9</v>
      </c>
      <c r="DN313" s="66">
        <f t="shared" si="1125"/>
        <v>9</v>
      </c>
      <c r="DO313" s="66">
        <f t="shared" si="1126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00"/>
        <v/>
      </c>
      <c r="CA314" s="373" t="str">
        <f t="shared" si="1101"/>
        <v/>
      </c>
      <c r="CB314" s="373">
        <f t="shared" si="1102"/>
        <v>105</v>
      </c>
      <c r="CC314" s="462">
        <f t="shared" si="1103"/>
        <v>120</v>
      </c>
      <c r="CD314" s="1109" t="str">
        <f t="shared" si="1104"/>
        <v/>
      </c>
      <c r="CE314" s="1110" t="str">
        <f t="shared" si="1104"/>
        <v/>
      </c>
      <c r="CF314" s="1111" t="str">
        <f t="shared" si="1104"/>
        <v/>
      </c>
      <c r="CG314" s="1111" t="str">
        <f t="shared" si="1104"/>
        <v/>
      </c>
      <c r="CH314" s="1111" t="str">
        <f t="shared" si="1104"/>
        <v/>
      </c>
      <c r="CI314" s="1111" t="str">
        <f t="shared" si="1104"/>
        <v/>
      </c>
      <c r="CJ314" s="1111" t="str">
        <f t="shared" si="1104"/>
        <v/>
      </c>
      <c r="CK314" s="1112" t="str">
        <f t="shared" si="1104"/>
        <v/>
      </c>
      <c r="CL314" s="1112" t="str">
        <f t="shared" si="1104"/>
        <v/>
      </c>
      <c r="CM314" s="1112" t="str">
        <f t="shared" si="1104"/>
        <v/>
      </c>
      <c r="CN314" s="1111" t="str">
        <f t="shared" si="1104"/>
        <v/>
      </c>
      <c r="CO314" s="1111" t="str">
        <f t="shared" si="1104"/>
        <v/>
      </c>
      <c r="CP314" s="1111" t="str">
        <f t="shared" si="1104"/>
        <v/>
      </c>
      <c r="CQ314" s="1111" t="str">
        <f t="shared" si="1104"/>
        <v/>
      </c>
      <c r="CR314" s="1111" t="str">
        <f t="shared" si="1104"/>
        <v/>
      </c>
      <c r="CS314" s="1110" t="str">
        <f t="shared" si="1104"/>
        <v/>
      </c>
      <c r="CT314" s="1113" t="str">
        <f t="shared" si="1105"/>
        <v/>
      </c>
      <c r="CU314" s="324" t="str">
        <f t="shared" si="1106"/>
        <v/>
      </c>
      <c r="CV314" s="325" t="str">
        <f t="shared" si="1107"/>
        <v/>
      </c>
      <c r="CW314" s="326" t="str">
        <f t="shared" si="1108"/>
        <v/>
      </c>
      <c r="CX314" s="326" t="str">
        <f t="shared" si="1109"/>
        <v/>
      </c>
      <c r="CY314" s="326" t="str">
        <f t="shared" si="1110"/>
        <v/>
      </c>
      <c r="CZ314" s="326" t="str">
        <f t="shared" si="1111"/>
        <v/>
      </c>
      <c r="DA314" s="326" t="str">
        <f t="shared" si="1112"/>
        <v/>
      </c>
      <c r="DB314" s="327" t="str">
        <f t="shared" si="1113"/>
        <v/>
      </c>
      <c r="DC314" s="327" t="str">
        <f t="shared" si="1114"/>
        <v/>
      </c>
      <c r="DD314" s="327" t="str">
        <f t="shared" si="1115"/>
        <v/>
      </c>
      <c r="DE314" s="326" t="str">
        <f t="shared" si="1116"/>
        <v/>
      </c>
      <c r="DF314" s="326" t="str">
        <f t="shared" si="1117"/>
        <v/>
      </c>
      <c r="DG314" s="326" t="str">
        <f t="shared" si="1118"/>
        <v/>
      </c>
      <c r="DH314" s="326" t="str">
        <f t="shared" si="1119"/>
        <v/>
      </c>
      <c r="DI314" s="326" t="str">
        <f t="shared" si="1120"/>
        <v/>
      </c>
      <c r="DJ314" s="325" t="str">
        <f t="shared" si="1121"/>
        <v/>
      </c>
      <c r="DK314" s="324" t="str">
        <f t="shared" si="1122"/>
        <v/>
      </c>
      <c r="DL314" s="428">
        <f t="shared" si="1123"/>
        <v>0</v>
      </c>
      <c r="DM314" s="66">
        <f t="shared" si="1124"/>
        <v>0</v>
      </c>
      <c r="DN314" s="66">
        <f t="shared" si="1125"/>
        <v>4</v>
      </c>
      <c r="DO314" s="66">
        <f t="shared" si="112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00"/>
        <v/>
      </c>
      <c r="CA315" s="373" t="str">
        <f t="shared" si="1101"/>
        <v/>
      </c>
      <c r="CB315" s="373">
        <f t="shared" si="1102"/>
        <v>1.7999999999999998</v>
      </c>
      <c r="CC315" s="462" t="str">
        <f t="shared" si="1103"/>
        <v/>
      </c>
      <c r="CD315" s="1109" t="str">
        <f t="shared" si="1104"/>
        <v/>
      </c>
      <c r="CE315" s="1110" t="str">
        <f t="shared" si="1104"/>
        <v/>
      </c>
      <c r="CF315" s="1111" t="str">
        <f t="shared" si="1104"/>
        <v/>
      </c>
      <c r="CG315" s="1111" t="str">
        <f t="shared" si="1104"/>
        <v/>
      </c>
      <c r="CH315" s="1111" t="str">
        <f t="shared" si="1104"/>
        <v/>
      </c>
      <c r="CI315" s="1111" t="str">
        <f t="shared" si="1104"/>
        <v/>
      </c>
      <c r="CJ315" s="1111" t="str">
        <f t="shared" si="1104"/>
        <v/>
      </c>
      <c r="CK315" s="1112" t="str">
        <f t="shared" si="1104"/>
        <v/>
      </c>
      <c r="CL315" s="1112" t="str">
        <f t="shared" si="1104"/>
        <v/>
      </c>
      <c r="CM315" s="1112" t="str">
        <f t="shared" si="1104"/>
        <v/>
      </c>
      <c r="CN315" s="1111" t="str">
        <f t="shared" si="1104"/>
        <v/>
      </c>
      <c r="CO315" s="1111" t="str">
        <f t="shared" si="1104"/>
        <v/>
      </c>
      <c r="CP315" s="1111" t="str">
        <f t="shared" si="1104"/>
        <v/>
      </c>
      <c r="CQ315" s="1111" t="str">
        <f t="shared" si="1104"/>
        <v/>
      </c>
      <c r="CR315" s="1111" t="str">
        <f t="shared" si="1104"/>
        <v/>
      </c>
      <c r="CS315" s="1110" t="str">
        <f t="shared" si="1104"/>
        <v/>
      </c>
      <c r="CT315" s="1113" t="str">
        <f t="shared" si="1105"/>
        <v/>
      </c>
      <c r="CU315" s="324" t="str">
        <f t="shared" si="1106"/>
        <v/>
      </c>
      <c r="CV315" s="325" t="str">
        <f t="shared" si="1107"/>
        <v/>
      </c>
      <c r="CW315" s="326" t="str">
        <f t="shared" si="1108"/>
        <v/>
      </c>
      <c r="CX315" s="326" t="str">
        <f t="shared" si="1109"/>
        <v/>
      </c>
      <c r="CY315" s="326" t="str">
        <f t="shared" si="1110"/>
        <v/>
      </c>
      <c r="CZ315" s="326" t="str">
        <f t="shared" si="1111"/>
        <v/>
      </c>
      <c r="DA315" s="326" t="str">
        <f t="shared" si="1112"/>
        <v/>
      </c>
      <c r="DB315" s="327" t="str">
        <f t="shared" si="1113"/>
        <v/>
      </c>
      <c r="DC315" s="327" t="str">
        <f t="shared" si="1114"/>
        <v/>
      </c>
      <c r="DD315" s="327" t="str">
        <f t="shared" si="1115"/>
        <v/>
      </c>
      <c r="DE315" s="326" t="str">
        <f t="shared" si="1116"/>
        <v/>
      </c>
      <c r="DF315" s="326" t="str">
        <f t="shared" si="1117"/>
        <v/>
      </c>
      <c r="DG315" s="326" t="str">
        <f t="shared" si="1118"/>
        <v/>
      </c>
      <c r="DH315" s="326" t="str">
        <f t="shared" si="1119"/>
        <v/>
      </c>
      <c r="DI315" s="326" t="str">
        <f t="shared" si="1120"/>
        <v/>
      </c>
      <c r="DJ315" s="325" t="str">
        <f t="shared" si="1121"/>
        <v/>
      </c>
      <c r="DK315" s="324" t="str">
        <f t="shared" si="1122"/>
        <v/>
      </c>
      <c r="DL315" s="428">
        <f t="shared" si="1123"/>
        <v>0</v>
      </c>
      <c r="DM315" s="66">
        <f t="shared" si="1124"/>
        <v>0</v>
      </c>
      <c r="DN315" s="66">
        <f t="shared" si="1125"/>
        <v>4</v>
      </c>
      <c r="DO315" s="66">
        <f t="shared" si="112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33">IF(B314="","",B314*B315)</f>
        <v/>
      </c>
      <c r="C316" s="405" t="str">
        <f t="shared" si="1133"/>
        <v/>
      </c>
      <c r="D316" s="405" t="str">
        <f t="shared" si="1133"/>
        <v/>
      </c>
      <c r="E316" s="405" t="str">
        <f t="shared" si="1133"/>
        <v/>
      </c>
      <c r="F316" s="405" t="str">
        <f t="shared" si="1133"/>
        <v/>
      </c>
      <c r="G316" s="405" t="str">
        <f t="shared" si="1133"/>
        <v/>
      </c>
      <c r="H316" s="405" t="str">
        <f t="shared" si="1133"/>
        <v/>
      </c>
      <c r="I316" s="405" t="str">
        <f t="shared" si="1133"/>
        <v/>
      </c>
      <c r="J316" s="405" t="str">
        <f t="shared" si="1133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34">IF(T314="","",T314*T315)</f>
        <v/>
      </c>
      <c r="U316" s="405" t="str">
        <f t="shared" si="1134"/>
        <v/>
      </c>
      <c r="V316" s="405" t="str">
        <f t="shared" si="1134"/>
        <v/>
      </c>
      <c r="W316" s="405" t="str">
        <f t="shared" si="1134"/>
        <v/>
      </c>
      <c r="X316" s="405" t="str">
        <f t="shared" si="1134"/>
        <v/>
      </c>
      <c r="Y316" s="405" t="str">
        <f t="shared" si="1134"/>
        <v/>
      </c>
      <c r="Z316" s="405" t="str">
        <f t="shared" si="1134"/>
        <v/>
      </c>
      <c r="AA316" s="405" t="str">
        <f t="shared" si="1134"/>
        <v/>
      </c>
      <c r="AB316" s="405" t="str">
        <f t="shared" si="1134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1135">IF(AL314="","",AL314*AL315)</f>
        <v>275</v>
      </c>
      <c r="AM316" s="405">
        <f t="shared" si="1135"/>
        <v>240</v>
      </c>
      <c r="AN316" s="405">
        <f t="shared" si="1135"/>
        <v>40</v>
      </c>
      <c r="AO316" s="405" t="str">
        <f t="shared" si="1135"/>
        <v/>
      </c>
      <c r="AP316" s="405" t="str">
        <f t="shared" si="1135"/>
        <v/>
      </c>
      <c r="AQ316" s="405">
        <f t="shared" si="1135"/>
        <v>180</v>
      </c>
      <c r="AR316" s="405" t="str">
        <f t="shared" si="1135"/>
        <v/>
      </c>
      <c r="AS316" s="405" t="str">
        <f t="shared" si="1135"/>
        <v/>
      </c>
      <c r="AT316" s="405" t="str">
        <f t="shared" si="1135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1136">IF(BD314="","",BD314*BD315)</f>
        <v>99.96</v>
      </c>
      <c r="BE316" s="405">
        <f t="shared" si="1136"/>
        <v>0</v>
      </c>
      <c r="BF316" s="405">
        <f t="shared" si="1136"/>
        <v>600</v>
      </c>
      <c r="BG316" s="405" t="str">
        <f t="shared" si="1136"/>
        <v/>
      </c>
      <c r="BH316" s="405" t="str">
        <f t="shared" si="1136"/>
        <v/>
      </c>
      <c r="BI316" s="405" t="str">
        <f t="shared" si="1136"/>
        <v/>
      </c>
      <c r="BJ316" s="405" t="str">
        <f t="shared" si="1136"/>
        <v/>
      </c>
      <c r="BK316" s="405" t="str">
        <f t="shared" si="1136"/>
        <v/>
      </c>
      <c r="BL316" s="405" t="str">
        <f t="shared" si="1136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00"/>
        <v/>
      </c>
      <c r="CA316" s="373" t="str">
        <f t="shared" si="1101"/>
        <v/>
      </c>
      <c r="CB316" s="373">
        <f t="shared" si="1102"/>
        <v>210</v>
      </c>
      <c r="CC316" s="462">
        <f t="shared" si="1103"/>
        <v>99.960000000000036</v>
      </c>
      <c r="CD316" s="1109" t="str">
        <f t="shared" si="1104"/>
        <v/>
      </c>
      <c r="CE316" s="1110" t="str">
        <f t="shared" si="1104"/>
        <v/>
      </c>
      <c r="CF316" s="1111" t="str">
        <f t="shared" si="1104"/>
        <v/>
      </c>
      <c r="CG316" s="1111" t="str">
        <f t="shared" si="1104"/>
        <v/>
      </c>
      <c r="CH316" s="1111" t="str">
        <f t="shared" si="1104"/>
        <v/>
      </c>
      <c r="CI316" s="1111" t="str">
        <f t="shared" si="1104"/>
        <v/>
      </c>
      <c r="CJ316" s="1111" t="str">
        <f t="shared" si="1104"/>
        <v/>
      </c>
      <c r="CK316" s="1112" t="str">
        <f t="shared" si="1104"/>
        <v/>
      </c>
      <c r="CL316" s="1112" t="str">
        <f t="shared" si="1104"/>
        <v/>
      </c>
      <c r="CM316" s="1112" t="str">
        <f t="shared" si="1104"/>
        <v/>
      </c>
      <c r="CN316" s="1111" t="str">
        <f t="shared" si="1104"/>
        <v/>
      </c>
      <c r="CO316" s="1111" t="str">
        <f t="shared" si="1104"/>
        <v/>
      </c>
      <c r="CP316" s="1111" t="str">
        <f t="shared" si="1104"/>
        <v/>
      </c>
      <c r="CQ316" s="1111" t="str">
        <f t="shared" si="1104"/>
        <v/>
      </c>
      <c r="CR316" s="1111" t="str">
        <f t="shared" si="1104"/>
        <v/>
      </c>
      <c r="CS316" s="1110" t="str">
        <f t="shared" si="1104"/>
        <v/>
      </c>
      <c r="CT316" s="1113" t="str">
        <f t="shared" si="1105"/>
        <v/>
      </c>
      <c r="CU316" s="324" t="str">
        <f t="shared" si="1106"/>
        <v/>
      </c>
      <c r="CV316" s="325" t="str">
        <f t="shared" si="1107"/>
        <v/>
      </c>
      <c r="CW316" s="326" t="str">
        <f t="shared" si="1108"/>
        <v/>
      </c>
      <c r="CX316" s="326" t="str">
        <f t="shared" si="1109"/>
        <v/>
      </c>
      <c r="CY316" s="326" t="str">
        <f t="shared" si="1110"/>
        <v/>
      </c>
      <c r="CZ316" s="326" t="str">
        <f t="shared" si="1111"/>
        <v/>
      </c>
      <c r="DA316" s="326" t="str">
        <f t="shared" si="1112"/>
        <v/>
      </c>
      <c r="DB316" s="327" t="str">
        <f t="shared" si="1113"/>
        <v/>
      </c>
      <c r="DC316" s="327" t="str">
        <f t="shared" si="1114"/>
        <v/>
      </c>
      <c r="DD316" s="327" t="str">
        <f t="shared" si="1115"/>
        <v/>
      </c>
      <c r="DE316" s="326" t="str">
        <f t="shared" si="1116"/>
        <v/>
      </c>
      <c r="DF316" s="326" t="str">
        <f t="shared" si="1117"/>
        <v/>
      </c>
      <c r="DG316" s="326" t="str">
        <f t="shared" si="1118"/>
        <v/>
      </c>
      <c r="DH316" s="326" t="str">
        <f t="shared" si="1119"/>
        <v/>
      </c>
      <c r="DI316" s="326" t="str">
        <f t="shared" si="1120"/>
        <v/>
      </c>
      <c r="DJ316" s="325" t="str">
        <f t="shared" si="1121"/>
        <v/>
      </c>
      <c r="DK316" s="324" t="str">
        <f t="shared" si="1122"/>
        <v/>
      </c>
      <c r="DL316" s="428">
        <f t="shared" si="1123"/>
        <v>0</v>
      </c>
      <c r="DM316" s="66">
        <f t="shared" si="1124"/>
        <v>0</v>
      </c>
      <c r="DN316" s="66">
        <f t="shared" si="1125"/>
        <v>4</v>
      </c>
      <c r="DO316" s="66">
        <f t="shared" si="112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00"/>
        <v/>
      </c>
      <c r="CA317" s="373" t="str">
        <f t="shared" si="1101"/>
        <v/>
      </c>
      <c r="CB317" s="373" t="str">
        <f t="shared" si="1102"/>
        <v/>
      </c>
      <c r="CC317" s="462">
        <f t="shared" si="1103"/>
        <v>20</v>
      </c>
      <c r="CD317" s="1109" t="str">
        <f t="shared" si="1104"/>
        <v/>
      </c>
      <c r="CE317" s="1110" t="str">
        <f t="shared" si="1104"/>
        <v/>
      </c>
      <c r="CF317" s="1111" t="str">
        <f t="shared" si="1104"/>
        <v/>
      </c>
      <c r="CG317" s="1111" t="str">
        <f t="shared" si="1104"/>
        <v/>
      </c>
      <c r="CH317" s="1111" t="str">
        <f t="shared" si="1104"/>
        <v/>
      </c>
      <c r="CI317" s="1111" t="str">
        <f t="shared" si="1104"/>
        <v/>
      </c>
      <c r="CJ317" s="1111" t="str">
        <f t="shared" si="1104"/>
        <v/>
      </c>
      <c r="CK317" s="1112" t="str">
        <f t="shared" si="1104"/>
        <v/>
      </c>
      <c r="CL317" s="1112" t="str">
        <f t="shared" si="1104"/>
        <v/>
      </c>
      <c r="CM317" s="1112" t="str">
        <f t="shared" si="1104"/>
        <v/>
      </c>
      <c r="CN317" s="1111" t="str">
        <f t="shared" si="1104"/>
        <v/>
      </c>
      <c r="CO317" s="1111" t="str">
        <f t="shared" si="1104"/>
        <v/>
      </c>
      <c r="CP317" s="1111" t="str">
        <f t="shared" si="1104"/>
        <v/>
      </c>
      <c r="CQ317" s="1111" t="str">
        <f t="shared" si="1104"/>
        <v/>
      </c>
      <c r="CR317" s="1111" t="str">
        <f t="shared" si="1104"/>
        <v/>
      </c>
      <c r="CS317" s="1110" t="str">
        <f t="shared" si="1104"/>
        <v/>
      </c>
      <c r="CT317" s="1113" t="str">
        <f t="shared" si="1105"/>
        <v/>
      </c>
      <c r="CU317" s="324" t="str">
        <f t="shared" si="1106"/>
        <v/>
      </c>
      <c r="CV317" s="325" t="str">
        <f t="shared" si="1107"/>
        <v/>
      </c>
      <c r="CW317" s="326" t="str">
        <f t="shared" si="1108"/>
        <v/>
      </c>
      <c r="CX317" s="326" t="str">
        <f t="shared" si="1109"/>
        <v/>
      </c>
      <c r="CY317" s="326" t="str">
        <f t="shared" si="1110"/>
        <v/>
      </c>
      <c r="CZ317" s="326" t="str">
        <f t="shared" si="1111"/>
        <v/>
      </c>
      <c r="DA317" s="326" t="str">
        <f t="shared" si="1112"/>
        <v/>
      </c>
      <c r="DB317" s="327" t="str">
        <f t="shared" si="1113"/>
        <v/>
      </c>
      <c r="DC317" s="327" t="str">
        <f t="shared" si="1114"/>
        <v/>
      </c>
      <c r="DD317" s="327" t="str">
        <f t="shared" si="1115"/>
        <v/>
      </c>
      <c r="DE317" s="326" t="str">
        <f t="shared" si="1116"/>
        <v/>
      </c>
      <c r="DF317" s="326" t="str">
        <f t="shared" si="1117"/>
        <v/>
      </c>
      <c r="DG317" s="326" t="str">
        <f t="shared" si="1118"/>
        <v/>
      </c>
      <c r="DH317" s="326" t="str">
        <f t="shared" si="1119"/>
        <v/>
      </c>
      <c r="DI317" s="326" t="str">
        <f t="shared" si="1120"/>
        <v/>
      </c>
      <c r="DJ317" s="325" t="str">
        <f t="shared" si="1121"/>
        <v/>
      </c>
      <c r="DK317" s="324" t="str">
        <f t="shared" si="1122"/>
        <v/>
      </c>
      <c r="DL317" s="428">
        <f t="shared" si="1123"/>
        <v>0</v>
      </c>
      <c r="DM317" s="66">
        <f t="shared" si="1124"/>
        <v>0</v>
      </c>
      <c r="DN317" s="66">
        <f t="shared" si="1125"/>
        <v>1</v>
      </c>
      <c r="DO317" s="66">
        <f t="shared" si="112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137">IF(B312="","",(B312-B314-B317)*B313/B$46/365/$G$1)</f>
        <v/>
      </c>
      <c r="C318" s="408">
        <f t="shared" si="1137"/>
        <v>3.8579815487838976E-4</v>
      </c>
      <c r="D318" s="408" t="str">
        <f t="shared" si="1137"/>
        <v/>
      </c>
      <c r="E318" s="408">
        <f t="shared" si="1137"/>
        <v>0</v>
      </c>
      <c r="F318" s="408" t="str">
        <f t="shared" si="1137"/>
        <v/>
      </c>
      <c r="G318" s="408" t="str">
        <f t="shared" si="1137"/>
        <v/>
      </c>
      <c r="H318" s="408">
        <f t="shared" si="1137"/>
        <v>0</v>
      </c>
      <c r="I318" s="408" t="str">
        <f t="shared" si="1137"/>
        <v/>
      </c>
      <c r="J318" s="408" t="str">
        <f t="shared" si="1137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138">IF(T312="","",(T312-T314-T317)*T313/T$46/365/$G$1)</f>
        <v/>
      </c>
      <c r="U318" s="408" t="str">
        <f t="shared" si="1138"/>
        <v/>
      </c>
      <c r="V318" s="408">
        <f t="shared" si="1138"/>
        <v>2.0004348771472062E-3</v>
      </c>
      <c r="W318" s="408">
        <f t="shared" si="1138"/>
        <v>3.0006523157208092E-3</v>
      </c>
      <c r="X318" s="408" t="str">
        <f t="shared" si="1138"/>
        <v/>
      </c>
      <c r="Y318" s="408" t="str">
        <f t="shared" si="1138"/>
        <v/>
      </c>
      <c r="Z318" s="408" t="str">
        <f t="shared" si="1138"/>
        <v/>
      </c>
      <c r="AA318" s="408" t="str">
        <f t="shared" si="1138"/>
        <v/>
      </c>
      <c r="AB318" s="408" t="str">
        <f t="shared" si="1138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139">IF(AL312="","",(AL312-AL314-AL317)*AL313/AL$46/365/$G$1)</f>
        <v>-1.3639328707821857E-4</v>
      </c>
      <c r="AM318" s="408">
        <f t="shared" si="1139"/>
        <v>2.5005435964340077E-3</v>
      </c>
      <c r="AN318" s="408">
        <f t="shared" si="1139"/>
        <v>1.5003261578604046E-3</v>
      </c>
      <c r="AO318" s="408">
        <f t="shared" si="1139"/>
        <v>3.0006523157208092E-3</v>
      </c>
      <c r="AP318" s="408" t="str">
        <f t="shared" si="1139"/>
        <v/>
      </c>
      <c r="AQ318" s="408">
        <f t="shared" si="1139"/>
        <v>2.2004783648619269E-2</v>
      </c>
      <c r="AR318" s="408" t="str">
        <f t="shared" si="1139"/>
        <v/>
      </c>
      <c r="AS318" s="408">
        <f t="shared" si="1139"/>
        <v>9.3770384866275289E-3</v>
      </c>
      <c r="AT318" s="408">
        <f t="shared" si="1139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140">IF(BD312="","",(BD312-BD314-BD317)*BD313/BD$46/365/$G$1)</f>
        <v>2.9256360078277889E-3</v>
      </c>
      <c r="BE318" s="408">
        <f t="shared" si="1140"/>
        <v>4.0008697542944123E-3</v>
      </c>
      <c r="BF318" s="408">
        <f t="shared" si="1140"/>
        <v>4.5009784735812134E-3</v>
      </c>
      <c r="BG318" s="408">
        <f t="shared" si="1140"/>
        <v>6.0013046314416185E-3</v>
      </c>
      <c r="BH318" s="408">
        <f t="shared" si="1140"/>
        <v>3.0006523157208092E-3</v>
      </c>
      <c r="BI318" s="408" t="str">
        <f t="shared" si="1140"/>
        <v/>
      </c>
      <c r="BJ318" s="408">
        <f t="shared" si="1140"/>
        <v>2.5005435964340076E-2</v>
      </c>
      <c r="BK318" s="408">
        <f t="shared" si="1140"/>
        <v>5.7512502717982162E-3</v>
      </c>
      <c r="BL318" s="408" t="str">
        <f t="shared" si="1140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00"/>
        <v>0</v>
      </c>
      <c r="CA318" s="398" t="str">
        <f t="shared" si="1101"/>
        <v/>
      </c>
      <c r="CB318" s="398">
        <f t="shared" si="1102"/>
        <v>3.7558164818438794E-3</v>
      </c>
      <c r="CC318" s="465">
        <f t="shared" si="1103"/>
        <v>4.6510110893672541E-3</v>
      </c>
      <c r="CD318" s="111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5" t="str">
        <f t="shared" ref="CE318:CT319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6" t="str">
        <f t="shared" si="1141"/>
        <v/>
      </c>
      <c r="CG318" s="1116" t="str">
        <f t="shared" si="1141"/>
        <v/>
      </c>
      <c r="CH318" s="1116" t="str">
        <f t="shared" si="1141"/>
        <v/>
      </c>
      <c r="CI318" s="1116" t="str">
        <f t="shared" si="1141"/>
        <v/>
      </c>
      <c r="CJ318" s="1116" t="str">
        <f t="shared" si="1141"/>
        <v/>
      </c>
      <c r="CK318" s="1117">
        <f t="shared" si="1141"/>
        <v>0</v>
      </c>
      <c r="CL318" s="1117">
        <f t="shared" si="1141"/>
        <v>0</v>
      </c>
      <c r="CM318" s="1117">
        <f t="shared" si="1141"/>
        <v>3.8579815487838976E-4</v>
      </c>
      <c r="CN318" s="1116" t="str">
        <f t="shared" si="1141"/>
        <v/>
      </c>
      <c r="CO318" s="1116" t="str">
        <f t="shared" si="1141"/>
        <v/>
      </c>
      <c r="CP318" s="1116" t="str">
        <f t="shared" si="1141"/>
        <v/>
      </c>
      <c r="CQ318" s="1116" t="str">
        <f t="shared" si="1141"/>
        <v/>
      </c>
      <c r="CR318" s="1116" t="str">
        <f t="shared" si="1141"/>
        <v/>
      </c>
      <c r="CS318" s="1115" t="str">
        <f t="shared" si="1141"/>
        <v/>
      </c>
      <c r="CT318" s="1118" t="str">
        <f t="shared" si="1141"/>
        <v/>
      </c>
      <c r="CU318" s="312" t="str">
        <f t="shared" si="1106"/>
        <v/>
      </c>
      <c r="CV318" s="313" t="str">
        <f t="shared" si="1107"/>
        <v/>
      </c>
      <c r="CW318" s="314" t="str">
        <f t="shared" si="1108"/>
        <v/>
      </c>
      <c r="CX318" s="314" t="str">
        <f t="shared" si="1109"/>
        <v/>
      </c>
      <c r="CY318" s="314" t="str">
        <f t="shared" si="1110"/>
        <v/>
      </c>
      <c r="CZ318" s="314" t="str">
        <f t="shared" si="1111"/>
        <v/>
      </c>
      <c r="DA318" s="314" t="str">
        <f t="shared" si="1112"/>
        <v/>
      </c>
      <c r="DB318" s="315" t="str">
        <f t="shared" si="1113"/>
        <v/>
      </c>
      <c r="DC318" s="315">
        <f t="shared" si="1114"/>
        <v>2.0004348771472062E-3</v>
      </c>
      <c r="DD318" s="315">
        <f t="shared" si="1115"/>
        <v>3.0006523157208092E-3</v>
      </c>
      <c r="DE318" s="314" t="str">
        <f t="shared" si="1116"/>
        <v/>
      </c>
      <c r="DF318" s="314" t="str">
        <f t="shared" si="1117"/>
        <v/>
      </c>
      <c r="DG318" s="314" t="str">
        <f t="shared" si="1118"/>
        <v/>
      </c>
      <c r="DH318" s="314" t="str">
        <f t="shared" si="1119"/>
        <v/>
      </c>
      <c r="DI318" s="314" t="str">
        <f t="shared" si="1120"/>
        <v/>
      </c>
      <c r="DJ318" s="313" t="str">
        <f t="shared" si="1121"/>
        <v/>
      </c>
      <c r="DK318" s="312" t="str">
        <f t="shared" si="1122"/>
        <v/>
      </c>
      <c r="DL318" s="428">
        <f t="shared" si="1123"/>
        <v>3</v>
      </c>
      <c r="DM318" s="66">
        <f t="shared" si="1124"/>
        <v>2</v>
      </c>
      <c r="DN318" s="66">
        <f t="shared" si="1125"/>
        <v>7</v>
      </c>
      <c r="DO318" s="66">
        <f t="shared" si="112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00"/>
        <v/>
      </c>
      <c r="CA319" s="373" t="str">
        <f t="shared" si="1101"/>
        <v/>
      </c>
      <c r="CB319" s="373" t="str">
        <f t="shared" si="1102"/>
        <v/>
      </c>
      <c r="CC319" s="462" t="str">
        <f t="shared" si="1103"/>
        <v/>
      </c>
      <c r="CD319" s="110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0" t="str">
        <f t="shared" si="1141"/>
        <v/>
      </c>
      <c r="CF319" s="1111" t="str">
        <f t="shared" si="1141"/>
        <v/>
      </c>
      <c r="CG319" s="1111" t="str">
        <f t="shared" si="1141"/>
        <v/>
      </c>
      <c r="CH319" s="1111" t="str">
        <f t="shared" si="1141"/>
        <v/>
      </c>
      <c r="CI319" s="1111" t="str">
        <f t="shared" si="1141"/>
        <v/>
      </c>
      <c r="CJ319" s="1111" t="str">
        <f t="shared" si="1141"/>
        <v/>
      </c>
      <c r="CK319" s="1112" t="str">
        <f t="shared" si="1141"/>
        <v/>
      </c>
      <c r="CL319" s="1112" t="str">
        <f t="shared" si="1141"/>
        <v/>
      </c>
      <c r="CM319" s="1112" t="str">
        <f t="shared" si="1141"/>
        <v/>
      </c>
      <c r="CN319" s="1111" t="str">
        <f t="shared" si="1141"/>
        <v/>
      </c>
      <c r="CO319" s="1111" t="str">
        <f t="shared" si="1141"/>
        <v/>
      </c>
      <c r="CP319" s="1111" t="str">
        <f t="shared" si="1141"/>
        <v/>
      </c>
      <c r="CQ319" s="1111" t="str">
        <f t="shared" si="1141"/>
        <v/>
      </c>
      <c r="CR319" s="1111" t="str">
        <f t="shared" si="1141"/>
        <v/>
      </c>
      <c r="CS319" s="1110" t="str">
        <f t="shared" si="1141"/>
        <v/>
      </c>
      <c r="CT319" s="1113" t="str">
        <f t="shared" si="1141"/>
        <v/>
      </c>
      <c r="CU319" s="324" t="str">
        <f t="shared" si="1106"/>
        <v/>
      </c>
      <c r="CV319" s="325" t="str">
        <f t="shared" si="1107"/>
        <v/>
      </c>
      <c r="CW319" s="326" t="str">
        <f t="shared" si="1108"/>
        <v/>
      </c>
      <c r="CX319" s="326" t="str">
        <f t="shared" si="1109"/>
        <v/>
      </c>
      <c r="CY319" s="326" t="str">
        <f t="shared" si="1110"/>
        <v/>
      </c>
      <c r="CZ319" s="326" t="str">
        <f t="shared" si="1111"/>
        <v/>
      </c>
      <c r="DA319" s="326" t="str">
        <f t="shared" si="1112"/>
        <v/>
      </c>
      <c r="DB319" s="327" t="str">
        <f t="shared" si="1113"/>
        <v/>
      </c>
      <c r="DC319" s="327" t="str">
        <f t="shared" si="1114"/>
        <v/>
      </c>
      <c r="DD319" s="327" t="str">
        <f t="shared" si="1115"/>
        <v/>
      </c>
      <c r="DE319" s="326" t="str">
        <f t="shared" si="1116"/>
        <v/>
      </c>
      <c r="DF319" s="326" t="str">
        <f t="shared" si="1117"/>
        <v/>
      </c>
      <c r="DG319" s="326" t="str">
        <f t="shared" si="1118"/>
        <v/>
      </c>
      <c r="DH319" s="326" t="str">
        <f t="shared" si="1119"/>
        <v/>
      </c>
      <c r="DI319" s="326" t="str">
        <f t="shared" si="1120"/>
        <v/>
      </c>
      <c r="DJ319" s="325" t="str">
        <f t="shared" si="1121"/>
        <v/>
      </c>
      <c r="DK319" s="324" t="str">
        <f t="shared" si="1122"/>
        <v/>
      </c>
      <c r="DL319" s="428">
        <f t="shared" si="1123"/>
        <v>0</v>
      </c>
      <c r="DM319" s="66">
        <f t="shared" si="1124"/>
        <v>0</v>
      </c>
      <c r="DN319" s="66">
        <f t="shared" si="1125"/>
        <v>0</v>
      </c>
      <c r="DO319" s="66">
        <f t="shared" si="112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2"/>
      <c r="CE320" s="1153"/>
      <c r="CF320" s="1153"/>
      <c r="CG320" s="1153"/>
      <c r="CH320" s="1153"/>
      <c r="CI320" s="1153"/>
      <c r="CJ320" s="1153"/>
      <c r="CK320" s="1153"/>
      <c r="CL320" s="1153"/>
      <c r="CM320" s="1153"/>
      <c r="CN320" s="1153"/>
      <c r="CO320" s="1153"/>
      <c r="CP320" s="1153"/>
      <c r="CQ320" s="1153"/>
      <c r="CR320" s="1153"/>
      <c r="CS320" s="1153"/>
      <c r="CT320" s="1135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142">IF(DL321&lt;3,"",(SUM(B321:R321)-MIN(B321:R321)-MAX(B321:R321))/(DL321-2))</f>
        <v/>
      </c>
      <c r="CA321" s="373" t="str">
        <f t="shared" ref="CA321:CA329" si="1143">IF(DM321&lt;3,"",(SUM(T321:AJ321)-MIN(T321:AJ321)-MAX(T321:AJ321))/(DM321-2))</f>
        <v/>
      </c>
      <c r="CB321" s="373" t="str">
        <f t="shared" ref="CB321:CB329" si="1144">IF(DN321&lt;3,"",(SUM(AL321:BB321)-MIN(AL321:BB321)-MAX(AL321:BB321))/(DN321-2))</f>
        <v/>
      </c>
      <c r="CC321" s="462" t="str">
        <f t="shared" ref="CC321:CC329" si="1145">IF(DO321&lt;3,"",(SUM(BD321:BT321)-MIN(BD321:BT321)-MAX(BD321:BT321))/(DO321-2))</f>
        <v/>
      </c>
      <c r="CD321" s="1109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0" t="str">
        <f t="shared" si="1146"/>
        <v/>
      </c>
      <c r="CF321" s="1111" t="str">
        <f t="shared" si="1146"/>
        <v/>
      </c>
      <c r="CG321" s="1111" t="str">
        <f t="shared" si="1146"/>
        <v/>
      </c>
      <c r="CH321" s="1111" t="str">
        <f t="shared" si="1146"/>
        <v/>
      </c>
      <c r="CI321" s="1111" t="str">
        <f t="shared" si="1146"/>
        <v/>
      </c>
      <c r="CJ321" s="1111" t="str">
        <f t="shared" si="1146"/>
        <v/>
      </c>
      <c r="CK321" s="1112" t="str">
        <f t="shared" si="1146"/>
        <v/>
      </c>
      <c r="CL321" s="1112" t="str">
        <f t="shared" si="1146"/>
        <v/>
      </c>
      <c r="CM321" s="1112" t="str">
        <f t="shared" si="1146"/>
        <v/>
      </c>
      <c r="CN321" s="1111" t="str">
        <f t="shared" si="1146"/>
        <v/>
      </c>
      <c r="CO321" s="1111" t="str">
        <f t="shared" si="1146"/>
        <v/>
      </c>
      <c r="CP321" s="1111" t="str">
        <f t="shared" si="1146"/>
        <v/>
      </c>
      <c r="CQ321" s="1111" t="str">
        <f t="shared" si="1146"/>
        <v/>
      </c>
      <c r="CR321" s="1111" t="str">
        <f t="shared" si="1146"/>
        <v/>
      </c>
      <c r="CS321" s="1110" t="str">
        <f t="shared" si="1146"/>
        <v/>
      </c>
      <c r="CT321" s="1113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165">COUNT(B321:R321)</f>
        <v>0</v>
      </c>
      <c r="DM321" s="66">
        <f t="shared" ref="DM321:DM329" si="1166">COUNT(T321:AJ321)</f>
        <v>0</v>
      </c>
      <c r="DN321" s="66">
        <f t="shared" ref="DN321:DN329" si="1167">COUNT(AL321:BB321)</f>
        <v>0</v>
      </c>
      <c r="DO321" s="66">
        <f t="shared" ref="DO321:DO329" si="1168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169">IF(B319="","",B319*B321)</f>
        <v/>
      </c>
      <c r="C322" s="405" t="str">
        <f t="shared" si="1169"/>
        <v/>
      </c>
      <c r="D322" s="405" t="str">
        <f t="shared" si="1169"/>
        <v/>
      </c>
      <c r="E322" s="405" t="str">
        <f t="shared" si="1169"/>
        <v/>
      </c>
      <c r="F322" s="405" t="str">
        <f t="shared" si="1169"/>
        <v/>
      </c>
      <c r="G322" s="405" t="str">
        <f t="shared" si="1169"/>
        <v/>
      </c>
      <c r="H322" s="405" t="str">
        <f t="shared" si="1169"/>
        <v/>
      </c>
      <c r="I322" s="405" t="str">
        <f t="shared" si="1169"/>
        <v/>
      </c>
      <c r="J322" s="405" t="str">
        <f t="shared" si="1169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170">IF(T319="","",T319*T321)</f>
        <v/>
      </c>
      <c r="U322" s="405" t="str">
        <f t="shared" si="1170"/>
        <v/>
      </c>
      <c r="V322" s="405" t="str">
        <f t="shared" si="1170"/>
        <v/>
      </c>
      <c r="W322" s="405" t="str">
        <f t="shared" si="1170"/>
        <v/>
      </c>
      <c r="X322" s="405" t="str">
        <f t="shared" si="1170"/>
        <v/>
      </c>
      <c r="Y322" s="405" t="str">
        <f t="shared" si="1170"/>
        <v/>
      </c>
      <c r="Z322" s="405" t="str">
        <f t="shared" si="1170"/>
        <v/>
      </c>
      <c r="AA322" s="405" t="str">
        <f t="shared" si="1170"/>
        <v/>
      </c>
      <c r="AB322" s="405" t="str">
        <f t="shared" si="1170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171">IF(AL319="","",AL319*AL321)</f>
        <v/>
      </c>
      <c r="AM322" s="405" t="str">
        <f t="shared" si="1171"/>
        <v/>
      </c>
      <c r="AN322" s="405" t="str">
        <f t="shared" si="1171"/>
        <v/>
      </c>
      <c r="AO322" s="405" t="str">
        <f t="shared" si="1171"/>
        <v/>
      </c>
      <c r="AP322" s="405" t="str">
        <f t="shared" si="1171"/>
        <v/>
      </c>
      <c r="AQ322" s="405" t="str">
        <f t="shared" si="1171"/>
        <v/>
      </c>
      <c r="AR322" s="405" t="str">
        <f t="shared" si="1171"/>
        <v/>
      </c>
      <c r="AS322" s="405" t="str">
        <f t="shared" si="1171"/>
        <v/>
      </c>
      <c r="AT322" s="405" t="str">
        <f t="shared" si="1171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172">IF(BD319="","",BD319*BD321)</f>
        <v/>
      </c>
      <c r="BE322" s="405" t="str">
        <f t="shared" si="1172"/>
        <v/>
      </c>
      <c r="BF322" s="405" t="str">
        <f t="shared" si="1172"/>
        <v/>
      </c>
      <c r="BG322" s="405" t="str">
        <f t="shared" si="1172"/>
        <v/>
      </c>
      <c r="BH322" s="405" t="str">
        <f t="shared" si="1172"/>
        <v/>
      </c>
      <c r="BI322" s="405" t="str">
        <f t="shared" si="1172"/>
        <v/>
      </c>
      <c r="BJ322" s="405" t="str">
        <f t="shared" si="1172"/>
        <v/>
      </c>
      <c r="BK322" s="405" t="str">
        <f t="shared" si="1172"/>
        <v/>
      </c>
      <c r="BL322" s="405" t="str">
        <f t="shared" si="1172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142"/>
        <v/>
      </c>
      <c r="CA322" s="373" t="str">
        <f t="shared" si="1143"/>
        <v/>
      </c>
      <c r="CB322" s="373" t="str">
        <f t="shared" si="1144"/>
        <v/>
      </c>
      <c r="CC322" s="462" t="str">
        <f t="shared" si="1145"/>
        <v/>
      </c>
      <c r="CD322" s="1109" t="str">
        <f t="shared" si="1146"/>
        <v/>
      </c>
      <c r="CE322" s="1110" t="str">
        <f t="shared" si="1146"/>
        <v/>
      </c>
      <c r="CF322" s="1111" t="str">
        <f t="shared" si="1146"/>
        <v/>
      </c>
      <c r="CG322" s="1111" t="str">
        <f t="shared" si="1146"/>
        <v/>
      </c>
      <c r="CH322" s="1111" t="str">
        <f t="shared" si="1146"/>
        <v/>
      </c>
      <c r="CI322" s="1111" t="str">
        <f t="shared" si="1146"/>
        <v/>
      </c>
      <c r="CJ322" s="1111" t="str">
        <f t="shared" si="1146"/>
        <v/>
      </c>
      <c r="CK322" s="1112" t="str">
        <f t="shared" si="1146"/>
        <v/>
      </c>
      <c r="CL322" s="1112" t="str">
        <f t="shared" si="1146"/>
        <v/>
      </c>
      <c r="CM322" s="1112" t="str">
        <f t="shared" si="1146"/>
        <v/>
      </c>
      <c r="CN322" s="1111" t="str">
        <f t="shared" si="1146"/>
        <v/>
      </c>
      <c r="CO322" s="1111" t="str">
        <f t="shared" si="1146"/>
        <v/>
      </c>
      <c r="CP322" s="1111" t="str">
        <f t="shared" si="1146"/>
        <v/>
      </c>
      <c r="CQ322" s="1111" t="str">
        <f t="shared" si="1146"/>
        <v/>
      </c>
      <c r="CR322" s="1111" t="str">
        <f t="shared" si="1146"/>
        <v/>
      </c>
      <c r="CS322" s="1110" t="str">
        <f t="shared" si="1146"/>
        <v/>
      </c>
      <c r="CT322" s="1113" t="str">
        <f t="shared" si="1147"/>
        <v/>
      </c>
      <c r="CU322" s="324" t="str">
        <f t="shared" si="1148"/>
        <v/>
      </c>
      <c r="CV322" s="325" t="str">
        <f t="shared" si="1149"/>
        <v/>
      </c>
      <c r="CW322" s="326" t="str">
        <f t="shared" si="1150"/>
        <v/>
      </c>
      <c r="CX322" s="326" t="str">
        <f t="shared" si="1151"/>
        <v/>
      </c>
      <c r="CY322" s="326" t="str">
        <f t="shared" si="1152"/>
        <v/>
      </c>
      <c r="CZ322" s="326" t="str">
        <f t="shared" si="1153"/>
        <v/>
      </c>
      <c r="DA322" s="326" t="str">
        <f t="shared" si="1154"/>
        <v/>
      </c>
      <c r="DB322" s="327" t="str">
        <f t="shared" si="1155"/>
        <v/>
      </c>
      <c r="DC322" s="327" t="str">
        <f t="shared" si="1156"/>
        <v/>
      </c>
      <c r="DD322" s="327" t="str">
        <f t="shared" si="1157"/>
        <v/>
      </c>
      <c r="DE322" s="326" t="str">
        <f t="shared" si="1158"/>
        <v/>
      </c>
      <c r="DF322" s="326" t="str">
        <f t="shared" si="1159"/>
        <v/>
      </c>
      <c r="DG322" s="326" t="str">
        <f t="shared" si="1160"/>
        <v/>
      </c>
      <c r="DH322" s="326" t="str">
        <f t="shared" si="1161"/>
        <v/>
      </c>
      <c r="DI322" s="326" t="str">
        <f t="shared" si="1162"/>
        <v/>
      </c>
      <c r="DJ322" s="325" t="str">
        <f t="shared" si="1163"/>
        <v/>
      </c>
      <c r="DK322" s="324" t="str">
        <f t="shared" si="1164"/>
        <v/>
      </c>
      <c r="DL322" s="428">
        <f t="shared" si="1165"/>
        <v>0</v>
      </c>
      <c r="DM322" s="66">
        <f t="shared" si="1166"/>
        <v>0</v>
      </c>
      <c r="DN322" s="66">
        <f t="shared" si="1167"/>
        <v>0</v>
      </c>
      <c r="DO322" s="66">
        <f t="shared" si="1168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173">750*$K$1</f>
        <v>750</v>
      </c>
      <c r="C323" s="476">
        <f t="shared" si="1173"/>
        <v>750</v>
      </c>
      <c r="D323" s="476">
        <f t="shared" si="1173"/>
        <v>750</v>
      </c>
      <c r="E323" s="476">
        <f t="shared" si="1173"/>
        <v>750</v>
      </c>
      <c r="F323" s="476">
        <f t="shared" si="1173"/>
        <v>750</v>
      </c>
      <c r="G323" s="476">
        <f t="shared" si="1173"/>
        <v>750</v>
      </c>
      <c r="H323" s="476">
        <f t="shared" si="1173"/>
        <v>750</v>
      </c>
      <c r="I323" s="476">
        <f t="shared" si="1173"/>
        <v>750</v>
      </c>
      <c r="J323" s="476">
        <f t="shared" si="1173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174">750*$K$1</f>
        <v>750</v>
      </c>
      <c r="U323" s="476">
        <f t="shared" si="1174"/>
        <v>750</v>
      </c>
      <c r="V323" s="476">
        <f t="shared" si="1174"/>
        <v>750</v>
      </c>
      <c r="W323" s="476">
        <f t="shared" si="1174"/>
        <v>750</v>
      </c>
      <c r="X323" s="476">
        <f t="shared" si="1174"/>
        <v>750</v>
      </c>
      <c r="Y323" s="476">
        <f t="shared" si="1174"/>
        <v>750</v>
      </c>
      <c r="Z323" s="476">
        <f t="shared" si="1174"/>
        <v>750</v>
      </c>
      <c r="AA323" s="476">
        <f t="shared" si="1174"/>
        <v>750</v>
      </c>
      <c r="AB323" s="476">
        <f t="shared" si="1174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175">750*$K$1</f>
        <v>750</v>
      </c>
      <c r="AM323" s="476">
        <f t="shared" si="1175"/>
        <v>750</v>
      </c>
      <c r="AN323" s="476">
        <f t="shared" si="1175"/>
        <v>750</v>
      </c>
      <c r="AO323" s="476">
        <f t="shared" si="1175"/>
        <v>750</v>
      </c>
      <c r="AP323" s="476">
        <f t="shared" si="1175"/>
        <v>750</v>
      </c>
      <c r="AQ323" s="476">
        <f t="shared" si="1175"/>
        <v>750</v>
      </c>
      <c r="AR323" s="476">
        <f t="shared" si="1175"/>
        <v>750</v>
      </c>
      <c r="AS323" s="476">
        <f t="shared" si="1175"/>
        <v>750</v>
      </c>
      <c r="AT323" s="476">
        <f t="shared" si="1175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176">750*$K$1</f>
        <v>750</v>
      </c>
      <c r="BE323" s="476">
        <f t="shared" si="1176"/>
        <v>750</v>
      </c>
      <c r="BF323" s="476">
        <f t="shared" si="1176"/>
        <v>750</v>
      </c>
      <c r="BG323" s="476">
        <f t="shared" si="1176"/>
        <v>750</v>
      </c>
      <c r="BH323" s="476">
        <f t="shared" si="1176"/>
        <v>750</v>
      </c>
      <c r="BI323" s="476">
        <f t="shared" si="1176"/>
        <v>750</v>
      </c>
      <c r="BJ323" s="476">
        <f t="shared" si="1176"/>
        <v>750</v>
      </c>
      <c r="BK323" s="476">
        <f t="shared" si="1176"/>
        <v>750</v>
      </c>
      <c r="BL323" s="476">
        <f t="shared" si="1176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142"/>
        <v>750</v>
      </c>
      <c r="CA323" s="373">
        <f t="shared" si="1143"/>
        <v>750</v>
      </c>
      <c r="CB323" s="373">
        <f t="shared" si="1144"/>
        <v>750</v>
      </c>
      <c r="CC323" s="462">
        <f t="shared" si="1145"/>
        <v>750</v>
      </c>
      <c r="CD323" s="1109" t="str">
        <f t="shared" si="1146"/>
        <v/>
      </c>
      <c r="CE323" s="1110" t="str">
        <f t="shared" si="1146"/>
        <v/>
      </c>
      <c r="CF323" s="1111" t="str">
        <f t="shared" si="1146"/>
        <v/>
      </c>
      <c r="CG323" s="1111" t="str">
        <f t="shared" si="1146"/>
        <v/>
      </c>
      <c r="CH323" s="1111">
        <f t="shared" si="1146"/>
        <v>750</v>
      </c>
      <c r="CI323" s="1111">
        <f t="shared" si="1146"/>
        <v>750</v>
      </c>
      <c r="CJ323" s="1111">
        <f t="shared" si="1146"/>
        <v>750</v>
      </c>
      <c r="CK323" s="1112">
        <f t="shared" si="1146"/>
        <v>750</v>
      </c>
      <c r="CL323" s="1112">
        <f t="shared" si="1146"/>
        <v>750</v>
      </c>
      <c r="CM323" s="1112">
        <f t="shared" si="1146"/>
        <v>750</v>
      </c>
      <c r="CN323" s="1111">
        <f t="shared" si="1146"/>
        <v>750</v>
      </c>
      <c r="CO323" s="1111">
        <f t="shared" si="1146"/>
        <v>750</v>
      </c>
      <c r="CP323" s="1111">
        <f t="shared" si="1146"/>
        <v>750</v>
      </c>
      <c r="CQ323" s="1111" t="str">
        <f t="shared" si="1146"/>
        <v/>
      </c>
      <c r="CR323" s="1111" t="str">
        <f t="shared" si="1146"/>
        <v/>
      </c>
      <c r="CS323" s="1110" t="str">
        <f t="shared" si="1146"/>
        <v/>
      </c>
      <c r="CT323" s="1113" t="str">
        <f t="shared" si="1147"/>
        <v/>
      </c>
      <c r="CU323" s="324" t="str">
        <f t="shared" si="1148"/>
        <v/>
      </c>
      <c r="CV323" s="325" t="str">
        <f t="shared" si="1149"/>
        <v/>
      </c>
      <c r="CW323" s="326" t="str">
        <f t="shared" si="1150"/>
        <v/>
      </c>
      <c r="CX323" s="326" t="str">
        <f t="shared" si="1151"/>
        <v/>
      </c>
      <c r="CY323" s="326">
        <f t="shared" si="1152"/>
        <v>750</v>
      </c>
      <c r="CZ323" s="326">
        <f t="shared" si="1153"/>
        <v>750</v>
      </c>
      <c r="DA323" s="326">
        <f t="shared" si="1154"/>
        <v>750</v>
      </c>
      <c r="DB323" s="327">
        <f t="shared" si="1155"/>
        <v>750</v>
      </c>
      <c r="DC323" s="327">
        <f t="shared" si="1156"/>
        <v>750</v>
      </c>
      <c r="DD323" s="327">
        <f t="shared" si="1157"/>
        <v>750</v>
      </c>
      <c r="DE323" s="326">
        <f t="shared" si="1158"/>
        <v>750</v>
      </c>
      <c r="DF323" s="326">
        <f t="shared" si="1159"/>
        <v>750</v>
      </c>
      <c r="DG323" s="326">
        <f t="shared" si="1160"/>
        <v>750</v>
      </c>
      <c r="DH323" s="326" t="str">
        <f t="shared" si="1161"/>
        <v/>
      </c>
      <c r="DI323" s="326" t="str">
        <f t="shared" si="1162"/>
        <v/>
      </c>
      <c r="DJ323" s="325" t="str">
        <f t="shared" si="1163"/>
        <v/>
      </c>
      <c r="DK323" s="324" t="str">
        <f t="shared" si="1164"/>
        <v/>
      </c>
      <c r="DL323" s="428">
        <f t="shared" si="1165"/>
        <v>9</v>
      </c>
      <c r="DM323" s="66">
        <f t="shared" si="1166"/>
        <v>9</v>
      </c>
      <c r="DN323" s="66">
        <f t="shared" si="1167"/>
        <v>9</v>
      </c>
      <c r="DO323" s="66">
        <f t="shared" si="1168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142"/>
        <v/>
      </c>
      <c r="CA324" s="373" t="str">
        <f t="shared" si="1143"/>
        <v/>
      </c>
      <c r="CB324" s="373" t="str">
        <f t="shared" si="1144"/>
        <v/>
      </c>
      <c r="CC324" s="462" t="str">
        <f t="shared" si="1145"/>
        <v/>
      </c>
      <c r="CD324" s="1109" t="str">
        <f t="shared" si="1146"/>
        <v/>
      </c>
      <c r="CE324" s="1110" t="str">
        <f t="shared" si="1146"/>
        <v/>
      </c>
      <c r="CF324" s="1111" t="str">
        <f t="shared" si="1146"/>
        <v/>
      </c>
      <c r="CG324" s="1111" t="str">
        <f t="shared" si="1146"/>
        <v/>
      </c>
      <c r="CH324" s="1111" t="str">
        <f t="shared" si="1146"/>
        <v/>
      </c>
      <c r="CI324" s="1111" t="str">
        <f t="shared" si="1146"/>
        <v/>
      </c>
      <c r="CJ324" s="1111" t="str">
        <f t="shared" si="1146"/>
        <v/>
      </c>
      <c r="CK324" s="1112" t="str">
        <f t="shared" si="1146"/>
        <v/>
      </c>
      <c r="CL324" s="1112" t="str">
        <f t="shared" si="1146"/>
        <v/>
      </c>
      <c r="CM324" s="1112" t="str">
        <f t="shared" si="1146"/>
        <v/>
      </c>
      <c r="CN324" s="1111" t="str">
        <f t="shared" si="1146"/>
        <v/>
      </c>
      <c r="CO324" s="1111" t="str">
        <f t="shared" si="1146"/>
        <v/>
      </c>
      <c r="CP324" s="1111" t="str">
        <f t="shared" si="1146"/>
        <v/>
      </c>
      <c r="CQ324" s="1111" t="str">
        <f t="shared" si="1146"/>
        <v/>
      </c>
      <c r="CR324" s="1111" t="str">
        <f t="shared" si="1146"/>
        <v/>
      </c>
      <c r="CS324" s="1110" t="str">
        <f t="shared" si="1146"/>
        <v/>
      </c>
      <c r="CT324" s="1113" t="str">
        <f t="shared" si="1147"/>
        <v/>
      </c>
      <c r="CU324" s="324" t="str">
        <f t="shared" si="1148"/>
        <v/>
      </c>
      <c r="CV324" s="325" t="str">
        <f t="shared" si="1149"/>
        <v/>
      </c>
      <c r="CW324" s="326" t="str">
        <f t="shared" si="1150"/>
        <v/>
      </c>
      <c r="CX324" s="326" t="str">
        <f t="shared" si="1151"/>
        <v/>
      </c>
      <c r="CY324" s="326" t="str">
        <f t="shared" si="1152"/>
        <v/>
      </c>
      <c r="CZ324" s="326" t="str">
        <f t="shared" si="1153"/>
        <v/>
      </c>
      <c r="DA324" s="326" t="str">
        <f t="shared" si="1154"/>
        <v/>
      </c>
      <c r="DB324" s="327" t="str">
        <f t="shared" si="1155"/>
        <v/>
      </c>
      <c r="DC324" s="327" t="str">
        <f t="shared" si="1156"/>
        <v/>
      </c>
      <c r="DD324" s="327" t="str">
        <f t="shared" si="1157"/>
        <v/>
      </c>
      <c r="DE324" s="326" t="str">
        <f t="shared" si="1158"/>
        <v/>
      </c>
      <c r="DF324" s="326" t="str">
        <f t="shared" si="1159"/>
        <v/>
      </c>
      <c r="DG324" s="326" t="str">
        <f t="shared" si="1160"/>
        <v/>
      </c>
      <c r="DH324" s="326" t="str">
        <f t="shared" si="1161"/>
        <v/>
      </c>
      <c r="DI324" s="326" t="str">
        <f t="shared" si="1162"/>
        <v/>
      </c>
      <c r="DJ324" s="325" t="str">
        <f t="shared" si="1163"/>
        <v/>
      </c>
      <c r="DK324" s="324" t="str">
        <f t="shared" si="1164"/>
        <v/>
      </c>
      <c r="DL324" s="428">
        <f t="shared" si="1165"/>
        <v>0</v>
      </c>
      <c r="DM324" s="66">
        <f t="shared" si="1166"/>
        <v>0</v>
      </c>
      <c r="DN324" s="66">
        <f t="shared" si="1167"/>
        <v>0</v>
      </c>
      <c r="DO324" s="66">
        <f t="shared" si="1168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142"/>
        <v/>
      </c>
      <c r="CA325" s="373" t="str">
        <f t="shared" si="1143"/>
        <v/>
      </c>
      <c r="CB325" s="373" t="str">
        <f t="shared" si="1144"/>
        <v/>
      </c>
      <c r="CC325" s="462" t="str">
        <f t="shared" si="1145"/>
        <v/>
      </c>
      <c r="CD325" s="1109" t="str">
        <f t="shared" si="1146"/>
        <v/>
      </c>
      <c r="CE325" s="1110" t="str">
        <f t="shared" si="1146"/>
        <v/>
      </c>
      <c r="CF325" s="1111" t="str">
        <f t="shared" si="1146"/>
        <v/>
      </c>
      <c r="CG325" s="1111" t="str">
        <f t="shared" si="1146"/>
        <v/>
      </c>
      <c r="CH325" s="1111" t="str">
        <f t="shared" si="1146"/>
        <v/>
      </c>
      <c r="CI325" s="1111" t="str">
        <f t="shared" si="1146"/>
        <v/>
      </c>
      <c r="CJ325" s="1111" t="str">
        <f t="shared" si="1146"/>
        <v/>
      </c>
      <c r="CK325" s="1112" t="str">
        <f t="shared" si="1146"/>
        <v/>
      </c>
      <c r="CL325" s="1112" t="str">
        <f t="shared" si="1146"/>
        <v/>
      </c>
      <c r="CM325" s="1112" t="str">
        <f t="shared" si="1146"/>
        <v/>
      </c>
      <c r="CN325" s="1111" t="str">
        <f t="shared" si="1146"/>
        <v/>
      </c>
      <c r="CO325" s="1111" t="str">
        <f t="shared" si="1146"/>
        <v/>
      </c>
      <c r="CP325" s="1111" t="str">
        <f t="shared" si="1146"/>
        <v/>
      </c>
      <c r="CQ325" s="1111" t="str">
        <f t="shared" si="1146"/>
        <v/>
      </c>
      <c r="CR325" s="1111" t="str">
        <f t="shared" si="1146"/>
        <v/>
      </c>
      <c r="CS325" s="1110" t="str">
        <f t="shared" si="1146"/>
        <v/>
      </c>
      <c r="CT325" s="1113" t="str">
        <f t="shared" si="1147"/>
        <v/>
      </c>
      <c r="CU325" s="324" t="str">
        <f t="shared" si="1148"/>
        <v/>
      </c>
      <c r="CV325" s="325" t="str">
        <f t="shared" si="1149"/>
        <v/>
      </c>
      <c r="CW325" s="326" t="str">
        <f t="shared" si="1150"/>
        <v/>
      </c>
      <c r="CX325" s="326" t="str">
        <f t="shared" si="1151"/>
        <v/>
      </c>
      <c r="CY325" s="326" t="str">
        <f t="shared" si="1152"/>
        <v/>
      </c>
      <c r="CZ325" s="326" t="str">
        <f t="shared" si="1153"/>
        <v/>
      </c>
      <c r="DA325" s="326" t="str">
        <f t="shared" si="1154"/>
        <v/>
      </c>
      <c r="DB325" s="327" t="str">
        <f t="shared" si="1155"/>
        <v/>
      </c>
      <c r="DC325" s="327" t="str">
        <f t="shared" si="1156"/>
        <v/>
      </c>
      <c r="DD325" s="327" t="str">
        <f t="shared" si="1157"/>
        <v/>
      </c>
      <c r="DE325" s="326" t="str">
        <f t="shared" si="1158"/>
        <v/>
      </c>
      <c r="DF325" s="326" t="str">
        <f t="shared" si="1159"/>
        <v/>
      </c>
      <c r="DG325" s="326" t="str">
        <f t="shared" si="1160"/>
        <v/>
      </c>
      <c r="DH325" s="326" t="str">
        <f t="shared" si="1161"/>
        <v/>
      </c>
      <c r="DI325" s="326" t="str">
        <f t="shared" si="1162"/>
        <v/>
      </c>
      <c r="DJ325" s="325" t="str">
        <f t="shared" si="1163"/>
        <v/>
      </c>
      <c r="DK325" s="324" t="str">
        <f t="shared" si="1164"/>
        <v/>
      </c>
      <c r="DL325" s="428">
        <f t="shared" si="1165"/>
        <v>0</v>
      </c>
      <c r="DM325" s="66">
        <f t="shared" si="1166"/>
        <v>0</v>
      </c>
      <c r="DN325" s="66">
        <f t="shared" si="1167"/>
        <v>0</v>
      </c>
      <c r="DO325" s="66">
        <f t="shared" si="1168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177">IF(B324="","",B324*B325)</f>
        <v/>
      </c>
      <c r="C326" s="405" t="str">
        <f t="shared" si="1177"/>
        <v/>
      </c>
      <c r="D326" s="405" t="str">
        <f t="shared" si="1177"/>
        <v/>
      </c>
      <c r="E326" s="405" t="str">
        <f t="shared" si="1177"/>
        <v/>
      </c>
      <c r="F326" s="405" t="str">
        <f t="shared" si="1177"/>
        <v/>
      </c>
      <c r="G326" s="405" t="str">
        <f t="shared" si="1177"/>
        <v/>
      </c>
      <c r="H326" s="405" t="str">
        <f t="shared" si="1177"/>
        <v/>
      </c>
      <c r="I326" s="405" t="str">
        <f t="shared" si="1177"/>
        <v/>
      </c>
      <c r="J326" s="405" t="str">
        <f t="shared" si="1177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178">IF(T324="","",T324*T325)</f>
        <v/>
      </c>
      <c r="U326" s="405" t="str">
        <f t="shared" si="1178"/>
        <v/>
      </c>
      <c r="V326" s="405" t="str">
        <f t="shared" si="1178"/>
        <v/>
      </c>
      <c r="W326" s="405" t="str">
        <f t="shared" si="1178"/>
        <v/>
      </c>
      <c r="X326" s="405" t="str">
        <f t="shared" si="1178"/>
        <v/>
      </c>
      <c r="Y326" s="405" t="str">
        <f t="shared" si="1178"/>
        <v/>
      </c>
      <c r="Z326" s="405" t="str">
        <f t="shared" si="1178"/>
        <v/>
      </c>
      <c r="AA326" s="405" t="str">
        <f t="shared" si="1178"/>
        <v/>
      </c>
      <c r="AB326" s="405" t="str">
        <f t="shared" si="1178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179">IF(AL324="","",AL324*AL325)</f>
        <v/>
      </c>
      <c r="AM326" s="405" t="str">
        <f t="shared" si="1179"/>
        <v/>
      </c>
      <c r="AN326" s="405" t="str">
        <f t="shared" si="1179"/>
        <v/>
      </c>
      <c r="AO326" s="405" t="str">
        <f t="shared" si="1179"/>
        <v/>
      </c>
      <c r="AP326" s="405" t="str">
        <f t="shared" si="1179"/>
        <v/>
      </c>
      <c r="AQ326" s="405" t="str">
        <f t="shared" si="1179"/>
        <v/>
      </c>
      <c r="AR326" s="405" t="str">
        <f t="shared" si="1179"/>
        <v/>
      </c>
      <c r="AS326" s="405" t="str">
        <f t="shared" si="1179"/>
        <v/>
      </c>
      <c r="AT326" s="405" t="str">
        <f t="shared" si="1179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180">IF(BD324="","",BD324*BD325)</f>
        <v/>
      </c>
      <c r="BE326" s="405" t="str">
        <f t="shared" si="1180"/>
        <v/>
      </c>
      <c r="BF326" s="405" t="str">
        <f t="shared" si="1180"/>
        <v/>
      </c>
      <c r="BG326" s="405" t="str">
        <f t="shared" si="1180"/>
        <v/>
      </c>
      <c r="BH326" s="405" t="str">
        <f t="shared" si="1180"/>
        <v/>
      </c>
      <c r="BI326" s="405" t="str">
        <f t="shared" si="1180"/>
        <v/>
      </c>
      <c r="BJ326" s="405" t="str">
        <f t="shared" si="1180"/>
        <v/>
      </c>
      <c r="BK326" s="405" t="str">
        <f t="shared" si="1180"/>
        <v/>
      </c>
      <c r="BL326" s="405" t="str">
        <f t="shared" si="1180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142"/>
        <v/>
      </c>
      <c r="CA326" s="373" t="str">
        <f t="shared" si="1143"/>
        <v/>
      </c>
      <c r="CB326" s="373" t="str">
        <f t="shared" si="1144"/>
        <v/>
      </c>
      <c r="CC326" s="462" t="str">
        <f t="shared" si="1145"/>
        <v/>
      </c>
      <c r="CD326" s="1109" t="str">
        <f t="shared" si="1146"/>
        <v/>
      </c>
      <c r="CE326" s="1110" t="str">
        <f t="shared" si="1146"/>
        <v/>
      </c>
      <c r="CF326" s="1111" t="str">
        <f t="shared" si="1146"/>
        <v/>
      </c>
      <c r="CG326" s="1111" t="str">
        <f t="shared" si="1146"/>
        <v/>
      </c>
      <c r="CH326" s="1111" t="str">
        <f t="shared" si="1146"/>
        <v/>
      </c>
      <c r="CI326" s="1111" t="str">
        <f t="shared" si="1146"/>
        <v/>
      </c>
      <c r="CJ326" s="1111" t="str">
        <f t="shared" si="1146"/>
        <v/>
      </c>
      <c r="CK326" s="1112" t="str">
        <f t="shared" si="1146"/>
        <v/>
      </c>
      <c r="CL326" s="1112" t="str">
        <f t="shared" si="1146"/>
        <v/>
      </c>
      <c r="CM326" s="1112" t="str">
        <f t="shared" si="1146"/>
        <v/>
      </c>
      <c r="CN326" s="1111" t="str">
        <f t="shared" si="1146"/>
        <v/>
      </c>
      <c r="CO326" s="1111" t="str">
        <f t="shared" si="1146"/>
        <v/>
      </c>
      <c r="CP326" s="1111" t="str">
        <f t="shared" si="1146"/>
        <v/>
      </c>
      <c r="CQ326" s="1111" t="str">
        <f t="shared" si="1146"/>
        <v/>
      </c>
      <c r="CR326" s="1111" t="str">
        <f t="shared" si="1146"/>
        <v/>
      </c>
      <c r="CS326" s="1110" t="str">
        <f t="shared" si="1146"/>
        <v/>
      </c>
      <c r="CT326" s="1113" t="str">
        <f t="shared" si="1147"/>
        <v/>
      </c>
      <c r="CU326" s="324" t="str">
        <f t="shared" si="1148"/>
        <v/>
      </c>
      <c r="CV326" s="325" t="str">
        <f t="shared" si="1149"/>
        <v/>
      </c>
      <c r="CW326" s="326" t="str">
        <f t="shared" si="1150"/>
        <v/>
      </c>
      <c r="CX326" s="326" t="str">
        <f t="shared" si="1151"/>
        <v/>
      </c>
      <c r="CY326" s="326" t="str">
        <f t="shared" si="1152"/>
        <v/>
      </c>
      <c r="CZ326" s="326" t="str">
        <f t="shared" si="1153"/>
        <v/>
      </c>
      <c r="DA326" s="326" t="str">
        <f t="shared" si="1154"/>
        <v/>
      </c>
      <c r="DB326" s="327" t="str">
        <f t="shared" si="1155"/>
        <v/>
      </c>
      <c r="DC326" s="327" t="str">
        <f t="shared" si="1156"/>
        <v/>
      </c>
      <c r="DD326" s="327" t="str">
        <f t="shared" si="1157"/>
        <v/>
      </c>
      <c r="DE326" s="326" t="str">
        <f t="shared" si="1158"/>
        <v/>
      </c>
      <c r="DF326" s="326" t="str">
        <f t="shared" si="1159"/>
        <v/>
      </c>
      <c r="DG326" s="326" t="str">
        <f t="shared" si="1160"/>
        <v/>
      </c>
      <c r="DH326" s="326" t="str">
        <f t="shared" si="1161"/>
        <v/>
      </c>
      <c r="DI326" s="326" t="str">
        <f t="shared" si="1162"/>
        <v/>
      </c>
      <c r="DJ326" s="325" t="str">
        <f t="shared" si="1163"/>
        <v/>
      </c>
      <c r="DK326" s="324" t="str">
        <f t="shared" si="1164"/>
        <v/>
      </c>
      <c r="DL326" s="428">
        <f t="shared" si="1165"/>
        <v>0</v>
      </c>
      <c r="DM326" s="66">
        <f t="shared" si="1166"/>
        <v>0</v>
      </c>
      <c r="DN326" s="66">
        <f t="shared" si="1167"/>
        <v>0</v>
      </c>
      <c r="DO326" s="66">
        <f t="shared" si="1168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142"/>
        <v/>
      </c>
      <c r="CA327" s="373" t="str">
        <f t="shared" si="1143"/>
        <v/>
      </c>
      <c r="CB327" s="373" t="str">
        <f t="shared" si="1144"/>
        <v/>
      </c>
      <c r="CC327" s="462" t="str">
        <f t="shared" si="1145"/>
        <v/>
      </c>
      <c r="CD327" s="1109" t="str">
        <f t="shared" si="1146"/>
        <v/>
      </c>
      <c r="CE327" s="1110" t="str">
        <f t="shared" si="1146"/>
        <v/>
      </c>
      <c r="CF327" s="1111" t="str">
        <f t="shared" si="1146"/>
        <v/>
      </c>
      <c r="CG327" s="1111" t="str">
        <f t="shared" si="1146"/>
        <v/>
      </c>
      <c r="CH327" s="1111" t="str">
        <f t="shared" si="1146"/>
        <v/>
      </c>
      <c r="CI327" s="1111" t="str">
        <f t="shared" si="1146"/>
        <v/>
      </c>
      <c r="CJ327" s="1111" t="str">
        <f t="shared" si="1146"/>
        <v/>
      </c>
      <c r="CK327" s="1112" t="str">
        <f t="shared" si="1146"/>
        <v/>
      </c>
      <c r="CL327" s="1112" t="str">
        <f t="shared" si="1146"/>
        <v/>
      </c>
      <c r="CM327" s="1112" t="str">
        <f t="shared" si="1146"/>
        <v/>
      </c>
      <c r="CN327" s="1111" t="str">
        <f t="shared" si="1146"/>
        <v/>
      </c>
      <c r="CO327" s="1111" t="str">
        <f t="shared" si="1146"/>
        <v/>
      </c>
      <c r="CP327" s="1111" t="str">
        <f t="shared" si="1146"/>
        <v/>
      </c>
      <c r="CQ327" s="1111" t="str">
        <f t="shared" si="1146"/>
        <v/>
      </c>
      <c r="CR327" s="1111" t="str">
        <f t="shared" si="1146"/>
        <v/>
      </c>
      <c r="CS327" s="1110" t="str">
        <f t="shared" si="1146"/>
        <v/>
      </c>
      <c r="CT327" s="1113" t="str">
        <f t="shared" si="1147"/>
        <v/>
      </c>
      <c r="CU327" s="324" t="str">
        <f t="shared" si="1148"/>
        <v/>
      </c>
      <c r="CV327" s="325" t="str">
        <f t="shared" si="1149"/>
        <v/>
      </c>
      <c r="CW327" s="326" t="str">
        <f t="shared" si="1150"/>
        <v/>
      </c>
      <c r="CX327" s="326" t="str">
        <f t="shared" si="1151"/>
        <v/>
      </c>
      <c r="CY327" s="326" t="str">
        <f t="shared" si="1152"/>
        <v/>
      </c>
      <c r="CZ327" s="326" t="str">
        <f t="shared" si="1153"/>
        <v/>
      </c>
      <c r="DA327" s="326" t="str">
        <f t="shared" si="1154"/>
        <v/>
      </c>
      <c r="DB327" s="327" t="str">
        <f t="shared" si="1155"/>
        <v/>
      </c>
      <c r="DC327" s="327" t="str">
        <f t="shared" si="1156"/>
        <v/>
      </c>
      <c r="DD327" s="327" t="str">
        <f t="shared" si="1157"/>
        <v/>
      </c>
      <c r="DE327" s="326" t="str">
        <f t="shared" si="1158"/>
        <v/>
      </c>
      <c r="DF327" s="326" t="str">
        <f t="shared" si="1159"/>
        <v/>
      </c>
      <c r="DG327" s="326" t="str">
        <f t="shared" si="1160"/>
        <v/>
      </c>
      <c r="DH327" s="326" t="str">
        <f t="shared" si="1161"/>
        <v/>
      </c>
      <c r="DI327" s="326" t="str">
        <f t="shared" si="1162"/>
        <v/>
      </c>
      <c r="DJ327" s="325" t="str">
        <f t="shared" si="1163"/>
        <v/>
      </c>
      <c r="DK327" s="324" t="str">
        <f t="shared" si="1164"/>
        <v/>
      </c>
      <c r="DL327" s="428">
        <f t="shared" si="1165"/>
        <v>0</v>
      </c>
      <c r="DM327" s="66">
        <f t="shared" si="1166"/>
        <v>0</v>
      </c>
      <c r="DN327" s="66">
        <f t="shared" si="1167"/>
        <v>0</v>
      </c>
      <c r="DO327" s="66">
        <f t="shared" si="1168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181">IF(B322="","",(B322-B324-B327)*B323/B$46/365/$G$1)</f>
        <v/>
      </c>
      <c r="C328" s="408" t="str">
        <f t="shared" si="1181"/>
        <v/>
      </c>
      <c r="D328" s="408" t="str">
        <f t="shared" si="1181"/>
        <v/>
      </c>
      <c r="E328" s="408" t="str">
        <f t="shared" si="1181"/>
        <v/>
      </c>
      <c r="F328" s="408" t="str">
        <f t="shared" si="1181"/>
        <v/>
      </c>
      <c r="G328" s="408" t="str">
        <f t="shared" si="1181"/>
        <v/>
      </c>
      <c r="H328" s="408" t="str">
        <f t="shared" si="1181"/>
        <v/>
      </c>
      <c r="I328" s="408" t="str">
        <f t="shared" si="1181"/>
        <v/>
      </c>
      <c r="J328" s="408" t="str">
        <f t="shared" si="1181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182">IF(T322="","",(T322-T324-T327)*T323/T$46/365/$G$1)</f>
        <v/>
      </c>
      <c r="U328" s="408" t="str">
        <f t="shared" si="1182"/>
        <v/>
      </c>
      <c r="V328" s="408" t="str">
        <f t="shared" si="1182"/>
        <v/>
      </c>
      <c r="W328" s="408" t="str">
        <f t="shared" si="1182"/>
        <v/>
      </c>
      <c r="X328" s="408" t="str">
        <f t="shared" si="1182"/>
        <v/>
      </c>
      <c r="Y328" s="408" t="str">
        <f t="shared" si="1182"/>
        <v/>
      </c>
      <c r="Z328" s="408" t="str">
        <f t="shared" si="1182"/>
        <v/>
      </c>
      <c r="AA328" s="408" t="str">
        <f t="shared" si="1182"/>
        <v/>
      </c>
      <c r="AB328" s="408" t="str">
        <f t="shared" si="1182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183">IF(AL322="","",(AL322-AL324-AL327)*AL323/AL$46/365/$G$1)</f>
        <v/>
      </c>
      <c r="AM328" s="408" t="str">
        <f t="shared" si="1183"/>
        <v/>
      </c>
      <c r="AN328" s="408" t="str">
        <f t="shared" si="1183"/>
        <v/>
      </c>
      <c r="AO328" s="408" t="str">
        <f t="shared" si="1183"/>
        <v/>
      </c>
      <c r="AP328" s="408" t="str">
        <f t="shared" si="1183"/>
        <v/>
      </c>
      <c r="AQ328" s="408" t="str">
        <f t="shared" si="1183"/>
        <v/>
      </c>
      <c r="AR328" s="408" t="str">
        <f t="shared" si="1183"/>
        <v/>
      </c>
      <c r="AS328" s="408" t="str">
        <f t="shared" si="1183"/>
        <v/>
      </c>
      <c r="AT328" s="408" t="str">
        <f t="shared" si="1183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184">IF(BD322="","",(BD322-BD324-BD327)*BD323/BD$46/365/$G$1)</f>
        <v/>
      </c>
      <c r="BE328" s="408" t="str">
        <f t="shared" si="1184"/>
        <v/>
      </c>
      <c r="BF328" s="408" t="str">
        <f t="shared" si="1184"/>
        <v/>
      </c>
      <c r="BG328" s="408" t="str">
        <f t="shared" si="1184"/>
        <v/>
      </c>
      <c r="BH328" s="408" t="str">
        <f t="shared" si="1184"/>
        <v/>
      </c>
      <c r="BI328" s="408" t="str">
        <f t="shared" si="1184"/>
        <v/>
      </c>
      <c r="BJ328" s="408" t="str">
        <f t="shared" si="1184"/>
        <v/>
      </c>
      <c r="BK328" s="408" t="str">
        <f t="shared" si="1184"/>
        <v/>
      </c>
      <c r="BL328" s="408" t="str">
        <f t="shared" si="1184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142"/>
        <v/>
      </c>
      <c r="CA328" s="398" t="str">
        <f t="shared" si="1143"/>
        <v/>
      </c>
      <c r="CB328" s="398" t="str">
        <f t="shared" si="1144"/>
        <v/>
      </c>
      <c r="CC328" s="465" t="str">
        <f t="shared" si="1145"/>
        <v/>
      </c>
      <c r="CD328" s="111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5" t="str">
        <f t="shared" ref="CE328:CT329" si="11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6" t="str">
        <f t="shared" si="1185"/>
        <v/>
      </c>
      <c r="CG328" s="1116" t="str">
        <f t="shared" si="1185"/>
        <v/>
      </c>
      <c r="CH328" s="1116" t="str">
        <f t="shared" si="1185"/>
        <v/>
      </c>
      <c r="CI328" s="1116" t="str">
        <f t="shared" si="1185"/>
        <v/>
      </c>
      <c r="CJ328" s="1116" t="str">
        <f t="shared" si="1185"/>
        <v/>
      </c>
      <c r="CK328" s="1117" t="str">
        <f t="shared" si="1185"/>
        <v/>
      </c>
      <c r="CL328" s="1117" t="str">
        <f t="shared" si="1185"/>
        <v/>
      </c>
      <c r="CM328" s="1117" t="str">
        <f t="shared" si="1185"/>
        <v/>
      </c>
      <c r="CN328" s="1116" t="str">
        <f t="shared" si="1185"/>
        <v/>
      </c>
      <c r="CO328" s="1116" t="str">
        <f t="shared" si="1185"/>
        <v/>
      </c>
      <c r="CP328" s="1116" t="str">
        <f t="shared" si="1185"/>
        <v/>
      </c>
      <c r="CQ328" s="1116" t="str">
        <f t="shared" si="1185"/>
        <v/>
      </c>
      <c r="CR328" s="1116" t="str">
        <f t="shared" si="1185"/>
        <v/>
      </c>
      <c r="CS328" s="1115" t="str">
        <f t="shared" si="1185"/>
        <v/>
      </c>
      <c r="CT328" s="1118" t="str">
        <f t="shared" si="1185"/>
        <v/>
      </c>
      <c r="CU328" s="312" t="str">
        <f t="shared" si="1148"/>
        <v/>
      </c>
      <c r="CV328" s="313" t="str">
        <f t="shared" si="1149"/>
        <v/>
      </c>
      <c r="CW328" s="314" t="str">
        <f t="shared" si="1150"/>
        <v/>
      </c>
      <c r="CX328" s="314" t="str">
        <f t="shared" si="1151"/>
        <v/>
      </c>
      <c r="CY328" s="314" t="str">
        <f t="shared" si="1152"/>
        <v/>
      </c>
      <c r="CZ328" s="314" t="str">
        <f t="shared" si="1153"/>
        <v/>
      </c>
      <c r="DA328" s="314" t="str">
        <f t="shared" si="1154"/>
        <v/>
      </c>
      <c r="DB328" s="315" t="str">
        <f t="shared" si="1155"/>
        <v/>
      </c>
      <c r="DC328" s="315" t="str">
        <f t="shared" si="1156"/>
        <v/>
      </c>
      <c r="DD328" s="315" t="str">
        <f t="shared" si="1157"/>
        <v/>
      </c>
      <c r="DE328" s="314" t="str">
        <f t="shared" si="1158"/>
        <v/>
      </c>
      <c r="DF328" s="314" t="str">
        <f t="shared" si="1159"/>
        <v/>
      </c>
      <c r="DG328" s="314" t="str">
        <f t="shared" si="1160"/>
        <v/>
      </c>
      <c r="DH328" s="314" t="str">
        <f t="shared" si="1161"/>
        <v/>
      </c>
      <c r="DI328" s="314" t="str">
        <f t="shared" si="1162"/>
        <v/>
      </c>
      <c r="DJ328" s="313" t="str">
        <f t="shared" si="1163"/>
        <v/>
      </c>
      <c r="DK328" s="312" t="str">
        <f t="shared" si="1164"/>
        <v/>
      </c>
      <c r="DL328" s="428">
        <f t="shared" si="1165"/>
        <v>0</v>
      </c>
      <c r="DM328" s="66">
        <f t="shared" si="1166"/>
        <v>0</v>
      </c>
      <c r="DN328" s="66">
        <f t="shared" si="1167"/>
        <v>0</v>
      </c>
      <c r="DO328" s="66">
        <f t="shared" si="1168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142"/>
        <v>3.5</v>
      </c>
      <c r="CA329" s="373">
        <f t="shared" si="1143"/>
        <v>7</v>
      </c>
      <c r="CB329" s="373">
        <f t="shared" si="1144"/>
        <v>14.4</v>
      </c>
      <c r="CC329" s="462">
        <f t="shared" si="1145"/>
        <v>6</v>
      </c>
      <c r="CD329" s="110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0" t="str">
        <f t="shared" si="1185"/>
        <v/>
      </c>
      <c r="CF329" s="1111" t="str">
        <f t="shared" si="1185"/>
        <v/>
      </c>
      <c r="CG329" s="1111" t="str">
        <f t="shared" si="1185"/>
        <v/>
      </c>
      <c r="CH329" s="1111" t="str">
        <f t="shared" si="1185"/>
        <v/>
      </c>
      <c r="CI329" s="1111" t="str">
        <f t="shared" si="1185"/>
        <v/>
      </c>
      <c r="CJ329" s="1111" t="str">
        <f t="shared" si="1185"/>
        <v/>
      </c>
      <c r="CK329" s="1112">
        <f t="shared" si="1185"/>
        <v>1</v>
      </c>
      <c r="CL329" s="1112">
        <f t="shared" si="1185"/>
        <v>2</v>
      </c>
      <c r="CM329" s="1112">
        <f t="shared" si="1185"/>
        <v>5</v>
      </c>
      <c r="CN329" s="1111">
        <f t="shared" si="1185"/>
        <v>5</v>
      </c>
      <c r="CO329" s="1111" t="str">
        <f t="shared" si="1185"/>
        <v/>
      </c>
      <c r="CP329" s="1111" t="str">
        <f t="shared" si="1185"/>
        <v/>
      </c>
      <c r="CQ329" s="1111" t="str">
        <f t="shared" si="1185"/>
        <v/>
      </c>
      <c r="CR329" s="1111" t="str">
        <f t="shared" si="1185"/>
        <v/>
      </c>
      <c r="CS329" s="1110" t="str">
        <f t="shared" si="1185"/>
        <v/>
      </c>
      <c r="CT329" s="1113" t="str">
        <f t="shared" si="1185"/>
        <v/>
      </c>
      <c r="CU329" s="324" t="str">
        <f t="shared" si="1148"/>
        <v/>
      </c>
      <c r="CV329" s="325" t="str">
        <f t="shared" si="1149"/>
        <v/>
      </c>
      <c r="CW329" s="326" t="str">
        <f t="shared" si="1150"/>
        <v/>
      </c>
      <c r="CX329" s="326" t="str">
        <f t="shared" si="1151"/>
        <v/>
      </c>
      <c r="CY329" s="326" t="str">
        <f t="shared" si="1152"/>
        <v/>
      </c>
      <c r="CZ329" s="326" t="str">
        <f t="shared" si="1153"/>
        <v/>
      </c>
      <c r="DA329" s="326" t="str">
        <f t="shared" si="1154"/>
        <v/>
      </c>
      <c r="DB329" s="327">
        <f t="shared" si="1155"/>
        <v>2</v>
      </c>
      <c r="DC329" s="327">
        <f t="shared" si="1156"/>
        <v>6</v>
      </c>
      <c r="DD329" s="327">
        <f t="shared" si="1157"/>
        <v>8</v>
      </c>
      <c r="DE329" s="326">
        <f t="shared" si="1158"/>
        <v>10</v>
      </c>
      <c r="DF329" s="326" t="str">
        <f t="shared" si="1159"/>
        <v/>
      </c>
      <c r="DG329" s="326" t="str">
        <f t="shared" si="1160"/>
        <v/>
      </c>
      <c r="DH329" s="326" t="str">
        <f t="shared" si="1161"/>
        <v/>
      </c>
      <c r="DI329" s="326" t="str">
        <f t="shared" si="1162"/>
        <v/>
      </c>
      <c r="DJ329" s="325" t="str">
        <f t="shared" si="1163"/>
        <v/>
      </c>
      <c r="DK329" s="324" t="str">
        <f t="shared" si="1164"/>
        <v/>
      </c>
      <c r="DL329" s="428">
        <f t="shared" si="1165"/>
        <v>4</v>
      </c>
      <c r="DM329" s="66">
        <f t="shared" si="1166"/>
        <v>4</v>
      </c>
      <c r="DN329" s="66">
        <f t="shared" si="1167"/>
        <v>7</v>
      </c>
      <c r="DO329" s="66">
        <f t="shared" si="1168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2"/>
      <c r="CE330" s="1153"/>
      <c r="CF330" s="1153"/>
      <c r="CG330" s="1153"/>
      <c r="CH330" s="1153"/>
      <c r="CI330" s="1153"/>
      <c r="CJ330" s="1153"/>
      <c r="CK330" s="1153"/>
      <c r="CL330" s="1153"/>
      <c r="CM330" s="1153"/>
      <c r="CN330" s="1153"/>
      <c r="CO330" s="1153"/>
      <c r="CP330" s="1153"/>
      <c r="CQ330" s="1153"/>
      <c r="CR330" s="1153"/>
      <c r="CS330" s="1153"/>
      <c r="CT330" s="1135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186">IF(DL331&lt;3,"",(SUM(B331:R331)-MIN(B331:R331)-MAX(B331:R331))/(DL331-2))</f>
        <v>50</v>
      </c>
      <c r="CA331" s="373">
        <f t="shared" ref="CA331:CA339" si="1187">IF(DM331&lt;3,"",(SUM(T331:AJ331)-MIN(T331:AJ331)-MAX(T331:AJ331))/(DM331-2))</f>
        <v>25</v>
      </c>
      <c r="CB331" s="373">
        <f t="shared" ref="CB331:CB339" si="1188">IF(DN331&lt;3,"",(SUM(AL331:BB331)-MIN(AL331:BB331)-MAX(AL331:BB331))/(DN331-2))</f>
        <v>52.5</v>
      </c>
      <c r="CC331" s="462">
        <f t="shared" ref="CC331:CC339" si="1189">IF(DO331&lt;3,"",(SUM(BD331:BT331)-MIN(BD331:BT331)-MAX(BD331:BT331))/(DO331-2))</f>
        <v>50</v>
      </c>
      <c r="CD331" s="1109" t="str">
        <f t="shared" ref="CD331:CS337" si="11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0" t="str">
        <f t="shared" si="1190"/>
        <v/>
      </c>
      <c r="CF331" s="1111" t="str">
        <f t="shared" si="1190"/>
        <v/>
      </c>
      <c r="CG331" s="1111" t="str">
        <f t="shared" si="1190"/>
        <v/>
      </c>
      <c r="CH331" s="1111" t="str">
        <f t="shared" si="1190"/>
        <v/>
      </c>
      <c r="CI331" s="1111" t="str">
        <f t="shared" si="1190"/>
        <v/>
      </c>
      <c r="CJ331" s="1111" t="str">
        <f t="shared" si="1190"/>
        <v/>
      </c>
      <c r="CK331" s="1112">
        <f t="shared" si="1190"/>
        <v>50</v>
      </c>
      <c r="CL331" s="1112">
        <f t="shared" si="1190"/>
        <v>50</v>
      </c>
      <c r="CM331" s="1112">
        <f t="shared" si="1190"/>
        <v>50</v>
      </c>
      <c r="CN331" s="1111">
        <f t="shared" si="1190"/>
        <v>50</v>
      </c>
      <c r="CO331" s="1111" t="str">
        <f t="shared" si="1190"/>
        <v/>
      </c>
      <c r="CP331" s="1111" t="str">
        <f t="shared" si="1190"/>
        <v/>
      </c>
      <c r="CQ331" s="1111" t="str">
        <f t="shared" si="1190"/>
        <v/>
      </c>
      <c r="CR331" s="1111" t="str">
        <f t="shared" si="1190"/>
        <v/>
      </c>
      <c r="CS331" s="1110" t="str">
        <f t="shared" si="1190"/>
        <v/>
      </c>
      <c r="CT331" s="1113" t="str">
        <f t="shared" ref="CT331:CT337" si="11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1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1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1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1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1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1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1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1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09">COUNT(B331:R331)</f>
        <v>4</v>
      </c>
      <c r="DM331" s="66">
        <f t="shared" ref="DM331:DM339" si="1210">COUNT(T331:AJ331)</f>
        <v>4</v>
      </c>
      <c r="DN331" s="66">
        <f t="shared" ref="DN331:DN339" si="1211">COUNT(AL331:BB331)</f>
        <v>6</v>
      </c>
      <c r="DO331" s="66">
        <f t="shared" ref="DO331:DO339" si="1212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13">IF(B329="","",B329*B331)</f>
        <v/>
      </c>
      <c r="C332" s="405" t="str">
        <f t="shared" si="1213"/>
        <v/>
      </c>
      <c r="D332" s="405" t="str">
        <f t="shared" si="1213"/>
        <v/>
      </c>
      <c r="E332" s="405">
        <f t="shared" si="1213"/>
        <v>250</v>
      </c>
      <c r="F332" s="405">
        <f t="shared" si="1213"/>
        <v>250</v>
      </c>
      <c r="G332" s="405">
        <f t="shared" si="1213"/>
        <v>100</v>
      </c>
      <c r="H332" s="405">
        <f t="shared" si="1213"/>
        <v>50</v>
      </c>
      <c r="I332" s="405" t="str">
        <f t="shared" si="1213"/>
        <v/>
      </c>
      <c r="J332" s="405" t="str">
        <f t="shared" si="1213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214">IF(T329="","",T329*T331)</f>
        <v>250</v>
      </c>
      <c r="U332" s="405">
        <f t="shared" si="1214"/>
        <v>200</v>
      </c>
      <c r="V332" s="405">
        <f t="shared" si="1214"/>
        <v>150</v>
      </c>
      <c r="W332" s="405" t="str">
        <f t="shared" si="1214"/>
        <v/>
      </c>
      <c r="X332" s="405">
        <f t="shared" si="1214"/>
        <v>100</v>
      </c>
      <c r="Y332" s="405" t="str">
        <f t="shared" si="1214"/>
        <v/>
      </c>
      <c r="Z332" s="405" t="str">
        <f t="shared" si="1214"/>
        <v/>
      </c>
      <c r="AA332" s="405" t="str">
        <f t="shared" si="1214"/>
        <v/>
      </c>
      <c r="AB332" s="405" t="str">
        <f t="shared" si="1214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215">IF(AL329="","",AL329*AL331)</f>
        <v>900</v>
      </c>
      <c r="AM332" s="405">
        <f t="shared" si="1215"/>
        <v>560</v>
      </c>
      <c r="AN332" s="405">
        <f t="shared" si="1215"/>
        <v>300</v>
      </c>
      <c r="AO332" s="405">
        <f t="shared" si="1215"/>
        <v>100</v>
      </c>
      <c r="AP332" s="405" t="str">
        <f t="shared" si="1215"/>
        <v/>
      </c>
      <c r="AQ332" s="405">
        <f t="shared" si="1215"/>
        <v>1000</v>
      </c>
      <c r="AR332" s="405" t="str">
        <f t="shared" si="1215"/>
        <v/>
      </c>
      <c r="AS332" s="405">
        <f t="shared" si="1215"/>
        <v>0</v>
      </c>
      <c r="AT332" s="405">
        <f t="shared" si="1215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216">IF(BD329="","",BD329*BD331)</f>
        <v>180</v>
      </c>
      <c r="BE332" s="405">
        <f t="shared" si="1216"/>
        <v>400</v>
      </c>
      <c r="BF332" s="405">
        <f t="shared" si="1216"/>
        <v>200</v>
      </c>
      <c r="BG332" s="405">
        <f t="shared" si="1216"/>
        <v>500</v>
      </c>
      <c r="BH332" s="405" t="str">
        <f t="shared" si="1216"/>
        <v/>
      </c>
      <c r="BI332" s="405" t="str">
        <f t="shared" si="1216"/>
        <v/>
      </c>
      <c r="BJ332" s="405" t="str">
        <f t="shared" si="1216"/>
        <v/>
      </c>
      <c r="BK332" s="405" t="str">
        <f t="shared" si="1216"/>
        <v/>
      </c>
      <c r="BL332" s="405" t="str">
        <f t="shared" si="1216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186"/>
        <v>175</v>
      </c>
      <c r="CA332" s="373">
        <f t="shared" si="1187"/>
        <v>175</v>
      </c>
      <c r="CB332" s="373">
        <f t="shared" si="1188"/>
        <v>572</v>
      </c>
      <c r="CC332" s="462">
        <f t="shared" si="1189"/>
        <v>300</v>
      </c>
      <c r="CD332" s="1109" t="str">
        <f t="shared" si="1190"/>
        <v/>
      </c>
      <c r="CE332" s="1110" t="str">
        <f t="shared" si="1190"/>
        <v/>
      </c>
      <c r="CF332" s="1111" t="str">
        <f t="shared" si="1190"/>
        <v/>
      </c>
      <c r="CG332" s="1111" t="str">
        <f t="shared" si="1190"/>
        <v/>
      </c>
      <c r="CH332" s="1111" t="str">
        <f t="shared" si="1190"/>
        <v/>
      </c>
      <c r="CI332" s="1111" t="str">
        <f t="shared" si="1190"/>
        <v/>
      </c>
      <c r="CJ332" s="1111" t="str">
        <f t="shared" si="1190"/>
        <v/>
      </c>
      <c r="CK332" s="1112">
        <f t="shared" si="1190"/>
        <v>50</v>
      </c>
      <c r="CL332" s="1112">
        <f t="shared" si="1190"/>
        <v>100</v>
      </c>
      <c r="CM332" s="1112">
        <f t="shared" si="1190"/>
        <v>250</v>
      </c>
      <c r="CN332" s="1111">
        <f t="shared" si="1190"/>
        <v>250</v>
      </c>
      <c r="CO332" s="1111" t="str">
        <f t="shared" si="1190"/>
        <v/>
      </c>
      <c r="CP332" s="1111" t="str">
        <f t="shared" si="1190"/>
        <v/>
      </c>
      <c r="CQ332" s="1111" t="str">
        <f t="shared" si="1190"/>
        <v/>
      </c>
      <c r="CR332" s="1111" t="str">
        <f t="shared" si="1190"/>
        <v/>
      </c>
      <c r="CS332" s="1110" t="str">
        <f t="shared" si="1190"/>
        <v/>
      </c>
      <c r="CT332" s="1113" t="str">
        <f t="shared" si="1191"/>
        <v/>
      </c>
      <c r="CU332" s="324" t="str">
        <f t="shared" si="1192"/>
        <v/>
      </c>
      <c r="CV332" s="325" t="str">
        <f t="shared" si="1193"/>
        <v/>
      </c>
      <c r="CW332" s="326" t="str">
        <f t="shared" si="1194"/>
        <v/>
      </c>
      <c r="CX332" s="326" t="str">
        <f t="shared" si="1195"/>
        <v/>
      </c>
      <c r="CY332" s="326" t="str">
        <f t="shared" si="1196"/>
        <v/>
      </c>
      <c r="CZ332" s="326" t="str">
        <f t="shared" si="1197"/>
        <v/>
      </c>
      <c r="DA332" s="326" t="str">
        <f t="shared" si="1198"/>
        <v/>
      </c>
      <c r="DB332" s="327">
        <f t="shared" si="1199"/>
        <v>100</v>
      </c>
      <c r="DC332" s="327">
        <f t="shared" si="1200"/>
        <v>150</v>
      </c>
      <c r="DD332" s="327">
        <f t="shared" si="1201"/>
        <v>200</v>
      </c>
      <c r="DE332" s="326">
        <f t="shared" si="1202"/>
        <v>250</v>
      </c>
      <c r="DF332" s="326" t="str">
        <f t="shared" si="1203"/>
        <v/>
      </c>
      <c r="DG332" s="326" t="str">
        <f t="shared" si="1204"/>
        <v/>
      </c>
      <c r="DH332" s="326" t="str">
        <f t="shared" si="1205"/>
        <v/>
      </c>
      <c r="DI332" s="326" t="str">
        <f t="shared" si="1206"/>
        <v/>
      </c>
      <c r="DJ332" s="325" t="str">
        <f t="shared" si="1207"/>
        <v/>
      </c>
      <c r="DK332" s="324" t="str">
        <f t="shared" si="1208"/>
        <v/>
      </c>
      <c r="DL332" s="428">
        <f t="shared" si="1209"/>
        <v>4</v>
      </c>
      <c r="DM332" s="66">
        <f t="shared" si="1210"/>
        <v>4</v>
      </c>
      <c r="DN332" s="66">
        <f t="shared" si="1211"/>
        <v>7</v>
      </c>
      <c r="DO332" s="66">
        <f t="shared" si="1212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186"/>
        <v>1140</v>
      </c>
      <c r="CA333" s="373">
        <f t="shared" si="1187"/>
        <v>1140</v>
      </c>
      <c r="CB333" s="373">
        <f t="shared" si="1188"/>
        <v>1140</v>
      </c>
      <c r="CC333" s="462">
        <f t="shared" si="1189"/>
        <v>1140</v>
      </c>
      <c r="CD333" s="1109" t="str">
        <f t="shared" si="1190"/>
        <v/>
      </c>
      <c r="CE333" s="1110" t="str">
        <f t="shared" si="1190"/>
        <v/>
      </c>
      <c r="CF333" s="1111" t="str">
        <f t="shared" si="1190"/>
        <v/>
      </c>
      <c r="CG333" s="1111" t="str">
        <f t="shared" si="1190"/>
        <v/>
      </c>
      <c r="CH333" s="1111">
        <f t="shared" si="1190"/>
        <v>1140</v>
      </c>
      <c r="CI333" s="1111">
        <f t="shared" si="1190"/>
        <v>1140</v>
      </c>
      <c r="CJ333" s="1111">
        <f t="shared" si="1190"/>
        <v>1140</v>
      </c>
      <c r="CK333" s="1112">
        <f t="shared" si="1190"/>
        <v>1140</v>
      </c>
      <c r="CL333" s="1112">
        <f t="shared" si="1190"/>
        <v>1140</v>
      </c>
      <c r="CM333" s="1112">
        <f t="shared" si="1190"/>
        <v>1140</v>
      </c>
      <c r="CN333" s="1111">
        <f t="shared" si="1190"/>
        <v>1140</v>
      </c>
      <c r="CO333" s="1111">
        <f t="shared" si="1190"/>
        <v>1140</v>
      </c>
      <c r="CP333" s="1111">
        <f t="shared" si="1190"/>
        <v>1140</v>
      </c>
      <c r="CQ333" s="1111" t="str">
        <f t="shared" si="1190"/>
        <v/>
      </c>
      <c r="CR333" s="1111" t="str">
        <f t="shared" si="1190"/>
        <v/>
      </c>
      <c r="CS333" s="1110" t="str">
        <f t="shared" si="1190"/>
        <v/>
      </c>
      <c r="CT333" s="1113" t="str">
        <f t="shared" si="1191"/>
        <v/>
      </c>
      <c r="CU333" s="324" t="str">
        <f t="shared" si="1192"/>
        <v/>
      </c>
      <c r="CV333" s="325" t="str">
        <f t="shared" si="1193"/>
        <v/>
      </c>
      <c r="CW333" s="326" t="str">
        <f t="shared" si="1194"/>
        <v/>
      </c>
      <c r="CX333" s="326" t="str">
        <f t="shared" si="1195"/>
        <v/>
      </c>
      <c r="CY333" s="326">
        <f t="shared" si="1196"/>
        <v>1140</v>
      </c>
      <c r="CZ333" s="326">
        <f t="shared" si="1197"/>
        <v>1140</v>
      </c>
      <c r="DA333" s="326">
        <f t="shared" si="1198"/>
        <v>1140</v>
      </c>
      <c r="DB333" s="327">
        <f t="shared" si="1199"/>
        <v>1140</v>
      </c>
      <c r="DC333" s="327">
        <f t="shared" si="1200"/>
        <v>1140</v>
      </c>
      <c r="DD333" s="327">
        <f t="shared" si="1201"/>
        <v>1140</v>
      </c>
      <c r="DE333" s="326">
        <f t="shared" si="1202"/>
        <v>1140</v>
      </c>
      <c r="DF333" s="326">
        <f t="shared" si="1203"/>
        <v>1140</v>
      </c>
      <c r="DG333" s="326">
        <f t="shared" si="1204"/>
        <v>1140</v>
      </c>
      <c r="DH333" s="326" t="str">
        <f t="shared" si="1205"/>
        <v/>
      </c>
      <c r="DI333" s="326" t="str">
        <f t="shared" si="1206"/>
        <v/>
      </c>
      <c r="DJ333" s="325" t="str">
        <f t="shared" si="1207"/>
        <v/>
      </c>
      <c r="DK333" s="324" t="str">
        <f t="shared" si="1208"/>
        <v/>
      </c>
      <c r="DL333" s="428">
        <f t="shared" si="1209"/>
        <v>9</v>
      </c>
      <c r="DM333" s="66">
        <f t="shared" si="1210"/>
        <v>9</v>
      </c>
      <c r="DN333" s="66">
        <f t="shared" si="1211"/>
        <v>9</v>
      </c>
      <c r="DO333" s="66">
        <f t="shared" si="1212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186"/>
        <v/>
      </c>
      <c r="CA334" s="373" t="str">
        <f t="shared" si="1187"/>
        <v/>
      </c>
      <c r="CB334" s="373">
        <f t="shared" si="1188"/>
        <v>395</v>
      </c>
      <c r="CC334" s="462" t="str">
        <f t="shared" si="1189"/>
        <v/>
      </c>
      <c r="CD334" s="1109" t="str">
        <f t="shared" si="1190"/>
        <v/>
      </c>
      <c r="CE334" s="1110" t="str">
        <f t="shared" si="1190"/>
        <v/>
      </c>
      <c r="CF334" s="1111" t="str">
        <f t="shared" si="1190"/>
        <v/>
      </c>
      <c r="CG334" s="1111" t="str">
        <f t="shared" si="1190"/>
        <v/>
      </c>
      <c r="CH334" s="1111" t="str">
        <f t="shared" si="1190"/>
        <v/>
      </c>
      <c r="CI334" s="1111" t="str">
        <f t="shared" si="1190"/>
        <v/>
      </c>
      <c r="CJ334" s="1111" t="str">
        <f t="shared" si="1190"/>
        <v/>
      </c>
      <c r="CK334" s="1112" t="str">
        <f t="shared" si="1190"/>
        <v/>
      </c>
      <c r="CL334" s="1112">
        <f t="shared" si="1190"/>
        <v>50</v>
      </c>
      <c r="CM334" s="1112">
        <f t="shared" si="1190"/>
        <v>100</v>
      </c>
      <c r="CN334" s="1111" t="str">
        <f t="shared" si="1190"/>
        <v/>
      </c>
      <c r="CO334" s="1111" t="str">
        <f t="shared" si="1190"/>
        <v/>
      </c>
      <c r="CP334" s="1111" t="str">
        <f t="shared" si="1190"/>
        <v/>
      </c>
      <c r="CQ334" s="1111" t="str">
        <f t="shared" si="1190"/>
        <v/>
      </c>
      <c r="CR334" s="1111" t="str">
        <f t="shared" si="1190"/>
        <v/>
      </c>
      <c r="CS334" s="1110" t="str">
        <f t="shared" si="1190"/>
        <v/>
      </c>
      <c r="CT334" s="1113" t="str">
        <f t="shared" si="1191"/>
        <v/>
      </c>
      <c r="CU334" s="324" t="str">
        <f t="shared" si="1192"/>
        <v/>
      </c>
      <c r="CV334" s="325" t="str">
        <f t="shared" si="1193"/>
        <v/>
      </c>
      <c r="CW334" s="326" t="str">
        <f t="shared" si="1194"/>
        <v/>
      </c>
      <c r="CX334" s="326" t="str">
        <f t="shared" si="1195"/>
        <v/>
      </c>
      <c r="CY334" s="326" t="str">
        <f t="shared" si="1196"/>
        <v/>
      </c>
      <c r="CZ334" s="326" t="str">
        <f t="shared" si="1197"/>
        <v/>
      </c>
      <c r="DA334" s="326" t="str">
        <f t="shared" si="1198"/>
        <v/>
      </c>
      <c r="DB334" s="327" t="str">
        <f t="shared" si="1199"/>
        <v/>
      </c>
      <c r="DC334" s="327">
        <f t="shared" si="1200"/>
        <v>50</v>
      </c>
      <c r="DD334" s="327" t="str">
        <f t="shared" si="1201"/>
        <v/>
      </c>
      <c r="DE334" s="326" t="str">
        <f t="shared" si="1202"/>
        <v/>
      </c>
      <c r="DF334" s="326" t="str">
        <f t="shared" si="1203"/>
        <v/>
      </c>
      <c r="DG334" s="326" t="str">
        <f t="shared" si="1204"/>
        <v/>
      </c>
      <c r="DH334" s="326" t="str">
        <f t="shared" si="1205"/>
        <v/>
      </c>
      <c r="DI334" s="326" t="str">
        <f t="shared" si="1206"/>
        <v/>
      </c>
      <c r="DJ334" s="325" t="str">
        <f t="shared" si="1207"/>
        <v/>
      </c>
      <c r="DK334" s="324" t="str">
        <f t="shared" si="1208"/>
        <v/>
      </c>
      <c r="DL334" s="428">
        <f t="shared" si="1209"/>
        <v>2</v>
      </c>
      <c r="DM334" s="66">
        <f t="shared" si="1210"/>
        <v>1</v>
      </c>
      <c r="DN334" s="66">
        <f t="shared" si="1211"/>
        <v>6</v>
      </c>
      <c r="DO334" s="66">
        <f t="shared" si="1212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186"/>
        <v/>
      </c>
      <c r="CA335" s="373" t="str">
        <f t="shared" si="1187"/>
        <v/>
      </c>
      <c r="CB335" s="373">
        <f t="shared" si="1188"/>
        <v>0.42500000000000027</v>
      </c>
      <c r="CC335" s="462" t="str">
        <f t="shared" si="1189"/>
        <v/>
      </c>
      <c r="CD335" s="1109" t="str">
        <f t="shared" si="1190"/>
        <v/>
      </c>
      <c r="CE335" s="1110" t="str">
        <f t="shared" si="1190"/>
        <v/>
      </c>
      <c r="CF335" s="1111" t="str">
        <f t="shared" si="1190"/>
        <v/>
      </c>
      <c r="CG335" s="1111" t="str">
        <f t="shared" si="1190"/>
        <v/>
      </c>
      <c r="CH335" s="1111" t="str">
        <f t="shared" si="1190"/>
        <v/>
      </c>
      <c r="CI335" s="1111" t="str">
        <f t="shared" si="1190"/>
        <v/>
      </c>
      <c r="CJ335" s="1111" t="str">
        <f t="shared" si="1190"/>
        <v/>
      </c>
      <c r="CK335" s="1112" t="str">
        <f t="shared" si="1190"/>
        <v/>
      </c>
      <c r="CL335" s="1112">
        <f t="shared" si="1190"/>
        <v>0.6</v>
      </c>
      <c r="CM335" s="1112">
        <f t="shared" si="1190"/>
        <v>1.2</v>
      </c>
      <c r="CN335" s="1111" t="str">
        <f t="shared" si="1190"/>
        <v/>
      </c>
      <c r="CO335" s="1111" t="str">
        <f t="shared" si="1190"/>
        <v/>
      </c>
      <c r="CP335" s="1111" t="str">
        <f t="shared" si="1190"/>
        <v/>
      </c>
      <c r="CQ335" s="1111" t="str">
        <f t="shared" si="1190"/>
        <v/>
      </c>
      <c r="CR335" s="1111" t="str">
        <f t="shared" si="1190"/>
        <v/>
      </c>
      <c r="CS335" s="1110" t="str">
        <f t="shared" si="1190"/>
        <v/>
      </c>
      <c r="CT335" s="1113" t="str">
        <f t="shared" si="1191"/>
        <v/>
      </c>
      <c r="CU335" s="324" t="str">
        <f t="shared" si="1192"/>
        <v/>
      </c>
      <c r="CV335" s="325" t="str">
        <f t="shared" si="1193"/>
        <v/>
      </c>
      <c r="CW335" s="326" t="str">
        <f t="shared" si="1194"/>
        <v/>
      </c>
      <c r="CX335" s="326" t="str">
        <f t="shared" si="1195"/>
        <v/>
      </c>
      <c r="CY335" s="326" t="str">
        <f t="shared" si="1196"/>
        <v/>
      </c>
      <c r="CZ335" s="326" t="str">
        <f t="shared" si="1197"/>
        <v/>
      </c>
      <c r="DA335" s="326" t="str">
        <f t="shared" si="1198"/>
        <v/>
      </c>
      <c r="DB335" s="327" t="str">
        <f t="shared" si="1199"/>
        <v/>
      </c>
      <c r="DC335" s="327">
        <f t="shared" si="1200"/>
        <v>0.2</v>
      </c>
      <c r="DD335" s="327" t="str">
        <f t="shared" si="1201"/>
        <v/>
      </c>
      <c r="DE335" s="326" t="str">
        <f t="shared" si="1202"/>
        <v/>
      </c>
      <c r="DF335" s="326" t="str">
        <f t="shared" si="1203"/>
        <v/>
      </c>
      <c r="DG335" s="326" t="str">
        <f t="shared" si="1204"/>
        <v/>
      </c>
      <c r="DH335" s="326" t="str">
        <f t="shared" si="1205"/>
        <v/>
      </c>
      <c r="DI335" s="326" t="str">
        <f t="shared" si="1206"/>
        <v/>
      </c>
      <c r="DJ335" s="325" t="str">
        <f t="shared" si="1207"/>
        <v/>
      </c>
      <c r="DK335" s="324" t="str">
        <f t="shared" si="1208"/>
        <v/>
      </c>
      <c r="DL335" s="428">
        <f t="shared" si="1209"/>
        <v>2</v>
      </c>
      <c r="DM335" s="66">
        <f t="shared" si="1210"/>
        <v>1</v>
      </c>
      <c r="DN335" s="66">
        <f t="shared" si="1211"/>
        <v>6</v>
      </c>
      <c r="DO335" s="66">
        <f t="shared" si="1212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217">IF(B334="","",B334*B335)</f>
        <v/>
      </c>
      <c r="C336" s="405" t="str">
        <f t="shared" si="1217"/>
        <v/>
      </c>
      <c r="D336" s="405" t="str">
        <f t="shared" si="1217"/>
        <v/>
      </c>
      <c r="E336" s="405" t="str">
        <f t="shared" si="1217"/>
        <v/>
      </c>
      <c r="F336" s="405">
        <f t="shared" si="1217"/>
        <v>60</v>
      </c>
      <c r="G336" s="405">
        <f t="shared" si="1217"/>
        <v>60</v>
      </c>
      <c r="H336" s="405" t="str">
        <f t="shared" si="1217"/>
        <v/>
      </c>
      <c r="I336" s="405" t="str">
        <f t="shared" si="1217"/>
        <v/>
      </c>
      <c r="J336" s="405" t="str">
        <f t="shared" si="1217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218">IF(T334="","",T334*T335)</f>
        <v/>
      </c>
      <c r="U336" s="405" t="str">
        <f t="shared" si="1218"/>
        <v/>
      </c>
      <c r="V336" s="405" t="str">
        <f t="shared" si="1218"/>
        <v/>
      </c>
      <c r="W336" s="405" t="str">
        <f t="shared" si="1218"/>
        <v/>
      </c>
      <c r="X336" s="405">
        <f t="shared" si="1218"/>
        <v>10</v>
      </c>
      <c r="Y336" s="405" t="str">
        <f t="shared" si="1218"/>
        <v/>
      </c>
      <c r="Z336" s="405" t="str">
        <f t="shared" si="1218"/>
        <v/>
      </c>
      <c r="AA336" s="405" t="str">
        <f t="shared" si="1218"/>
        <v/>
      </c>
      <c r="AB336" s="405" t="str">
        <f t="shared" si="1218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219">IF(AL334="","",AL334*AL335)</f>
        <v>96</v>
      </c>
      <c r="AM336" s="405">
        <f t="shared" si="1219"/>
        <v>100</v>
      </c>
      <c r="AN336" s="405">
        <f t="shared" si="1219"/>
        <v>75</v>
      </c>
      <c r="AO336" s="405">
        <f t="shared" si="1219"/>
        <v>35</v>
      </c>
      <c r="AP336" s="405" t="str">
        <f t="shared" si="1219"/>
        <v/>
      </c>
      <c r="AQ336" s="405">
        <f t="shared" si="1219"/>
        <v>300</v>
      </c>
      <c r="AR336" s="405" t="str">
        <f t="shared" si="1219"/>
        <v/>
      </c>
      <c r="AS336" s="405" t="str">
        <f t="shared" si="1219"/>
        <v/>
      </c>
      <c r="AT336" s="405">
        <f t="shared" si="1219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220">IF(BD334="","",BD334*BD335)</f>
        <v>630</v>
      </c>
      <c r="BE336" s="405" t="str">
        <f t="shared" si="1220"/>
        <v/>
      </c>
      <c r="BF336" s="405" t="str">
        <f t="shared" si="1220"/>
        <v/>
      </c>
      <c r="BG336" s="405">
        <f t="shared" si="1220"/>
        <v>600</v>
      </c>
      <c r="BH336" s="405" t="str">
        <f t="shared" si="1220"/>
        <v/>
      </c>
      <c r="BI336" s="405" t="str">
        <f t="shared" si="1220"/>
        <v/>
      </c>
      <c r="BJ336" s="405" t="str">
        <f t="shared" si="1220"/>
        <v/>
      </c>
      <c r="BK336" s="405" t="str">
        <f t="shared" si="1220"/>
        <v/>
      </c>
      <c r="BL336" s="405" t="str">
        <f t="shared" si="1220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186"/>
        <v/>
      </c>
      <c r="CA336" s="373" t="str">
        <f t="shared" si="1187"/>
        <v/>
      </c>
      <c r="CB336" s="373">
        <f t="shared" si="1188"/>
        <v>124</v>
      </c>
      <c r="CC336" s="462" t="str">
        <f t="shared" si="1189"/>
        <v/>
      </c>
      <c r="CD336" s="1109" t="str">
        <f t="shared" si="1190"/>
        <v/>
      </c>
      <c r="CE336" s="1110" t="str">
        <f t="shared" si="1190"/>
        <v/>
      </c>
      <c r="CF336" s="1111" t="str">
        <f t="shared" si="1190"/>
        <v/>
      </c>
      <c r="CG336" s="1111" t="str">
        <f t="shared" si="1190"/>
        <v/>
      </c>
      <c r="CH336" s="1111" t="str">
        <f t="shared" si="1190"/>
        <v/>
      </c>
      <c r="CI336" s="1111" t="str">
        <f t="shared" si="1190"/>
        <v/>
      </c>
      <c r="CJ336" s="1111" t="str">
        <f t="shared" si="1190"/>
        <v/>
      </c>
      <c r="CK336" s="1112" t="str">
        <f t="shared" si="1190"/>
        <v/>
      </c>
      <c r="CL336" s="1112">
        <f t="shared" si="1190"/>
        <v>60</v>
      </c>
      <c r="CM336" s="1112">
        <f t="shared" si="1190"/>
        <v>60</v>
      </c>
      <c r="CN336" s="1111" t="str">
        <f t="shared" si="1190"/>
        <v/>
      </c>
      <c r="CO336" s="1111" t="str">
        <f t="shared" si="1190"/>
        <v/>
      </c>
      <c r="CP336" s="1111" t="str">
        <f t="shared" si="1190"/>
        <v/>
      </c>
      <c r="CQ336" s="1111" t="str">
        <f t="shared" si="1190"/>
        <v/>
      </c>
      <c r="CR336" s="1111" t="str">
        <f t="shared" si="1190"/>
        <v/>
      </c>
      <c r="CS336" s="1110" t="str">
        <f t="shared" si="1190"/>
        <v/>
      </c>
      <c r="CT336" s="1113" t="str">
        <f t="shared" si="1191"/>
        <v/>
      </c>
      <c r="CU336" s="324" t="str">
        <f t="shared" si="1192"/>
        <v/>
      </c>
      <c r="CV336" s="325" t="str">
        <f t="shared" si="1193"/>
        <v/>
      </c>
      <c r="CW336" s="326" t="str">
        <f t="shared" si="1194"/>
        <v/>
      </c>
      <c r="CX336" s="326" t="str">
        <f t="shared" si="1195"/>
        <v/>
      </c>
      <c r="CY336" s="326" t="str">
        <f t="shared" si="1196"/>
        <v/>
      </c>
      <c r="CZ336" s="326" t="str">
        <f t="shared" si="1197"/>
        <v/>
      </c>
      <c r="DA336" s="326" t="str">
        <f t="shared" si="1198"/>
        <v/>
      </c>
      <c r="DB336" s="327" t="str">
        <f t="shared" si="1199"/>
        <v/>
      </c>
      <c r="DC336" s="327">
        <f t="shared" si="1200"/>
        <v>10</v>
      </c>
      <c r="DD336" s="327" t="str">
        <f t="shared" si="1201"/>
        <v/>
      </c>
      <c r="DE336" s="326" t="str">
        <f t="shared" si="1202"/>
        <v/>
      </c>
      <c r="DF336" s="326" t="str">
        <f t="shared" si="1203"/>
        <v/>
      </c>
      <c r="DG336" s="326" t="str">
        <f t="shared" si="1204"/>
        <v/>
      </c>
      <c r="DH336" s="326" t="str">
        <f t="shared" si="1205"/>
        <v/>
      </c>
      <c r="DI336" s="326" t="str">
        <f t="shared" si="1206"/>
        <v/>
      </c>
      <c r="DJ336" s="325" t="str">
        <f t="shared" si="1207"/>
        <v/>
      </c>
      <c r="DK336" s="324" t="str">
        <f t="shared" si="1208"/>
        <v/>
      </c>
      <c r="DL336" s="428">
        <f t="shared" si="1209"/>
        <v>2</v>
      </c>
      <c r="DM336" s="66">
        <f t="shared" si="1210"/>
        <v>1</v>
      </c>
      <c r="DN336" s="66">
        <f t="shared" si="1211"/>
        <v>6</v>
      </c>
      <c r="DO336" s="66">
        <f t="shared" si="1212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186"/>
        <v/>
      </c>
      <c r="CA337" s="373" t="str">
        <f t="shared" si="1187"/>
        <v/>
      </c>
      <c r="CB337" s="373" t="str">
        <f t="shared" si="1188"/>
        <v/>
      </c>
      <c r="CC337" s="462" t="str">
        <f t="shared" si="1189"/>
        <v/>
      </c>
      <c r="CD337" s="1109" t="str">
        <f t="shared" si="1190"/>
        <v/>
      </c>
      <c r="CE337" s="1110" t="str">
        <f t="shared" si="1190"/>
        <v/>
      </c>
      <c r="CF337" s="1111" t="str">
        <f t="shared" si="1190"/>
        <v/>
      </c>
      <c r="CG337" s="1111" t="str">
        <f t="shared" si="1190"/>
        <v/>
      </c>
      <c r="CH337" s="1111" t="str">
        <f t="shared" si="1190"/>
        <v/>
      </c>
      <c r="CI337" s="1111" t="str">
        <f t="shared" si="1190"/>
        <v/>
      </c>
      <c r="CJ337" s="1111" t="str">
        <f t="shared" si="1190"/>
        <v/>
      </c>
      <c r="CK337" s="1112" t="str">
        <f t="shared" si="1190"/>
        <v/>
      </c>
      <c r="CL337" s="1112" t="str">
        <f t="shared" si="1190"/>
        <v/>
      </c>
      <c r="CM337" s="1112" t="str">
        <f t="shared" si="1190"/>
        <v/>
      </c>
      <c r="CN337" s="1111" t="str">
        <f t="shared" si="1190"/>
        <v/>
      </c>
      <c r="CO337" s="1111" t="str">
        <f t="shared" si="1190"/>
        <v/>
      </c>
      <c r="CP337" s="1111" t="str">
        <f t="shared" si="1190"/>
        <v/>
      </c>
      <c r="CQ337" s="1111" t="str">
        <f t="shared" si="1190"/>
        <v/>
      </c>
      <c r="CR337" s="1111" t="str">
        <f t="shared" si="1190"/>
        <v/>
      </c>
      <c r="CS337" s="1110" t="str">
        <f t="shared" si="1190"/>
        <v/>
      </c>
      <c r="CT337" s="1113" t="str">
        <f t="shared" si="1191"/>
        <v/>
      </c>
      <c r="CU337" s="324" t="str">
        <f t="shared" si="1192"/>
        <v/>
      </c>
      <c r="CV337" s="325" t="str">
        <f t="shared" si="1193"/>
        <v/>
      </c>
      <c r="CW337" s="326" t="str">
        <f t="shared" si="1194"/>
        <v/>
      </c>
      <c r="CX337" s="326" t="str">
        <f t="shared" si="1195"/>
        <v/>
      </c>
      <c r="CY337" s="326" t="str">
        <f t="shared" si="1196"/>
        <v/>
      </c>
      <c r="CZ337" s="326" t="str">
        <f t="shared" si="1197"/>
        <v/>
      </c>
      <c r="DA337" s="326" t="str">
        <f t="shared" si="1198"/>
        <v/>
      </c>
      <c r="DB337" s="327" t="str">
        <f t="shared" si="1199"/>
        <v/>
      </c>
      <c r="DC337" s="327">
        <f t="shared" si="1200"/>
        <v>5</v>
      </c>
      <c r="DD337" s="327" t="str">
        <f t="shared" si="1201"/>
        <v/>
      </c>
      <c r="DE337" s="326" t="str">
        <f t="shared" si="1202"/>
        <v/>
      </c>
      <c r="DF337" s="326" t="str">
        <f t="shared" si="1203"/>
        <v/>
      </c>
      <c r="DG337" s="326" t="str">
        <f t="shared" si="1204"/>
        <v/>
      </c>
      <c r="DH337" s="326" t="str">
        <f t="shared" si="1205"/>
        <v/>
      </c>
      <c r="DI337" s="326" t="str">
        <f t="shared" si="1206"/>
        <v/>
      </c>
      <c r="DJ337" s="325" t="str">
        <f t="shared" si="1207"/>
        <v/>
      </c>
      <c r="DK337" s="324" t="str">
        <f t="shared" si="1208"/>
        <v/>
      </c>
      <c r="DL337" s="428">
        <f t="shared" si="1209"/>
        <v>0</v>
      </c>
      <c r="DM337" s="66">
        <f t="shared" si="1210"/>
        <v>1</v>
      </c>
      <c r="DN337" s="66">
        <f t="shared" si="1211"/>
        <v>2</v>
      </c>
      <c r="DO337" s="66">
        <f t="shared" si="1212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221">IF(B332="","",(B332-B334-B337)*B333/B$46/365/$G$1)</f>
        <v/>
      </c>
      <c r="C338" s="408" t="str">
        <f t="shared" si="1221"/>
        <v/>
      </c>
      <c r="D338" s="408" t="str">
        <f t="shared" si="1221"/>
        <v/>
      </c>
      <c r="E338" s="408">
        <f t="shared" si="1221"/>
        <v>6.1969993476842788E-2</v>
      </c>
      <c r="F338" s="408">
        <f t="shared" si="1221"/>
        <v>3.7181996086105673E-2</v>
      </c>
      <c r="G338" s="408">
        <f t="shared" si="1221"/>
        <v>9.2954990215264183E-3</v>
      </c>
      <c r="H338" s="408">
        <f t="shared" si="1221"/>
        <v>1.2393998695368558E-2</v>
      </c>
      <c r="I338" s="408" t="str">
        <f t="shared" si="1221"/>
        <v/>
      </c>
      <c r="J338" s="408" t="str">
        <f t="shared" si="1221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222">IF(T332="","",(T332-T334-T337)*T333/T$46/365/$G$1)</f>
        <v>4.6477495107632091E-2</v>
      </c>
      <c r="U338" s="408">
        <f t="shared" si="1222"/>
        <v>2.6365415406511297E-2</v>
      </c>
      <c r="V338" s="408">
        <f t="shared" si="1222"/>
        <v>1.8590998043052837E-2</v>
      </c>
      <c r="W338" s="408" t="str">
        <f t="shared" si="1222"/>
        <v/>
      </c>
      <c r="X338" s="408">
        <f t="shared" si="1222"/>
        <v>9.2954990215264183E-3</v>
      </c>
      <c r="Y338" s="408" t="str">
        <f t="shared" si="1222"/>
        <v/>
      </c>
      <c r="Z338" s="408" t="str">
        <f t="shared" si="1222"/>
        <v/>
      </c>
      <c r="AA338" s="408" t="str">
        <f t="shared" si="1222"/>
        <v/>
      </c>
      <c r="AB338" s="408" t="str">
        <f t="shared" si="1222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223">IF(AL332="","",(AL332-AL334-AL337)*AL333/AL$46/365/$G$1)</f>
        <v>3.2449742038783133E-2</v>
      </c>
      <c r="AM338" s="408">
        <f t="shared" si="1223"/>
        <v>4.4618395303326806E-2</v>
      </c>
      <c r="AN338" s="408">
        <f t="shared" si="1223"/>
        <v>1.8590998043052837E-2</v>
      </c>
      <c r="AO338" s="408">
        <f t="shared" si="1223"/>
        <v>1.7661448140900194E-2</v>
      </c>
      <c r="AP338" s="408" t="str">
        <f t="shared" si="1223"/>
        <v/>
      </c>
      <c r="AQ338" s="408">
        <f t="shared" si="1223"/>
        <v>6.1969993476842788E-2</v>
      </c>
      <c r="AR338" s="408" t="str">
        <f t="shared" si="1223"/>
        <v/>
      </c>
      <c r="AS338" s="408">
        <f t="shared" si="1223"/>
        <v>0</v>
      </c>
      <c r="AT338" s="408">
        <f t="shared" si="1223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224">IF(BD332="","",(BD332-BD334-BD337)*BD333/BD$46/365/$G$1)</f>
        <v>1.1154598825831702E-2</v>
      </c>
      <c r="BE338" s="408">
        <f t="shared" si="1224"/>
        <v>4.9575994781474231E-2</v>
      </c>
      <c r="BF338" s="408">
        <f t="shared" si="1224"/>
        <v>2.974559686888454E-2</v>
      </c>
      <c r="BG338" s="408">
        <f t="shared" si="1224"/>
        <v>0</v>
      </c>
      <c r="BH338" s="408" t="str">
        <f t="shared" si="1224"/>
        <v/>
      </c>
      <c r="BI338" s="408" t="str">
        <f t="shared" si="1224"/>
        <v/>
      </c>
      <c r="BJ338" s="408" t="str">
        <f t="shared" si="1224"/>
        <v/>
      </c>
      <c r="BK338" s="408" t="str">
        <f t="shared" si="1224"/>
        <v/>
      </c>
      <c r="BL338" s="408" t="str">
        <f t="shared" si="1224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186"/>
        <v>2.4787997390737115E-2</v>
      </c>
      <c r="CA338" s="398">
        <f t="shared" si="1187"/>
        <v>2.2478206724782068E-2</v>
      </c>
      <c r="CB338" s="398">
        <f t="shared" si="1188"/>
        <v>3.0100515922433724E-2</v>
      </c>
      <c r="CC338" s="465">
        <f t="shared" si="1189"/>
        <v>2.0450097847358122E-2</v>
      </c>
      <c r="CD338" s="111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5" t="str">
        <f t="shared" ref="CE338:CT339" si="12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6" t="str">
        <f t="shared" si="1225"/>
        <v/>
      </c>
      <c r="CG338" s="1116" t="str">
        <f t="shared" si="1225"/>
        <v/>
      </c>
      <c r="CH338" s="1116" t="str">
        <f t="shared" si="1225"/>
        <v/>
      </c>
      <c r="CI338" s="1116" t="str">
        <f t="shared" si="1225"/>
        <v/>
      </c>
      <c r="CJ338" s="1116" t="str">
        <f t="shared" si="1225"/>
        <v/>
      </c>
      <c r="CK338" s="1117">
        <f t="shared" si="1225"/>
        <v>9.2954990215264183E-3</v>
      </c>
      <c r="CL338" s="1117">
        <f t="shared" si="1225"/>
        <v>1.2393998695368558E-2</v>
      </c>
      <c r="CM338" s="1117">
        <f t="shared" si="1225"/>
        <v>3.7181996086105673E-2</v>
      </c>
      <c r="CN338" s="1116">
        <f t="shared" si="1225"/>
        <v>6.1969993476842788E-2</v>
      </c>
      <c r="CO338" s="1116" t="str">
        <f t="shared" si="1225"/>
        <v/>
      </c>
      <c r="CP338" s="1116" t="str">
        <f t="shared" si="1225"/>
        <v/>
      </c>
      <c r="CQ338" s="1116" t="str">
        <f t="shared" si="1225"/>
        <v/>
      </c>
      <c r="CR338" s="1116" t="str">
        <f t="shared" si="1225"/>
        <v/>
      </c>
      <c r="CS338" s="1115" t="str">
        <f t="shared" si="1225"/>
        <v/>
      </c>
      <c r="CT338" s="1118" t="str">
        <f t="shared" si="1225"/>
        <v/>
      </c>
      <c r="CU338" s="312" t="str">
        <f t="shared" si="1192"/>
        <v/>
      </c>
      <c r="CV338" s="313" t="str">
        <f t="shared" si="1193"/>
        <v/>
      </c>
      <c r="CW338" s="314" t="str">
        <f t="shared" si="1194"/>
        <v/>
      </c>
      <c r="CX338" s="314" t="str">
        <f t="shared" si="1195"/>
        <v/>
      </c>
      <c r="CY338" s="314" t="str">
        <f t="shared" si="1196"/>
        <v/>
      </c>
      <c r="CZ338" s="314" t="str">
        <f t="shared" si="1197"/>
        <v/>
      </c>
      <c r="DA338" s="314" t="str">
        <f t="shared" si="1198"/>
        <v/>
      </c>
      <c r="DB338" s="315">
        <f t="shared" si="1199"/>
        <v>9.2954990215264183E-3</v>
      </c>
      <c r="DC338" s="315">
        <f t="shared" si="1200"/>
        <v>1.8590998043052837E-2</v>
      </c>
      <c r="DD338" s="315">
        <f t="shared" si="1201"/>
        <v>2.6365415406511297E-2</v>
      </c>
      <c r="DE338" s="314">
        <f t="shared" si="1202"/>
        <v>4.6477495107632091E-2</v>
      </c>
      <c r="DF338" s="314" t="str">
        <f t="shared" si="1203"/>
        <v/>
      </c>
      <c r="DG338" s="314" t="str">
        <f t="shared" si="1204"/>
        <v/>
      </c>
      <c r="DH338" s="314" t="str">
        <f t="shared" si="1205"/>
        <v/>
      </c>
      <c r="DI338" s="314" t="str">
        <f t="shared" si="1206"/>
        <v/>
      </c>
      <c r="DJ338" s="313" t="str">
        <f t="shared" si="1207"/>
        <v/>
      </c>
      <c r="DK338" s="312" t="str">
        <f t="shared" si="1208"/>
        <v/>
      </c>
      <c r="DL338" s="428">
        <f t="shared" si="1209"/>
        <v>4</v>
      </c>
      <c r="DM338" s="66">
        <f t="shared" si="1210"/>
        <v>4</v>
      </c>
      <c r="DN338" s="66">
        <f t="shared" si="1211"/>
        <v>7</v>
      </c>
      <c r="DO338" s="66">
        <f t="shared" si="1212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186"/>
        <v>4.666666666666667</v>
      </c>
      <c r="CA339" s="373">
        <f t="shared" si="1187"/>
        <v>2.3333333333333335</v>
      </c>
      <c r="CB339" s="373">
        <f t="shared" si="1188"/>
        <v>3.3333333333333335</v>
      </c>
      <c r="CC339" s="462">
        <f t="shared" si="1189"/>
        <v>4.5</v>
      </c>
      <c r="CD339" s="110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0" t="str">
        <f t="shared" si="1225"/>
        <v/>
      </c>
      <c r="CF339" s="1111" t="str">
        <f t="shared" si="1225"/>
        <v/>
      </c>
      <c r="CG339" s="1111" t="str">
        <f t="shared" si="1225"/>
        <v/>
      </c>
      <c r="CH339" s="1111" t="str">
        <f t="shared" si="1225"/>
        <v/>
      </c>
      <c r="CI339" s="1111" t="str">
        <f t="shared" si="1225"/>
        <v/>
      </c>
      <c r="CJ339" s="1111">
        <f t="shared" si="1225"/>
        <v>1</v>
      </c>
      <c r="CK339" s="1112">
        <f t="shared" si="1225"/>
        <v>1</v>
      </c>
      <c r="CL339" s="1112">
        <f t="shared" si="1225"/>
        <v>3</v>
      </c>
      <c r="CM339" s="1112">
        <f t="shared" si="1225"/>
        <v>10</v>
      </c>
      <c r="CN339" s="1111">
        <f t="shared" si="1225"/>
        <v>10</v>
      </c>
      <c r="CO339" s="1111" t="str">
        <f t="shared" si="1225"/>
        <v/>
      </c>
      <c r="CP339" s="1111" t="str">
        <f t="shared" si="1225"/>
        <v/>
      </c>
      <c r="CQ339" s="1111" t="str">
        <f t="shared" si="1225"/>
        <v/>
      </c>
      <c r="CR339" s="1111" t="str">
        <f t="shared" si="1225"/>
        <v/>
      </c>
      <c r="CS339" s="1110" t="str">
        <f t="shared" si="1225"/>
        <v/>
      </c>
      <c r="CT339" s="1113" t="str">
        <f t="shared" si="1225"/>
        <v/>
      </c>
      <c r="CU339" s="324" t="str">
        <f t="shared" si="1192"/>
        <v/>
      </c>
      <c r="CV339" s="325" t="str">
        <f t="shared" si="1193"/>
        <v/>
      </c>
      <c r="CW339" s="326" t="str">
        <f t="shared" si="1194"/>
        <v/>
      </c>
      <c r="CX339" s="326" t="str">
        <f t="shared" si="1195"/>
        <v/>
      </c>
      <c r="CY339" s="326" t="str">
        <f t="shared" si="1196"/>
        <v/>
      </c>
      <c r="CZ339" s="326" t="str">
        <f t="shared" si="1197"/>
        <v/>
      </c>
      <c r="DA339" s="326">
        <f t="shared" si="1198"/>
        <v>1</v>
      </c>
      <c r="DB339" s="327">
        <f t="shared" si="1199"/>
        <v>2</v>
      </c>
      <c r="DC339" s="327">
        <f t="shared" si="1200"/>
        <v>2</v>
      </c>
      <c r="DD339" s="327">
        <f t="shared" si="1201"/>
        <v>3</v>
      </c>
      <c r="DE339" s="326">
        <f t="shared" si="1202"/>
        <v>20</v>
      </c>
      <c r="DF339" s="326" t="str">
        <f t="shared" si="1203"/>
        <v/>
      </c>
      <c r="DG339" s="326" t="str">
        <f t="shared" si="1204"/>
        <v/>
      </c>
      <c r="DH339" s="326" t="str">
        <f t="shared" si="1205"/>
        <v/>
      </c>
      <c r="DI339" s="326" t="str">
        <f t="shared" si="1206"/>
        <v/>
      </c>
      <c r="DJ339" s="325" t="str">
        <f t="shared" si="1207"/>
        <v/>
      </c>
      <c r="DK339" s="324" t="str">
        <f t="shared" si="1208"/>
        <v/>
      </c>
      <c r="DL339" s="428">
        <f t="shared" si="1209"/>
        <v>5</v>
      </c>
      <c r="DM339" s="66">
        <f t="shared" si="1210"/>
        <v>5</v>
      </c>
      <c r="DN339" s="66">
        <f t="shared" si="1211"/>
        <v>8</v>
      </c>
      <c r="DO339" s="66">
        <f t="shared" si="1212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2"/>
      <c r="CE340" s="1153"/>
      <c r="CF340" s="1153"/>
      <c r="CG340" s="1153"/>
      <c r="CH340" s="1153"/>
      <c r="CI340" s="1153"/>
      <c r="CJ340" s="1153"/>
      <c r="CK340" s="1153"/>
      <c r="CL340" s="1153"/>
      <c r="CM340" s="1153"/>
      <c r="CN340" s="1153"/>
      <c r="CO340" s="1153"/>
      <c r="CP340" s="1153"/>
      <c r="CQ340" s="1153"/>
      <c r="CR340" s="1153"/>
      <c r="CS340" s="1153"/>
      <c r="CT340" s="1135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226">IF(DL341&lt;3,"",(SUM(B341:R341)-MIN(B341:R341)-MAX(B341:R341))/(DL341-2))</f>
        <v>5</v>
      </c>
      <c r="CA341" s="373">
        <f t="shared" ref="CA341:CA350" si="1227">IF(DM341&lt;3,"",(SUM(T341:AJ341)-MIN(T341:AJ341)-MAX(T341:AJ341))/(DM341-2))</f>
        <v>20</v>
      </c>
      <c r="CB341" s="373">
        <f t="shared" ref="CB341:CB349" si="1228">IF(DN341&lt;3,"",(SUM(AL341:BB341)-MIN(AL341:BB341)-MAX(AL341:BB341))/(DN341-2))</f>
        <v>40</v>
      </c>
      <c r="CC341" s="462">
        <f t="shared" ref="CC341:CC349" si="1229">IF(DO341&lt;3,"",(SUM(BD341:BT341)-MIN(BD341:BT341)-MAX(BD341:BT341))/(DO341-2))</f>
        <v>48.333333333333336</v>
      </c>
      <c r="CD341" s="1109" t="str">
        <f t="shared" ref="CD341:CS347" si="12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0" t="str">
        <f t="shared" si="1230"/>
        <v/>
      </c>
      <c r="CF341" s="1111" t="str">
        <f t="shared" si="1230"/>
        <v/>
      </c>
      <c r="CG341" s="1111" t="str">
        <f t="shared" si="1230"/>
        <v/>
      </c>
      <c r="CH341" s="1111" t="str">
        <f t="shared" si="1230"/>
        <v/>
      </c>
      <c r="CI341" s="1111" t="str">
        <f t="shared" si="1230"/>
        <v/>
      </c>
      <c r="CJ341" s="1111">
        <f t="shared" si="1230"/>
        <v>5</v>
      </c>
      <c r="CK341" s="1112">
        <f t="shared" si="1230"/>
        <v>5</v>
      </c>
      <c r="CL341" s="1112">
        <f t="shared" si="1230"/>
        <v>5</v>
      </c>
      <c r="CM341" s="1112">
        <f t="shared" si="1230"/>
        <v>5</v>
      </c>
      <c r="CN341" s="1111">
        <f t="shared" si="1230"/>
        <v>20</v>
      </c>
      <c r="CO341" s="1111" t="str">
        <f t="shared" si="1230"/>
        <v/>
      </c>
      <c r="CP341" s="1111" t="str">
        <f t="shared" si="1230"/>
        <v/>
      </c>
      <c r="CQ341" s="1111" t="str">
        <f t="shared" si="1230"/>
        <v/>
      </c>
      <c r="CR341" s="1111" t="str">
        <f t="shared" si="1230"/>
        <v/>
      </c>
      <c r="CS341" s="1110" t="str">
        <f t="shared" si="1230"/>
        <v/>
      </c>
      <c r="CT341" s="1113" t="str">
        <f t="shared" ref="CT341:CT347" si="12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249">COUNT(B341:R341)</f>
        <v>5</v>
      </c>
      <c r="DM341" s="66">
        <f t="shared" ref="DM341:DM350" si="1250">COUNT(T341:AJ341)</f>
        <v>4</v>
      </c>
      <c r="DN341" s="66">
        <f t="shared" ref="DN341:DN349" si="1251">COUNT(AL341:BB341)</f>
        <v>8</v>
      </c>
      <c r="DO341" s="66">
        <f t="shared" ref="DO341:DO349" si="1252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253">IF(B339="","",B339*B341)</f>
        <v>50</v>
      </c>
      <c r="C342" s="405">
        <f t="shared" si="1253"/>
        <v>50</v>
      </c>
      <c r="D342" s="405" t="str">
        <f t="shared" si="1253"/>
        <v/>
      </c>
      <c r="E342" s="405" t="str">
        <f t="shared" si="1253"/>
        <v/>
      </c>
      <c r="F342" s="405" t="str">
        <f t="shared" si="1253"/>
        <v/>
      </c>
      <c r="G342" s="405" t="str">
        <f t="shared" si="1253"/>
        <v/>
      </c>
      <c r="H342" s="405">
        <f t="shared" si="1253"/>
        <v>5</v>
      </c>
      <c r="I342" s="405">
        <f t="shared" si="1253"/>
        <v>15</v>
      </c>
      <c r="J342" s="405">
        <f t="shared" si="1253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254">IF(T339="","",T339*T341)</f>
        <v>60</v>
      </c>
      <c r="U342" s="405">
        <f t="shared" si="1254"/>
        <v>40</v>
      </c>
      <c r="V342" s="405">
        <f t="shared" si="1254"/>
        <v>40</v>
      </c>
      <c r="W342" s="405">
        <f t="shared" si="1254"/>
        <v>20</v>
      </c>
      <c r="X342" s="405" t="str">
        <f t="shared" si="1254"/>
        <v/>
      </c>
      <c r="Y342" s="405" t="str">
        <f t="shared" si="1254"/>
        <v/>
      </c>
      <c r="Z342" s="405" t="str">
        <f t="shared" si="1254"/>
        <v/>
      </c>
      <c r="AA342" s="405">
        <f t="shared" si="1254"/>
        <v>0</v>
      </c>
      <c r="AB342" s="405" t="str">
        <f t="shared" si="1254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255">IF(AL339="","",AL339*AL341)</f>
        <v>150</v>
      </c>
      <c r="AM342" s="405">
        <f t="shared" si="1255"/>
        <v>200</v>
      </c>
      <c r="AN342" s="405">
        <f t="shared" si="1255"/>
        <v>40</v>
      </c>
      <c r="AO342" s="405">
        <f t="shared" si="1255"/>
        <v>200</v>
      </c>
      <c r="AP342" s="405" t="str">
        <f t="shared" si="1255"/>
        <v/>
      </c>
      <c r="AQ342" s="405">
        <f t="shared" si="1255"/>
        <v>250</v>
      </c>
      <c r="AR342" s="405">
        <f t="shared" si="1255"/>
        <v>120</v>
      </c>
      <c r="AS342" s="405">
        <f t="shared" si="1255"/>
        <v>40</v>
      </c>
      <c r="AT342" s="405">
        <f t="shared" si="1255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256">IF(BD339="","",BD339*BD341)</f>
        <v>50</v>
      </c>
      <c r="BE342" s="405">
        <f t="shared" si="1256"/>
        <v>50</v>
      </c>
      <c r="BF342" s="405">
        <f t="shared" si="1256"/>
        <v>300</v>
      </c>
      <c r="BG342" s="405" t="str">
        <f t="shared" si="1256"/>
        <v/>
      </c>
      <c r="BH342" s="405">
        <f t="shared" si="1256"/>
        <v>500</v>
      </c>
      <c r="BI342" s="405">
        <f t="shared" si="1256"/>
        <v>80</v>
      </c>
      <c r="BJ342" s="405">
        <f t="shared" si="1256"/>
        <v>160</v>
      </c>
      <c r="BK342" s="405">
        <f t="shared" si="1256"/>
        <v>350</v>
      </c>
      <c r="BL342" s="405">
        <f t="shared" si="1256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226"/>
        <v>28.333333333333332</v>
      </c>
      <c r="CA342" s="373">
        <f t="shared" si="1227"/>
        <v>33.333333333333336</v>
      </c>
      <c r="CB342" s="373">
        <f t="shared" si="1228"/>
        <v>135</v>
      </c>
      <c r="CC342" s="462">
        <f t="shared" si="1229"/>
        <v>181.66666666666666</v>
      </c>
      <c r="CD342" s="1109" t="str">
        <f t="shared" si="1230"/>
        <v/>
      </c>
      <c r="CE342" s="1110" t="str">
        <f t="shared" si="1230"/>
        <v/>
      </c>
      <c r="CF342" s="1111" t="str">
        <f t="shared" si="1230"/>
        <v/>
      </c>
      <c r="CG342" s="1111" t="str">
        <f t="shared" si="1230"/>
        <v/>
      </c>
      <c r="CH342" s="1111" t="str">
        <f t="shared" si="1230"/>
        <v/>
      </c>
      <c r="CI342" s="1111" t="str">
        <f t="shared" si="1230"/>
        <v/>
      </c>
      <c r="CJ342" s="1111">
        <f t="shared" si="1230"/>
        <v>5</v>
      </c>
      <c r="CK342" s="1112">
        <f t="shared" si="1230"/>
        <v>15</v>
      </c>
      <c r="CL342" s="1112">
        <f t="shared" si="1230"/>
        <v>20</v>
      </c>
      <c r="CM342" s="1112">
        <f t="shared" si="1230"/>
        <v>50</v>
      </c>
      <c r="CN342" s="1111">
        <f t="shared" si="1230"/>
        <v>50</v>
      </c>
      <c r="CO342" s="1111" t="str">
        <f t="shared" si="1230"/>
        <v/>
      </c>
      <c r="CP342" s="1111" t="str">
        <f t="shared" si="1230"/>
        <v/>
      </c>
      <c r="CQ342" s="1111" t="str">
        <f t="shared" si="1230"/>
        <v/>
      </c>
      <c r="CR342" s="1111" t="str">
        <f t="shared" si="1230"/>
        <v/>
      </c>
      <c r="CS342" s="1110" t="str">
        <f t="shared" si="1230"/>
        <v/>
      </c>
      <c r="CT342" s="1113" t="str">
        <f t="shared" si="1231"/>
        <v/>
      </c>
      <c r="CU342" s="324" t="str">
        <f t="shared" si="1232"/>
        <v/>
      </c>
      <c r="CV342" s="325" t="str">
        <f t="shared" si="1233"/>
        <v/>
      </c>
      <c r="CW342" s="326" t="str">
        <f t="shared" si="1234"/>
        <v/>
      </c>
      <c r="CX342" s="326" t="str">
        <f t="shared" si="1235"/>
        <v/>
      </c>
      <c r="CY342" s="326" t="str">
        <f t="shared" si="1236"/>
        <v/>
      </c>
      <c r="CZ342" s="326" t="str">
        <f t="shared" si="1237"/>
        <v/>
      </c>
      <c r="DA342" s="326">
        <f t="shared" si="1238"/>
        <v>0</v>
      </c>
      <c r="DB342" s="327">
        <f t="shared" si="1239"/>
        <v>20</v>
      </c>
      <c r="DC342" s="327">
        <f t="shared" si="1240"/>
        <v>40</v>
      </c>
      <c r="DD342" s="327">
        <f t="shared" si="1241"/>
        <v>40</v>
      </c>
      <c r="DE342" s="326">
        <f t="shared" si="1242"/>
        <v>60</v>
      </c>
      <c r="DF342" s="326" t="str">
        <f t="shared" si="1243"/>
        <v/>
      </c>
      <c r="DG342" s="326" t="str">
        <f t="shared" si="1244"/>
        <v/>
      </c>
      <c r="DH342" s="326" t="str">
        <f t="shared" si="1245"/>
        <v/>
      </c>
      <c r="DI342" s="326" t="str">
        <f t="shared" si="1246"/>
        <v/>
      </c>
      <c r="DJ342" s="325" t="str">
        <f t="shared" si="1247"/>
        <v/>
      </c>
      <c r="DK342" s="324" t="str">
        <f t="shared" si="1248"/>
        <v/>
      </c>
      <c r="DL342" s="428">
        <f t="shared" si="1249"/>
        <v>5</v>
      </c>
      <c r="DM342" s="66">
        <f t="shared" si="1250"/>
        <v>5</v>
      </c>
      <c r="DN342" s="66">
        <f t="shared" si="1251"/>
        <v>8</v>
      </c>
      <c r="DO342" s="66">
        <f t="shared" si="1252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257">5790*$K$1</f>
        <v>5790</v>
      </c>
      <c r="C343" s="476">
        <f t="shared" si="1257"/>
        <v>5790</v>
      </c>
      <c r="D343" s="476">
        <f t="shared" si="1257"/>
        <v>5790</v>
      </c>
      <c r="E343" s="476">
        <f t="shared" si="1257"/>
        <v>5790</v>
      </c>
      <c r="F343" s="476">
        <f t="shared" si="1257"/>
        <v>5790</v>
      </c>
      <c r="G343" s="476">
        <f t="shared" si="1257"/>
        <v>5790</v>
      </c>
      <c r="H343" s="476">
        <f t="shared" si="1257"/>
        <v>5790</v>
      </c>
      <c r="I343" s="476">
        <f t="shared" si="1257"/>
        <v>5790</v>
      </c>
      <c r="J343" s="476">
        <f t="shared" si="1257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258">5790*$K$1</f>
        <v>5790</v>
      </c>
      <c r="U343" s="476">
        <f t="shared" si="1258"/>
        <v>5790</v>
      </c>
      <c r="V343" s="476">
        <f t="shared" si="1258"/>
        <v>5790</v>
      </c>
      <c r="W343" s="476">
        <f t="shared" si="1258"/>
        <v>5790</v>
      </c>
      <c r="X343" s="476">
        <f t="shared" si="1258"/>
        <v>5790</v>
      </c>
      <c r="Y343" s="476">
        <f t="shared" si="1258"/>
        <v>5790</v>
      </c>
      <c r="Z343" s="476">
        <f t="shared" si="1258"/>
        <v>5790</v>
      </c>
      <c r="AA343" s="476">
        <f t="shared" si="1258"/>
        <v>5790</v>
      </c>
      <c r="AB343" s="476">
        <f t="shared" si="1258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259">5790*$K$1</f>
        <v>5790</v>
      </c>
      <c r="AM343" s="476">
        <f t="shared" si="1259"/>
        <v>5790</v>
      </c>
      <c r="AN343" s="476">
        <f t="shared" si="1259"/>
        <v>5790</v>
      </c>
      <c r="AO343" s="476">
        <f t="shared" si="1259"/>
        <v>5790</v>
      </c>
      <c r="AP343" s="476">
        <f t="shared" si="1259"/>
        <v>5790</v>
      </c>
      <c r="AQ343" s="476">
        <f t="shared" si="1259"/>
        <v>5790</v>
      </c>
      <c r="AR343" s="476">
        <f t="shared" si="1259"/>
        <v>5790</v>
      </c>
      <c r="AS343" s="476">
        <f t="shared" si="1259"/>
        <v>5790</v>
      </c>
      <c r="AT343" s="476">
        <f t="shared" si="1259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260">5790*$K$1</f>
        <v>5790</v>
      </c>
      <c r="BE343" s="476">
        <f t="shared" si="1260"/>
        <v>5790</v>
      </c>
      <c r="BF343" s="476">
        <f t="shared" si="1260"/>
        <v>5790</v>
      </c>
      <c r="BG343" s="476">
        <f t="shared" si="1260"/>
        <v>5790</v>
      </c>
      <c r="BH343" s="476">
        <f t="shared" si="1260"/>
        <v>5790</v>
      </c>
      <c r="BI343" s="476">
        <f t="shared" si="1260"/>
        <v>5790</v>
      </c>
      <c r="BJ343" s="476">
        <f t="shared" si="1260"/>
        <v>5790</v>
      </c>
      <c r="BK343" s="476">
        <f t="shared" si="1260"/>
        <v>5790</v>
      </c>
      <c r="BL343" s="476">
        <f t="shared" si="1260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226"/>
        <v>5790</v>
      </c>
      <c r="CA343" s="373">
        <f t="shared" si="1227"/>
        <v>5790</v>
      </c>
      <c r="CB343" s="373">
        <f t="shared" si="1228"/>
        <v>5790</v>
      </c>
      <c r="CC343" s="462">
        <f t="shared" si="1229"/>
        <v>5790</v>
      </c>
      <c r="CD343" s="1109" t="str">
        <f t="shared" si="1230"/>
        <v/>
      </c>
      <c r="CE343" s="1110" t="str">
        <f t="shared" si="1230"/>
        <v/>
      </c>
      <c r="CF343" s="1111" t="str">
        <f t="shared" si="1230"/>
        <v/>
      </c>
      <c r="CG343" s="1111" t="str">
        <f t="shared" si="1230"/>
        <v/>
      </c>
      <c r="CH343" s="1111">
        <f t="shared" si="1230"/>
        <v>5790</v>
      </c>
      <c r="CI343" s="1111">
        <f t="shared" si="1230"/>
        <v>5790</v>
      </c>
      <c r="CJ343" s="1111">
        <f t="shared" si="1230"/>
        <v>5790</v>
      </c>
      <c r="CK343" s="1112">
        <f t="shared" si="1230"/>
        <v>5790</v>
      </c>
      <c r="CL343" s="1112">
        <f t="shared" si="1230"/>
        <v>5790</v>
      </c>
      <c r="CM343" s="1112">
        <f t="shared" si="1230"/>
        <v>5790</v>
      </c>
      <c r="CN343" s="1111">
        <f t="shared" si="1230"/>
        <v>5790</v>
      </c>
      <c r="CO343" s="1111">
        <f t="shared" si="1230"/>
        <v>5790</v>
      </c>
      <c r="CP343" s="1111">
        <f t="shared" si="1230"/>
        <v>5790</v>
      </c>
      <c r="CQ343" s="1111" t="str">
        <f t="shared" si="1230"/>
        <v/>
      </c>
      <c r="CR343" s="1111" t="str">
        <f t="shared" si="1230"/>
        <v/>
      </c>
      <c r="CS343" s="1110" t="str">
        <f t="shared" si="1230"/>
        <v/>
      </c>
      <c r="CT343" s="1113" t="str">
        <f t="shared" si="1231"/>
        <v/>
      </c>
      <c r="CU343" s="324" t="str">
        <f t="shared" si="1232"/>
        <v/>
      </c>
      <c r="CV343" s="325" t="str">
        <f t="shared" si="1233"/>
        <v/>
      </c>
      <c r="CW343" s="326" t="str">
        <f t="shared" si="1234"/>
        <v/>
      </c>
      <c r="CX343" s="326" t="str">
        <f t="shared" si="1235"/>
        <v/>
      </c>
      <c r="CY343" s="326">
        <f t="shared" si="1236"/>
        <v>5790</v>
      </c>
      <c r="CZ343" s="326">
        <f t="shared" si="1237"/>
        <v>5790</v>
      </c>
      <c r="DA343" s="326">
        <f t="shared" si="1238"/>
        <v>5790</v>
      </c>
      <c r="DB343" s="327">
        <f t="shared" si="1239"/>
        <v>5790</v>
      </c>
      <c r="DC343" s="327">
        <f t="shared" si="1240"/>
        <v>5790</v>
      </c>
      <c r="DD343" s="327">
        <f t="shared" si="1241"/>
        <v>5790</v>
      </c>
      <c r="DE343" s="326">
        <f t="shared" si="1242"/>
        <v>5790</v>
      </c>
      <c r="DF343" s="326">
        <f t="shared" si="1243"/>
        <v>5790</v>
      </c>
      <c r="DG343" s="326">
        <f t="shared" si="1244"/>
        <v>5790</v>
      </c>
      <c r="DH343" s="326" t="str">
        <f t="shared" si="1245"/>
        <v/>
      </c>
      <c r="DI343" s="326" t="str">
        <f t="shared" si="1246"/>
        <v/>
      </c>
      <c r="DJ343" s="325" t="str">
        <f t="shared" si="1247"/>
        <v/>
      </c>
      <c r="DK343" s="324" t="str">
        <f t="shared" si="1248"/>
        <v/>
      </c>
      <c r="DL343" s="428">
        <f t="shared" si="1249"/>
        <v>9</v>
      </c>
      <c r="DM343" s="66">
        <f t="shared" si="1250"/>
        <v>9</v>
      </c>
      <c r="DN343" s="66">
        <f t="shared" si="1251"/>
        <v>9</v>
      </c>
      <c r="DO343" s="66">
        <f t="shared" si="1252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226"/>
        <v/>
      </c>
      <c r="CA344" s="373" t="str">
        <f t="shared" si="1227"/>
        <v/>
      </c>
      <c r="CB344" s="373">
        <f t="shared" si="1228"/>
        <v>68.333333333333329</v>
      </c>
      <c r="CC344" s="462">
        <f t="shared" si="1229"/>
        <v>105</v>
      </c>
      <c r="CD344" s="1109" t="str">
        <f t="shared" si="1230"/>
        <v/>
      </c>
      <c r="CE344" s="1110" t="str">
        <f t="shared" si="1230"/>
        <v/>
      </c>
      <c r="CF344" s="1111" t="str">
        <f t="shared" si="1230"/>
        <v/>
      </c>
      <c r="CG344" s="1111" t="str">
        <f t="shared" si="1230"/>
        <v/>
      </c>
      <c r="CH344" s="1111" t="str">
        <f t="shared" si="1230"/>
        <v/>
      </c>
      <c r="CI344" s="1111" t="str">
        <f t="shared" si="1230"/>
        <v/>
      </c>
      <c r="CJ344" s="1111" t="str">
        <f t="shared" si="1230"/>
        <v/>
      </c>
      <c r="CK344" s="1112" t="str">
        <f t="shared" si="1230"/>
        <v/>
      </c>
      <c r="CL344" s="1112">
        <f t="shared" si="1230"/>
        <v>5</v>
      </c>
      <c r="CM344" s="1112" t="str">
        <f t="shared" si="1230"/>
        <v/>
      </c>
      <c r="CN344" s="1111" t="str">
        <f t="shared" si="1230"/>
        <v/>
      </c>
      <c r="CO344" s="1111" t="str">
        <f t="shared" si="1230"/>
        <v/>
      </c>
      <c r="CP344" s="1111" t="str">
        <f t="shared" si="1230"/>
        <v/>
      </c>
      <c r="CQ344" s="1111" t="str">
        <f t="shared" si="1230"/>
        <v/>
      </c>
      <c r="CR344" s="1111" t="str">
        <f t="shared" si="1230"/>
        <v/>
      </c>
      <c r="CS344" s="1110" t="str">
        <f t="shared" si="1230"/>
        <v/>
      </c>
      <c r="CT344" s="1113" t="str">
        <f t="shared" si="1231"/>
        <v/>
      </c>
      <c r="CU344" s="324" t="str">
        <f t="shared" si="1232"/>
        <v/>
      </c>
      <c r="CV344" s="325" t="str">
        <f t="shared" si="1233"/>
        <v/>
      </c>
      <c r="CW344" s="326" t="str">
        <f t="shared" si="1234"/>
        <v/>
      </c>
      <c r="CX344" s="326" t="str">
        <f t="shared" si="1235"/>
        <v/>
      </c>
      <c r="CY344" s="326" t="str">
        <f t="shared" si="1236"/>
        <v/>
      </c>
      <c r="CZ344" s="326" t="str">
        <f t="shared" si="1237"/>
        <v/>
      </c>
      <c r="DA344" s="326" t="str">
        <f t="shared" si="1238"/>
        <v/>
      </c>
      <c r="DB344" s="327" t="str">
        <f t="shared" si="1239"/>
        <v/>
      </c>
      <c r="DC344" s="327">
        <f t="shared" si="1240"/>
        <v>5</v>
      </c>
      <c r="DD344" s="327">
        <f t="shared" si="1241"/>
        <v>20</v>
      </c>
      <c r="DE344" s="326" t="str">
        <f t="shared" si="1242"/>
        <v/>
      </c>
      <c r="DF344" s="326" t="str">
        <f t="shared" si="1243"/>
        <v/>
      </c>
      <c r="DG344" s="326" t="str">
        <f t="shared" si="1244"/>
        <v/>
      </c>
      <c r="DH344" s="326" t="str">
        <f t="shared" si="1245"/>
        <v/>
      </c>
      <c r="DI344" s="326" t="str">
        <f t="shared" si="1246"/>
        <v/>
      </c>
      <c r="DJ344" s="325" t="str">
        <f t="shared" si="1247"/>
        <v/>
      </c>
      <c r="DK344" s="324" t="str">
        <f t="shared" si="1248"/>
        <v/>
      </c>
      <c r="DL344" s="428">
        <f t="shared" si="1249"/>
        <v>1</v>
      </c>
      <c r="DM344" s="66">
        <f t="shared" si="1250"/>
        <v>2</v>
      </c>
      <c r="DN344" s="66">
        <f t="shared" si="1251"/>
        <v>8</v>
      </c>
      <c r="DO344" s="66">
        <f t="shared" si="1252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226"/>
        <v/>
      </c>
      <c r="CA345" s="373" t="str">
        <f t="shared" si="1227"/>
        <v/>
      </c>
      <c r="CB345" s="373">
        <f t="shared" si="1228"/>
        <v>4.6000000000000005</v>
      </c>
      <c r="CC345" s="462">
        <f t="shared" si="1229"/>
        <v>4</v>
      </c>
      <c r="CD345" s="1109" t="str">
        <f t="shared" si="1230"/>
        <v/>
      </c>
      <c r="CE345" s="1110" t="str">
        <f t="shared" si="1230"/>
        <v/>
      </c>
      <c r="CF345" s="1111" t="str">
        <f t="shared" si="1230"/>
        <v/>
      </c>
      <c r="CG345" s="1111" t="str">
        <f t="shared" si="1230"/>
        <v/>
      </c>
      <c r="CH345" s="1111" t="str">
        <f t="shared" si="1230"/>
        <v/>
      </c>
      <c r="CI345" s="1111" t="str">
        <f t="shared" si="1230"/>
        <v/>
      </c>
      <c r="CJ345" s="1111" t="str">
        <f t="shared" si="1230"/>
        <v/>
      </c>
      <c r="CK345" s="1112" t="str">
        <f t="shared" si="1230"/>
        <v/>
      </c>
      <c r="CL345" s="1112">
        <f t="shared" si="1230"/>
        <v>5</v>
      </c>
      <c r="CM345" s="1112" t="str">
        <f t="shared" si="1230"/>
        <v/>
      </c>
      <c r="CN345" s="1111" t="str">
        <f t="shared" si="1230"/>
        <v/>
      </c>
      <c r="CO345" s="1111" t="str">
        <f t="shared" si="1230"/>
        <v/>
      </c>
      <c r="CP345" s="1111" t="str">
        <f t="shared" si="1230"/>
        <v/>
      </c>
      <c r="CQ345" s="1111" t="str">
        <f t="shared" si="1230"/>
        <v/>
      </c>
      <c r="CR345" s="1111" t="str">
        <f t="shared" si="1230"/>
        <v/>
      </c>
      <c r="CS345" s="1110" t="str">
        <f t="shared" si="1230"/>
        <v/>
      </c>
      <c r="CT345" s="1113" t="str">
        <f t="shared" si="1231"/>
        <v/>
      </c>
      <c r="CU345" s="324" t="str">
        <f t="shared" si="1232"/>
        <v/>
      </c>
      <c r="CV345" s="325" t="str">
        <f t="shared" si="1233"/>
        <v/>
      </c>
      <c r="CW345" s="326" t="str">
        <f t="shared" si="1234"/>
        <v/>
      </c>
      <c r="CX345" s="326" t="str">
        <f t="shared" si="1235"/>
        <v/>
      </c>
      <c r="CY345" s="326" t="str">
        <f t="shared" si="1236"/>
        <v/>
      </c>
      <c r="CZ345" s="326" t="str">
        <f t="shared" si="1237"/>
        <v/>
      </c>
      <c r="DA345" s="326" t="str">
        <f t="shared" si="1238"/>
        <v/>
      </c>
      <c r="DB345" s="327" t="str">
        <f t="shared" si="1239"/>
        <v/>
      </c>
      <c r="DC345" s="327">
        <f t="shared" si="1240"/>
        <v>3</v>
      </c>
      <c r="DD345" s="327">
        <f t="shared" si="1241"/>
        <v>3</v>
      </c>
      <c r="DE345" s="326" t="str">
        <f t="shared" si="1242"/>
        <v/>
      </c>
      <c r="DF345" s="326" t="str">
        <f t="shared" si="1243"/>
        <v/>
      </c>
      <c r="DG345" s="326" t="str">
        <f t="shared" si="1244"/>
        <v/>
      </c>
      <c r="DH345" s="326" t="str">
        <f t="shared" si="1245"/>
        <v/>
      </c>
      <c r="DI345" s="326" t="str">
        <f t="shared" si="1246"/>
        <v/>
      </c>
      <c r="DJ345" s="325" t="str">
        <f t="shared" si="1247"/>
        <v/>
      </c>
      <c r="DK345" s="324" t="str">
        <f t="shared" si="1248"/>
        <v/>
      </c>
      <c r="DL345" s="428">
        <f t="shared" si="1249"/>
        <v>1</v>
      </c>
      <c r="DM345" s="66">
        <f t="shared" si="1250"/>
        <v>2</v>
      </c>
      <c r="DN345" s="66">
        <f t="shared" si="1251"/>
        <v>8</v>
      </c>
      <c r="DO345" s="66">
        <f t="shared" si="1252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261">IF(B344="","",B344*B345)</f>
        <v/>
      </c>
      <c r="C346" s="405" t="str">
        <f t="shared" si="1261"/>
        <v/>
      </c>
      <c r="D346" s="405" t="str">
        <f t="shared" si="1261"/>
        <v/>
      </c>
      <c r="E346" s="405" t="str">
        <f t="shared" si="1261"/>
        <v/>
      </c>
      <c r="F346" s="405" t="str">
        <f t="shared" si="1261"/>
        <v/>
      </c>
      <c r="G346" s="405" t="str">
        <f t="shared" si="1261"/>
        <v/>
      </c>
      <c r="H346" s="405" t="str">
        <f t="shared" si="1261"/>
        <v/>
      </c>
      <c r="I346" s="405">
        <f t="shared" si="1261"/>
        <v>25</v>
      </c>
      <c r="J346" s="405" t="str">
        <f t="shared" si="1261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262">IF(T344="","",T344*T345)</f>
        <v>15</v>
      </c>
      <c r="U346" s="405" t="str">
        <f t="shared" si="1262"/>
        <v/>
      </c>
      <c r="V346" s="405">
        <f t="shared" si="1262"/>
        <v>60</v>
      </c>
      <c r="W346" s="405" t="str">
        <f t="shared" si="1262"/>
        <v/>
      </c>
      <c r="X346" s="405" t="str">
        <f t="shared" si="1262"/>
        <v/>
      </c>
      <c r="Y346" s="405" t="str">
        <f t="shared" si="1262"/>
        <v/>
      </c>
      <c r="Z346" s="405" t="str">
        <f t="shared" si="1262"/>
        <v/>
      </c>
      <c r="AA346" s="405" t="str">
        <f t="shared" si="1262"/>
        <v/>
      </c>
      <c r="AB346" s="405" t="str">
        <f t="shared" si="1262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263">IF(AL344="","",AL344*AL345)</f>
        <v>800</v>
      </c>
      <c r="AM346" s="405">
        <f t="shared" si="1263"/>
        <v>180</v>
      </c>
      <c r="AN346" s="405">
        <f t="shared" si="1263"/>
        <v>60</v>
      </c>
      <c r="AO346" s="405">
        <f t="shared" si="1263"/>
        <v>900</v>
      </c>
      <c r="AP346" s="405" t="str">
        <f t="shared" si="1263"/>
        <v/>
      </c>
      <c r="AQ346" s="405">
        <f t="shared" si="1263"/>
        <v>600</v>
      </c>
      <c r="AR346" s="405">
        <f t="shared" si="1263"/>
        <v>240</v>
      </c>
      <c r="AS346" s="405">
        <f t="shared" si="1263"/>
        <v>50</v>
      </c>
      <c r="AT346" s="405">
        <f t="shared" si="1263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264">IF(BD344="","",BD344*BD345)</f>
        <v>50</v>
      </c>
      <c r="BE346" s="405" t="str">
        <f t="shared" si="1264"/>
        <v/>
      </c>
      <c r="BF346" s="405">
        <f t="shared" si="1264"/>
        <v>900</v>
      </c>
      <c r="BG346" s="405" t="str">
        <f t="shared" si="1264"/>
        <v/>
      </c>
      <c r="BH346" s="405">
        <f t="shared" si="1264"/>
        <v>2250</v>
      </c>
      <c r="BI346" s="405">
        <f t="shared" si="1264"/>
        <v>60</v>
      </c>
      <c r="BJ346" s="405">
        <f t="shared" si="1264"/>
        <v>480</v>
      </c>
      <c r="BK346" s="405">
        <f t="shared" si="1264"/>
        <v>1200</v>
      </c>
      <c r="BL346" s="405" t="str">
        <f t="shared" si="1264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226"/>
        <v/>
      </c>
      <c r="CA346" s="373" t="str">
        <f t="shared" si="1227"/>
        <v/>
      </c>
      <c r="CB346" s="373">
        <f t="shared" si="1228"/>
        <v>355</v>
      </c>
      <c r="CC346" s="462">
        <f t="shared" si="1229"/>
        <v>660</v>
      </c>
      <c r="CD346" s="1109" t="str">
        <f t="shared" si="1230"/>
        <v/>
      </c>
      <c r="CE346" s="1110" t="str">
        <f t="shared" si="1230"/>
        <v/>
      </c>
      <c r="CF346" s="1111" t="str">
        <f t="shared" si="1230"/>
        <v/>
      </c>
      <c r="CG346" s="1111" t="str">
        <f t="shared" si="1230"/>
        <v/>
      </c>
      <c r="CH346" s="1111" t="str">
        <f t="shared" si="1230"/>
        <v/>
      </c>
      <c r="CI346" s="1111" t="str">
        <f t="shared" si="1230"/>
        <v/>
      </c>
      <c r="CJ346" s="1111" t="str">
        <f t="shared" si="1230"/>
        <v/>
      </c>
      <c r="CK346" s="1112" t="str">
        <f t="shared" si="1230"/>
        <v/>
      </c>
      <c r="CL346" s="1112">
        <f t="shared" si="1230"/>
        <v>25</v>
      </c>
      <c r="CM346" s="1112" t="str">
        <f t="shared" si="1230"/>
        <v/>
      </c>
      <c r="CN346" s="1111" t="str">
        <f t="shared" si="1230"/>
        <v/>
      </c>
      <c r="CO346" s="1111" t="str">
        <f t="shared" si="1230"/>
        <v/>
      </c>
      <c r="CP346" s="1111" t="str">
        <f t="shared" si="1230"/>
        <v/>
      </c>
      <c r="CQ346" s="1111" t="str">
        <f t="shared" si="1230"/>
        <v/>
      </c>
      <c r="CR346" s="1111" t="str">
        <f t="shared" si="1230"/>
        <v/>
      </c>
      <c r="CS346" s="1110" t="str">
        <f t="shared" si="1230"/>
        <v/>
      </c>
      <c r="CT346" s="1113" t="str">
        <f t="shared" si="1231"/>
        <v/>
      </c>
      <c r="CU346" s="324" t="str">
        <f t="shared" si="1232"/>
        <v/>
      </c>
      <c r="CV346" s="325" t="str">
        <f t="shared" si="1233"/>
        <v/>
      </c>
      <c r="CW346" s="326" t="str">
        <f t="shared" si="1234"/>
        <v/>
      </c>
      <c r="CX346" s="326" t="str">
        <f t="shared" si="1235"/>
        <v/>
      </c>
      <c r="CY346" s="326" t="str">
        <f t="shared" si="1236"/>
        <v/>
      </c>
      <c r="CZ346" s="326" t="str">
        <f t="shared" si="1237"/>
        <v/>
      </c>
      <c r="DA346" s="326" t="str">
        <f t="shared" si="1238"/>
        <v/>
      </c>
      <c r="DB346" s="327" t="str">
        <f t="shared" si="1239"/>
        <v/>
      </c>
      <c r="DC346" s="327">
        <f t="shared" si="1240"/>
        <v>15</v>
      </c>
      <c r="DD346" s="327">
        <f t="shared" si="1241"/>
        <v>60</v>
      </c>
      <c r="DE346" s="326" t="str">
        <f t="shared" si="1242"/>
        <v/>
      </c>
      <c r="DF346" s="326" t="str">
        <f t="shared" si="1243"/>
        <v/>
      </c>
      <c r="DG346" s="326" t="str">
        <f t="shared" si="1244"/>
        <v/>
      </c>
      <c r="DH346" s="326" t="str">
        <f t="shared" si="1245"/>
        <v/>
      </c>
      <c r="DI346" s="326" t="str">
        <f t="shared" si="1246"/>
        <v/>
      </c>
      <c r="DJ346" s="325" t="str">
        <f t="shared" si="1247"/>
        <v/>
      </c>
      <c r="DK346" s="324" t="str">
        <f t="shared" si="1248"/>
        <v/>
      </c>
      <c r="DL346" s="428">
        <f t="shared" si="1249"/>
        <v>1</v>
      </c>
      <c r="DM346" s="66">
        <f t="shared" si="1250"/>
        <v>2</v>
      </c>
      <c r="DN346" s="66">
        <f t="shared" si="1251"/>
        <v>8</v>
      </c>
      <c r="DO346" s="66">
        <f t="shared" si="1252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226"/>
        <v>10</v>
      </c>
      <c r="CA347" s="373" t="str">
        <f t="shared" si="1227"/>
        <v/>
      </c>
      <c r="CB347" s="373">
        <f t="shared" si="1228"/>
        <v>20</v>
      </c>
      <c r="CC347" s="462">
        <f t="shared" si="1229"/>
        <v>16.666666666666668</v>
      </c>
      <c r="CD347" s="1109" t="str">
        <f t="shared" si="1230"/>
        <v/>
      </c>
      <c r="CE347" s="1110" t="str">
        <f t="shared" si="1230"/>
        <v/>
      </c>
      <c r="CF347" s="1111" t="str">
        <f t="shared" si="1230"/>
        <v/>
      </c>
      <c r="CG347" s="1111" t="str">
        <f t="shared" si="1230"/>
        <v/>
      </c>
      <c r="CH347" s="1111" t="str">
        <f t="shared" si="1230"/>
        <v/>
      </c>
      <c r="CI347" s="1111" t="str">
        <f t="shared" si="1230"/>
        <v/>
      </c>
      <c r="CJ347" s="1111" t="str">
        <f t="shared" si="1230"/>
        <v/>
      </c>
      <c r="CK347" s="1112">
        <f t="shared" si="1230"/>
        <v>5</v>
      </c>
      <c r="CL347" s="1112">
        <f t="shared" si="1230"/>
        <v>10</v>
      </c>
      <c r="CM347" s="1112">
        <f t="shared" si="1230"/>
        <v>10</v>
      </c>
      <c r="CN347" s="1111" t="str">
        <f t="shared" si="1230"/>
        <v/>
      </c>
      <c r="CO347" s="1111" t="str">
        <f t="shared" si="1230"/>
        <v/>
      </c>
      <c r="CP347" s="1111" t="str">
        <f t="shared" si="1230"/>
        <v/>
      </c>
      <c r="CQ347" s="1111" t="str">
        <f t="shared" si="1230"/>
        <v/>
      </c>
      <c r="CR347" s="1111" t="str">
        <f t="shared" si="1230"/>
        <v/>
      </c>
      <c r="CS347" s="1110" t="str">
        <f t="shared" si="1230"/>
        <v/>
      </c>
      <c r="CT347" s="1113" t="str">
        <f t="shared" si="1231"/>
        <v/>
      </c>
      <c r="CU347" s="324" t="str">
        <f t="shared" si="1232"/>
        <v/>
      </c>
      <c r="CV347" s="325" t="str">
        <f t="shared" si="1233"/>
        <v/>
      </c>
      <c r="CW347" s="326" t="str">
        <f t="shared" si="1234"/>
        <v/>
      </c>
      <c r="CX347" s="326" t="str">
        <f t="shared" si="1235"/>
        <v/>
      </c>
      <c r="CY347" s="326" t="str">
        <f t="shared" si="1236"/>
        <v/>
      </c>
      <c r="CZ347" s="326" t="str">
        <f t="shared" si="1237"/>
        <v/>
      </c>
      <c r="DA347" s="326" t="str">
        <f t="shared" si="1238"/>
        <v/>
      </c>
      <c r="DB347" s="327" t="str">
        <f t="shared" si="1239"/>
        <v/>
      </c>
      <c r="DC347" s="327">
        <f t="shared" si="1240"/>
        <v>5</v>
      </c>
      <c r="DD347" s="327">
        <f t="shared" si="1241"/>
        <v>10</v>
      </c>
      <c r="DE347" s="326" t="str">
        <f t="shared" si="1242"/>
        <v/>
      </c>
      <c r="DF347" s="326" t="str">
        <f t="shared" si="1243"/>
        <v/>
      </c>
      <c r="DG347" s="326" t="str">
        <f t="shared" si="1244"/>
        <v/>
      </c>
      <c r="DH347" s="326" t="str">
        <f t="shared" si="1245"/>
        <v/>
      </c>
      <c r="DI347" s="326" t="str">
        <f t="shared" si="1246"/>
        <v/>
      </c>
      <c r="DJ347" s="325" t="str">
        <f t="shared" si="1247"/>
        <v/>
      </c>
      <c r="DK347" s="324" t="str">
        <f t="shared" si="1248"/>
        <v/>
      </c>
      <c r="DL347" s="428">
        <f t="shared" si="1249"/>
        <v>3</v>
      </c>
      <c r="DM347" s="66">
        <f t="shared" si="1250"/>
        <v>2</v>
      </c>
      <c r="DN347" s="66">
        <f t="shared" si="1251"/>
        <v>4</v>
      </c>
      <c r="DO347" s="66">
        <f t="shared" si="1252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265">IF(B342="","",(B342-B344-B347)*B343/B$46/365/$G$1)</f>
        <v>3.0215264187866929E-2</v>
      </c>
      <c r="C348" s="408">
        <f t="shared" si="1265"/>
        <v>5.3955828906905222E-2</v>
      </c>
      <c r="D348" s="408" t="str">
        <f t="shared" si="1265"/>
        <v/>
      </c>
      <c r="E348" s="408" t="str">
        <f t="shared" si="1265"/>
        <v/>
      </c>
      <c r="F348" s="408" t="str">
        <f t="shared" si="1265"/>
        <v/>
      </c>
      <c r="G348" s="408" t="str">
        <f t="shared" si="1265"/>
        <v/>
      </c>
      <c r="H348" s="408">
        <f t="shared" si="1265"/>
        <v>6.2948467058056099E-3</v>
      </c>
      <c r="I348" s="408">
        <f t="shared" si="1265"/>
        <v>0</v>
      </c>
      <c r="J348" s="408">
        <f t="shared" si="1265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266">IF(T342="","",(T342-T344-T347)*T343/T$46/365/$G$1)</f>
        <v>4.2490215264187864E-2</v>
      </c>
      <c r="U348" s="408">
        <f t="shared" si="1266"/>
        <v>2.7468421988969937E-2</v>
      </c>
      <c r="V348" s="408">
        <f t="shared" si="1266"/>
        <v>1.258969341161122E-2</v>
      </c>
      <c r="W348" s="408">
        <f t="shared" si="1266"/>
        <v>1.5107632093933464E-2</v>
      </c>
      <c r="X348" s="408" t="str">
        <f t="shared" si="1266"/>
        <v/>
      </c>
      <c r="Y348" s="408" t="str">
        <f t="shared" si="1266"/>
        <v/>
      </c>
      <c r="Z348" s="408" t="str">
        <f t="shared" si="1266"/>
        <v/>
      </c>
      <c r="AA348" s="408">
        <f t="shared" si="1266"/>
        <v>-3.7769080234833661E-3</v>
      </c>
      <c r="AB348" s="408" t="str">
        <f t="shared" si="1266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267">IF(AL342="","",(AL342-AL344-AL347)*AL343/AL$46/365/$G$1)</f>
        <v>2.0601316491727448E-2</v>
      </c>
      <c r="AM348" s="408">
        <f t="shared" si="1267"/>
        <v>9.4422700587084143E-2</v>
      </c>
      <c r="AN348" s="408">
        <f t="shared" si="1267"/>
        <v>1.8884540117416831E-2</v>
      </c>
      <c r="AO348" s="408">
        <f t="shared" si="1267"/>
        <v>4.7211350293542072E-2</v>
      </c>
      <c r="AP348" s="408" t="str">
        <f t="shared" si="1267"/>
        <v/>
      </c>
      <c r="AQ348" s="408">
        <f t="shared" si="1267"/>
        <v>6.2948467058056096E-2</v>
      </c>
      <c r="AR348" s="408">
        <f t="shared" si="1267"/>
        <v>5.6653620352250487E-2</v>
      </c>
      <c r="AS348" s="408">
        <f t="shared" si="1267"/>
        <v>9.4422700587084157E-3</v>
      </c>
      <c r="AT348" s="408">
        <f t="shared" si="1267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268">IF(BD342="","",(BD342-BD344-BD347)*BD343/BD$46/365/$G$1)</f>
        <v>0</v>
      </c>
      <c r="BE348" s="408">
        <f t="shared" si="1268"/>
        <v>3.1474233529028048E-2</v>
      </c>
      <c r="BF348" s="408">
        <f t="shared" si="1268"/>
        <v>0</v>
      </c>
      <c r="BG348" s="408" t="str">
        <f t="shared" si="1268"/>
        <v/>
      </c>
      <c r="BH348" s="408">
        <f t="shared" si="1268"/>
        <v>6.7984344422700585E-2</v>
      </c>
      <c r="BI348" s="408">
        <f t="shared" si="1268"/>
        <v>5.9351411797595753E-2</v>
      </c>
      <c r="BJ348" s="408">
        <f t="shared" si="1268"/>
        <v>2.517938682322244E-2</v>
      </c>
      <c r="BK348" s="408">
        <f t="shared" si="1268"/>
        <v>8.1833007175472927E-2</v>
      </c>
      <c r="BL348" s="408">
        <f t="shared" si="1268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226"/>
        <v>1.7565619855248037E-2</v>
      </c>
      <c r="CA348" s="398">
        <f t="shared" si="1227"/>
        <v>1.8388582498171543E-2</v>
      </c>
      <c r="CB348" s="398">
        <f t="shared" si="1228"/>
        <v>4.0678062424637763E-2</v>
      </c>
      <c r="CC348" s="465">
        <f t="shared" si="1229"/>
        <v>4.4303730624669961E-2</v>
      </c>
      <c r="CD348" s="111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5" t="str">
        <f t="shared" ref="CE348:CT350" si="126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6" t="str">
        <f t="shared" si="1269"/>
        <v/>
      </c>
      <c r="CG348" s="1116" t="str">
        <f t="shared" si="1269"/>
        <v/>
      </c>
      <c r="CH348" s="1116" t="str">
        <f t="shared" si="1269"/>
        <v/>
      </c>
      <c r="CI348" s="1116" t="str">
        <f t="shared" si="1269"/>
        <v/>
      </c>
      <c r="CJ348" s="1116">
        <f t="shared" si="1269"/>
        <v>0</v>
      </c>
      <c r="CK348" s="1117">
        <f t="shared" si="1269"/>
        <v>6.2948467058056099E-3</v>
      </c>
      <c r="CL348" s="1117">
        <f t="shared" si="1269"/>
        <v>1.6186748672071569E-2</v>
      </c>
      <c r="CM348" s="1117">
        <f t="shared" si="1269"/>
        <v>3.0215264187866929E-2</v>
      </c>
      <c r="CN348" s="1116">
        <f t="shared" si="1269"/>
        <v>5.3955828906905222E-2</v>
      </c>
      <c r="CO348" s="1116" t="str">
        <f t="shared" si="1269"/>
        <v/>
      </c>
      <c r="CP348" s="1116" t="str">
        <f t="shared" si="1269"/>
        <v/>
      </c>
      <c r="CQ348" s="1116" t="str">
        <f t="shared" si="1269"/>
        <v/>
      </c>
      <c r="CR348" s="1116" t="str">
        <f t="shared" si="1269"/>
        <v/>
      </c>
      <c r="CS348" s="1115" t="str">
        <f t="shared" si="1269"/>
        <v/>
      </c>
      <c r="CT348" s="1118" t="str">
        <f t="shared" si="1269"/>
        <v/>
      </c>
      <c r="CU348" s="312" t="str">
        <f t="shared" si="1232"/>
        <v/>
      </c>
      <c r="CV348" s="313" t="str">
        <f t="shared" si="1233"/>
        <v/>
      </c>
      <c r="CW348" s="314" t="str">
        <f t="shared" si="1234"/>
        <v/>
      </c>
      <c r="CX348" s="314" t="str">
        <f t="shared" si="1235"/>
        <v/>
      </c>
      <c r="CY348" s="314" t="str">
        <f t="shared" si="1236"/>
        <v/>
      </c>
      <c r="CZ348" s="314" t="str">
        <f t="shared" si="1237"/>
        <v/>
      </c>
      <c r="DA348" s="314">
        <f t="shared" si="1238"/>
        <v>-3.7769080234833661E-3</v>
      </c>
      <c r="DB348" s="315">
        <f t="shared" si="1239"/>
        <v>1.258969341161122E-2</v>
      </c>
      <c r="DC348" s="315">
        <f t="shared" si="1240"/>
        <v>1.5107632093933464E-2</v>
      </c>
      <c r="DD348" s="315">
        <f t="shared" si="1241"/>
        <v>2.7468421988969937E-2</v>
      </c>
      <c r="DE348" s="314">
        <f t="shared" si="1242"/>
        <v>4.2490215264187864E-2</v>
      </c>
      <c r="DF348" s="314" t="str">
        <f t="shared" si="1243"/>
        <v/>
      </c>
      <c r="DG348" s="314" t="str">
        <f t="shared" si="1244"/>
        <v/>
      </c>
      <c r="DH348" s="314" t="str">
        <f t="shared" si="1245"/>
        <v/>
      </c>
      <c r="DI348" s="314" t="str">
        <f t="shared" si="1246"/>
        <v/>
      </c>
      <c r="DJ348" s="313" t="str">
        <f t="shared" si="1247"/>
        <v/>
      </c>
      <c r="DK348" s="312" t="str">
        <f t="shared" si="1248"/>
        <v/>
      </c>
      <c r="DL348" s="428">
        <f t="shared" si="1249"/>
        <v>5</v>
      </c>
      <c r="DM348" s="66">
        <f t="shared" si="1250"/>
        <v>5</v>
      </c>
      <c r="DN348" s="66">
        <f t="shared" si="1251"/>
        <v>8</v>
      </c>
      <c r="DO348" s="66">
        <f t="shared" si="1252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226"/>
        <v/>
      </c>
      <c r="CA349" s="373">
        <f t="shared" si="1227"/>
        <v>8</v>
      </c>
      <c r="CB349" s="373" t="str">
        <f t="shared" si="1228"/>
        <v/>
      </c>
      <c r="CC349" s="462">
        <f t="shared" si="1229"/>
        <v>8</v>
      </c>
      <c r="CD349" s="110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0" t="str">
        <f t="shared" ref="CE349:CS350" si="12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1" t="str">
        <f t="shared" si="1270"/>
        <v/>
      </c>
      <c r="CG349" s="1111" t="str">
        <f t="shared" si="1270"/>
        <v/>
      </c>
      <c r="CH349" s="1111" t="str">
        <f t="shared" si="1270"/>
        <v/>
      </c>
      <c r="CI349" s="1111" t="str">
        <f t="shared" si="1270"/>
        <v/>
      </c>
      <c r="CJ349" s="1111" t="str">
        <f t="shared" si="1270"/>
        <v/>
      </c>
      <c r="CK349" s="1112" t="str">
        <f t="shared" si="1270"/>
        <v/>
      </c>
      <c r="CL349" s="1112" t="str">
        <f t="shared" si="1270"/>
        <v/>
      </c>
      <c r="CM349" s="1112" t="str">
        <f t="shared" si="1270"/>
        <v/>
      </c>
      <c r="CN349" s="1111" t="str">
        <f t="shared" si="1270"/>
        <v/>
      </c>
      <c r="CO349" s="1111" t="str">
        <f t="shared" si="1270"/>
        <v/>
      </c>
      <c r="CP349" s="1111" t="str">
        <f t="shared" si="1270"/>
        <v/>
      </c>
      <c r="CQ349" s="1111" t="str">
        <f t="shared" si="1270"/>
        <v/>
      </c>
      <c r="CR349" s="1111" t="str">
        <f t="shared" si="1270"/>
        <v/>
      </c>
      <c r="CS349" s="1110" t="str">
        <f t="shared" si="1270"/>
        <v/>
      </c>
      <c r="CT349" s="1113" t="str">
        <f t="shared" si="1269"/>
        <v/>
      </c>
      <c r="CU349" s="324" t="str">
        <f t="shared" si="1232"/>
        <v/>
      </c>
      <c r="CV349" s="325" t="str">
        <f t="shared" si="1233"/>
        <v/>
      </c>
      <c r="CW349" s="326" t="str">
        <f t="shared" si="1234"/>
        <v/>
      </c>
      <c r="CX349" s="326" t="str">
        <f t="shared" si="1235"/>
        <v/>
      </c>
      <c r="CY349" s="326" t="str">
        <f t="shared" si="1236"/>
        <v/>
      </c>
      <c r="CZ349" s="326" t="str">
        <f t="shared" si="1237"/>
        <v/>
      </c>
      <c r="DA349" s="326" t="str">
        <f t="shared" si="1238"/>
        <v/>
      </c>
      <c r="DB349" s="327">
        <f t="shared" si="1239"/>
        <v>2</v>
      </c>
      <c r="DC349" s="327">
        <f t="shared" si="1240"/>
        <v>8</v>
      </c>
      <c r="DD349" s="327">
        <f t="shared" si="1241"/>
        <v>10</v>
      </c>
      <c r="DE349" s="326" t="str">
        <f t="shared" si="1242"/>
        <v/>
      </c>
      <c r="DF349" s="326" t="str">
        <f t="shared" si="1243"/>
        <v/>
      </c>
      <c r="DG349" s="326" t="str">
        <f t="shared" si="1244"/>
        <v/>
      </c>
      <c r="DH349" s="326" t="str">
        <f t="shared" si="1245"/>
        <v/>
      </c>
      <c r="DI349" s="326" t="str">
        <f t="shared" si="1246"/>
        <v/>
      </c>
      <c r="DJ349" s="325" t="str">
        <f t="shared" si="1247"/>
        <v/>
      </c>
      <c r="DK349" s="324" t="str">
        <f t="shared" si="1248"/>
        <v/>
      </c>
      <c r="DL349" s="428">
        <f t="shared" si="1249"/>
        <v>0</v>
      </c>
      <c r="DM349" s="66">
        <f t="shared" si="1250"/>
        <v>3</v>
      </c>
      <c r="DN349" s="66">
        <f t="shared" si="1251"/>
        <v>0</v>
      </c>
      <c r="DO349" s="66">
        <f t="shared" si="1252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227"/>
        <v/>
      </c>
      <c r="CB350" s="365"/>
      <c r="CC350" s="461"/>
      <c r="CD350" s="115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3" t="str">
        <f t="shared" si="1270"/>
        <v/>
      </c>
      <c r="CF350" s="1153" t="str">
        <f t="shared" si="1270"/>
        <v/>
      </c>
      <c r="CG350" s="1153" t="str">
        <f t="shared" si="1270"/>
        <v/>
      </c>
      <c r="CH350" s="1153" t="str">
        <f t="shared" si="1270"/>
        <v/>
      </c>
      <c r="CI350" s="1153" t="str">
        <f t="shared" si="1270"/>
        <v/>
      </c>
      <c r="CJ350" s="1153" t="str">
        <f t="shared" si="1270"/>
        <v/>
      </c>
      <c r="CK350" s="1153" t="str">
        <f t="shared" si="1270"/>
        <v/>
      </c>
      <c r="CL350" s="1153" t="str">
        <f t="shared" si="1270"/>
        <v/>
      </c>
      <c r="CM350" s="1153" t="str">
        <f t="shared" si="1270"/>
        <v/>
      </c>
      <c r="CN350" s="1153" t="str">
        <f t="shared" si="1270"/>
        <v/>
      </c>
      <c r="CO350" s="1153" t="str">
        <f t="shared" si="1270"/>
        <v/>
      </c>
      <c r="CP350" s="1153" t="str">
        <f t="shared" si="1270"/>
        <v/>
      </c>
      <c r="CQ350" s="1153" t="str">
        <f t="shared" si="1270"/>
        <v/>
      </c>
      <c r="CR350" s="1153" t="str">
        <f t="shared" si="1270"/>
        <v/>
      </c>
      <c r="CS350" s="1153" t="str">
        <f t="shared" si="1270"/>
        <v/>
      </c>
      <c r="CT350" s="1135" t="str">
        <f t="shared" si="1269"/>
        <v/>
      </c>
      <c r="CU350" s="495" t="str">
        <f t="shared" si="1232"/>
        <v/>
      </c>
      <c r="CV350" s="495" t="str">
        <f t="shared" si="1233"/>
        <v/>
      </c>
      <c r="CW350" s="495" t="str">
        <f t="shared" si="1234"/>
        <v/>
      </c>
      <c r="CX350" s="495" t="str">
        <f t="shared" si="1235"/>
        <v/>
      </c>
      <c r="CY350" s="495" t="str">
        <f t="shared" si="1236"/>
        <v/>
      </c>
      <c r="CZ350" s="495" t="str">
        <f t="shared" si="1237"/>
        <v/>
      </c>
      <c r="DA350" s="495" t="str">
        <f t="shared" si="1238"/>
        <v/>
      </c>
      <c r="DB350" s="495" t="str">
        <f t="shared" si="1239"/>
        <v/>
      </c>
      <c r="DC350" s="495" t="str">
        <f t="shared" si="1240"/>
        <v/>
      </c>
      <c r="DD350" s="495" t="str">
        <f t="shared" si="1241"/>
        <v/>
      </c>
      <c r="DE350" s="495" t="str">
        <f t="shared" si="1242"/>
        <v/>
      </c>
      <c r="DF350" s="495" t="str">
        <f t="shared" si="1243"/>
        <v/>
      </c>
      <c r="DG350" s="495" t="str">
        <f t="shared" si="1244"/>
        <v/>
      </c>
      <c r="DH350" s="495" t="str">
        <f t="shared" si="1245"/>
        <v/>
      </c>
      <c r="DI350" s="495" t="str">
        <f t="shared" si="1246"/>
        <v/>
      </c>
      <c r="DJ350" s="495" t="str">
        <f t="shared" si="1247"/>
        <v/>
      </c>
      <c r="DK350" s="495" t="str">
        <f t="shared" si="1248"/>
        <v/>
      </c>
      <c r="DL350" s="366"/>
      <c r="DM350" s="92">
        <f t="shared" si="1250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271">IF(DL351&lt;3,"",(SUM(B351:R351)-MIN(B351:R351)-MAX(B351:R351))/(DL351-2))</f>
        <v/>
      </c>
      <c r="CA351" s="373" t="str">
        <f t="shared" ref="CA351:CA360" si="1272">IF(DM351&lt;3,"",(SUM(T351:AJ351)-MIN(T351:AJ351)-MAX(T351:AJ351))/(DM351-2))</f>
        <v/>
      </c>
      <c r="CB351" s="373" t="str">
        <f t="shared" ref="CB351:CB360" si="1273">IF(DN351&lt;3,"",(SUM(AL351:BB351)-MIN(AL351:BB351)-MAX(AL351:BB351))/(DN351-2))</f>
        <v/>
      </c>
      <c r="CC351" s="462">
        <f t="shared" ref="CC351:CC360" si="1274">IF(DO351&lt;3,"",(SUM(BD351:BT351)-MIN(BD351:BT351)-MAX(BD351:BT351))/(DO351-2))</f>
        <v>37.5</v>
      </c>
      <c r="CD351" s="1109" t="str">
        <f t="shared" ref="CD351:CS357" si="127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0" t="str">
        <f t="shared" si="1275"/>
        <v/>
      </c>
      <c r="CF351" s="1111" t="str">
        <f t="shared" si="1275"/>
        <v/>
      </c>
      <c r="CG351" s="1111" t="str">
        <f t="shared" si="1275"/>
        <v/>
      </c>
      <c r="CH351" s="1111" t="str">
        <f t="shared" si="1275"/>
        <v/>
      </c>
      <c r="CI351" s="1111" t="str">
        <f t="shared" si="1275"/>
        <v/>
      </c>
      <c r="CJ351" s="1111" t="str">
        <f t="shared" si="1275"/>
        <v/>
      </c>
      <c r="CK351" s="1112" t="str">
        <f t="shared" si="1275"/>
        <v/>
      </c>
      <c r="CL351" s="1112" t="str">
        <f t="shared" si="1275"/>
        <v/>
      </c>
      <c r="CM351" s="1112" t="str">
        <f t="shared" si="1275"/>
        <v/>
      </c>
      <c r="CN351" s="1111" t="str">
        <f t="shared" si="1275"/>
        <v/>
      </c>
      <c r="CO351" s="1111" t="str">
        <f t="shared" si="1275"/>
        <v/>
      </c>
      <c r="CP351" s="1111" t="str">
        <f t="shared" si="1275"/>
        <v/>
      </c>
      <c r="CQ351" s="1111" t="str">
        <f t="shared" si="1275"/>
        <v/>
      </c>
      <c r="CR351" s="1111" t="str">
        <f t="shared" si="1275"/>
        <v/>
      </c>
      <c r="CS351" s="1110" t="str">
        <f t="shared" si="1275"/>
        <v/>
      </c>
      <c r="CT351" s="1113" t="str">
        <f t="shared" ref="CT351:CT357" si="127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7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7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7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8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8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8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8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8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8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8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8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8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9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9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9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294">COUNT(B351:R351)</f>
        <v>0</v>
      </c>
      <c r="DM351" s="66">
        <f t="shared" ref="DM351:DM358" si="1295">COUNT(T351:AJ351)</f>
        <v>2</v>
      </c>
      <c r="DN351" s="66">
        <f t="shared" ref="DN351:DN358" si="1296">COUNT(AL351:BB351)</f>
        <v>0</v>
      </c>
      <c r="DO351" s="66">
        <f t="shared" ref="DO351:DO358" si="1297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298">IF(B349="","",B349*B351)</f>
        <v/>
      </c>
      <c r="C352" s="405" t="str">
        <f t="shared" si="1298"/>
        <v/>
      </c>
      <c r="D352" s="405" t="str">
        <f t="shared" si="1298"/>
        <v/>
      </c>
      <c r="E352" s="405" t="str">
        <f t="shared" si="1298"/>
        <v/>
      </c>
      <c r="F352" s="405" t="str">
        <f t="shared" si="1298"/>
        <v/>
      </c>
      <c r="G352" s="405" t="str">
        <f t="shared" si="1298"/>
        <v/>
      </c>
      <c r="H352" s="405" t="str">
        <f t="shared" si="1298"/>
        <v/>
      </c>
      <c r="I352" s="405" t="str">
        <f t="shared" si="1298"/>
        <v/>
      </c>
      <c r="J352" s="405" t="str">
        <f t="shared" si="1298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299">IF(T349="","",T349*T351)</f>
        <v>10</v>
      </c>
      <c r="U352" s="405">
        <f t="shared" si="1299"/>
        <v>40</v>
      </c>
      <c r="V352" s="405" t="str">
        <f t="shared" si="1299"/>
        <v/>
      </c>
      <c r="W352" s="405" t="str">
        <f t="shared" si="1299"/>
        <v/>
      </c>
      <c r="X352" s="405" t="str">
        <f t="shared" si="1299"/>
        <v/>
      </c>
      <c r="Y352" s="405" t="str">
        <f t="shared" si="1299"/>
        <v/>
      </c>
      <c r="Z352" s="405" t="str">
        <f t="shared" si="1299"/>
        <v/>
      </c>
      <c r="AA352" s="405">
        <f t="shared" si="1299"/>
        <v>0</v>
      </c>
      <c r="AB352" s="405" t="str">
        <f t="shared" si="1299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300">IF(AL349="","",AL349*AL351)</f>
        <v/>
      </c>
      <c r="AM352" s="405" t="str">
        <f t="shared" si="1300"/>
        <v/>
      </c>
      <c r="AN352" s="405" t="str">
        <f t="shared" si="1300"/>
        <v/>
      </c>
      <c r="AO352" s="405" t="str">
        <f t="shared" si="1300"/>
        <v/>
      </c>
      <c r="AP352" s="405" t="str">
        <f t="shared" si="1300"/>
        <v/>
      </c>
      <c r="AQ352" s="405" t="str">
        <f t="shared" si="1300"/>
        <v/>
      </c>
      <c r="AR352" s="405" t="str">
        <f t="shared" si="1300"/>
        <v/>
      </c>
      <c r="AS352" s="405" t="str">
        <f t="shared" si="1300"/>
        <v/>
      </c>
      <c r="AT352" s="405" t="str">
        <f t="shared" si="1300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301">IF(BD349="","",BD349*BD351)</f>
        <v>250</v>
      </c>
      <c r="BE352" s="405" t="str">
        <f t="shared" si="1301"/>
        <v/>
      </c>
      <c r="BF352" s="405">
        <f t="shared" si="1301"/>
        <v>1000</v>
      </c>
      <c r="BG352" s="405" t="str">
        <f t="shared" si="1301"/>
        <v/>
      </c>
      <c r="BH352" s="405" t="str">
        <f t="shared" si="1301"/>
        <v/>
      </c>
      <c r="BI352" s="405" t="str">
        <f t="shared" si="1301"/>
        <v/>
      </c>
      <c r="BJ352" s="405">
        <f t="shared" si="1301"/>
        <v>120</v>
      </c>
      <c r="BK352" s="405">
        <f t="shared" si="1301"/>
        <v>250</v>
      </c>
      <c r="BL352" s="405" t="str">
        <f t="shared" si="1301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271"/>
        <v/>
      </c>
      <c r="CA352" s="373">
        <f t="shared" si="1272"/>
        <v>10</v>
      </c>
      <c r="CB352" s="373" t="str">
        <f t="shared" si="1273"/>
        <v/>
      </c>
      <c r="CC352" s="462">
        <f t="shared" si="1274"/>
        <v>250</v>
      </c>
      <c r="CD352" s="1109" t="str">
        <f t="shared" si="1275"/>
        <v/>
      </c>
      <c r="CE352" s="1110" t="str">
        <f t="shared" si="1275"/>
        <v/>
      </c>
      <c r="CF352" s="1111" t="str">
        <f t="shared" si="1275"/>
        <v/>
      </c>
      <c r="CG352" s="1111" t="str">
        <f t="shared" si="1275"/>
        <v/>
      </c>
      <c r="CH352" s="1111" t="str">
        <f t="shared" si="1275"/>
        <v/>
      </c>
      <c r="CI352" s="1111" t="str">
        <f t="shared" si="1275"/>
        <v/>
      </c>
      <c r="CJ352" s="1111" t="str">
        <f t="shared" si="1275"/>
        <v/>
      </c>
      <c r="CK352" s="1112" t="str">
        <f t="shared" si="1275"/>
        <v/>
      </c>
      <c r="CL352" s="1112" t="str">
        <f t="shared" si="1275"/>
        <v/>
      </c>
      <c r="CM352" s="1112" t="str">
        <f t="shared" si="1275"/>
        <v/>
      </c>
      <c r="CN352" s="1111" t="str">
        <f t="shared" si="1275"/>
        <v/>
      </c>
      <c r="CO352" s="1111" t="str">
        <f t="shared" si="1275"/>
        <v/>
      </c>
      <c r="CP352" s="1111" t="str">
        <f t="shared" si="1275"/>
        <v/>
      </c>
      <c r="CQ352" s="1111" t="str">
        <f t="shared" si="1275"/>
        <v/>
      </c>
      <c r="CR352" s="1111" t="str">
        <f t="shared" si="1275"/>
        <v/>
      </c>
      <c r="CS352" s="1110" t="str">
        <f t="shared" si="1275"/>
        <v/>
      </c>
      <c r="CT352" s="1113" t="str">
        <f t="shared" si="1276"/>
        <v/>
      </c>
      <c r="CU352" s="324" t="str">
        <f t="shared" si="1277"/>
        <v/>
      </c>
      <c r="CV352" s="325" t="str">
        <f t="shared" si="1278"/>
        <v/>
      </c>
      <c r="CW352" s="326" t="str">
        <f t="shared" si="1279"/>
        <v/>
      </c>
      <c r="CX352" s="326" t="str">
        <f t="shared" si="1280"/>
        <v/>
      </c>
      <c r="CY352" s="326" t="str">
        <f t="shared" si="1281"/>
        <v/>
      </c>
      <c r="CZ352" s="326" t="str">
        <f t="shared" si="1282"/>
        <v/>
      </c>
      <c r="DA352" s="326" t="str">
        <f t="shared" si="1283"/>
        <v/>
      </c>
      <c r="DB352" s="327">
        <f t="shared" si="1284"/>
        <v>0</v>
      </c>
      <c r="DC352" s="327">
        <f t="shared" si="1285"/>
        <v>10</v>
      </c>
      <c r="DD352" s="327">
        <f t="shared" si="1286"/>
        <v>40</v>
      </c>
      <c r="DE352" s="326" t="str">
        <f t="shared" si="1287"/>
        <v/>
      </c>
      <c r="DF352" s="326" t="str">
        <f t="shared" si="1288"/>
        <v/>
      </c>
      <c r="DG352" s="326" t="str">
        <f t="shared" si="1289"/>
        <v/>
      </c>
      <c r="DH352" s="326" t="str">
        <f t="shared" si="1290"/>
        <v/>
      </c>
      <c r="DI352" s="326" t="str">
        <f t="shared" si="1291"/>
        <v/>
      </c>
      <c r="DJ352" s="325" t="str">
        <f t="shared" si="1292"/>
        <v/>
      </c>
      <c r="DK352" s="324" t="str">
        <f t="shared" si="1293"/>
        <v/>
      </c>
      <c r="DL352" s="428">
        <f t="shared" si="1294"/>
        <v>0</v>
      </c>
      <c r="DM352" s="66">
        <f t="shared" si="1295"/>
        <v>3</v>
      </c>
      <c r="DN352" s="66">
        <f t="shared" si="1296"/>
        <v>0</v>
      </c>
      <c r="DO352" s="66">
        <f t="shared" si="1297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271"/>
        <v>480</v>
      </c>
      <c r="CA353" s="373">
        <f t="shared" si="1272"/>
        <v>480</v>
      </c>
      <c r="CB353" s="373">
        <f t="shared" si="1273"/>
        <v>480</v>
      </c>
      <c r="CC353" s="462">
        <f t="shared" si="1274"/>
        <v>480</v>
      </c>
      <c r="CD353" s="1109" t="str">
        <f t="shared" si="1275"/>
        <v/>
      </c>
      <c r="CE353" s="1110" t="str">
        <f t="shared" si="1275"/>
        <v/>
      </c>
      <c r="CF353" s="1111" t="str">
        <f t="shared" si="1275"/>
        <v/>
      </c>
      <c r="CG353" s="1111" t="str">
        <f t="shared" si="1275"/>
        <v/>
      </c>
      <c r="CH353" s="1111">
        <f t="shared" si="1275"/>
        <v>480</v>
      </c>
      <c r="CI353" s="1111">
        <f t="shared" si="1275"/>
        <v>480</v>
      </c>
      <c r="CJ353" s="1111">
        <f t="shared" si="1275"/>
        <v>480</v>
      </c>
      <c r="CK353" s="1112">
        <f t="shared" si="1275"/>
        <v>480</v>
      </c>
      <c r="CL353" s="1112">
        <f t="shared" si="1275"/>
        <v>480</v>
      </c>
      <c r="CM353" s="1112">
        <f t="shared" si="1275"/>
        <v>480</v>
      </c>
      <c r="CN353" s="1111">
        <f t="shared" si="1275"/>
        <v>480</v>
      </c>
      <c r="CO353" s="1111">
        <f t="shared" si="1275"/>
        <v>480</v>
      </c>
      <c r="CP353" s="1111">
        <f t="shared" si="1275"/>
        <v>480</v>
      </c>
      <c r="CQ353" s="1111" t="str">
        <f t="shared" si="1275"/>
        <v/>
      </c>
      <c r="CR353" s="1111" t="str">
        <f t="shared" si="1275"/>
        <v/>
      </c>
      <c r="CS353" s="1110" t="str">
        <f t="shared" si="1275"/>
        <v/>
      </c>
      <c r="CT353" s="1113" t="str">
        <f t="shared" si="1276"/>
        <v/>
      </c>
      <c r="CU353" s="324" t="str">
        <f t="shared" si="1277"/>
        <v/>
      </c>
      <c r="CV353" s="325" t="str">
        <f t="shared" si="1278"/>
        <v/>
      </c>
      <c r="CW353" s="326" t="str">
        <f t="shared" si="1279"/>
        <v/>
      </c>
      <c r="CX353" s="326" t="str">
        <f t="shared" si="1280"/>
        <v/>
      </c>
      <c r="CY353" s="326">
        <f t="shared" si="1281"/>
        <v>480</v>
      </c>
      <c r="CZ353" s="326">
        <f t="shared" si="1282"/>
        <v>480</v>
      </c>
      <c r="DA353" s="326">
        <f t="shared" si="1283"/>
        <v>480</v>
      </c>
      <c r="DB353" s="327">
        <f t="shared" si="1284"/>
        <v>480</v>
      </c>
      <c r="DC353" s="327">
        <f t="shared" si="1285"/>
        <v>480</v>
      </c>
      <c r="DD353" s="327">
        <f t="shared" si="1286"/>
        <v>480</v>
      </c>
      <c r="DE353" s="326">
        <f t="shared" si="1287"/>
        <v>480</v>
      </c>
      <c r="DF353" s="326">
        <f t="shared" si="1288"/>
        <v>480</v>
      </c>
      <c r="DG353" s="326">
        <f t="shared" si="1289"/>
        <v>480</v>
      </c>
      <c r="DH353" s="326" t="str">
        <f t="shared" si="1290"/>
        <v/>
      </c>
      <c r="DI353" s="326" t="str">
        <f t="shared" si="1291"/>
        <v/>
      </c>
      <c r="DJ353" s="325" t="str">
        <f t="shared" si="1292"/>
        <v/>
      </c>
      <c r="DK353" s="324" t="str">
        <f t="shared" si="1293"/>
        <v/>
      </c>
      <c r="DL353" s="428">
        <f t="shared" si="1294"/>
        <v>9</v>
      </c>
      <c r="DM353" s="66">
        <f t="shared" si="1295"/>
        <v>9</v>
      </c>
      <c r="DN353" s="66">
        <f t="shared" si="1296"/>
        <v>9</v>
      </c>
      <c r="DO353" s="66">
        <f t="shared" si="1297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271"/>
        <v/>
      </c>
      <c r="CA354" s="373" t="str">
        <f t="shared" si="1272"/>
        <v/>
      </c>
      <c r="CB354" s="373" t="str">
        <f t="shared" si="1273"/>
        <v/>
      </c>
      <c r="CC354" s="462">
        <f t="shared" si="1274"/>
        <v>165</v>
      </c>
      <c r="CD354" s="1109" t="str">
        <f t="shared" si="1275"/>
        <v/>
      </c>
      <c r="CE354" s="1110" t="str">
        <f t="shared" si="1275"/>
        <v/>
      </c>
      <c r="CF354" s="1111" t="str">
        <f t="shared" si="1275"/>
        <v/>
      </c>
      <c r="CG354" s="1111" t="str">
        <f t="shared" si="1275"/>
        <v/>
      </c>
      <c r="CH354" s="1111" t="str">
        <f t="shared" si="1275"/>
        <v/>
      </c>
      <c r="CI354" s="1111" t="str">
        <f t="shared" si="1275"/>
        <v/>
      </c>
      <c r="CJ354" s="1111" t="str">
        <f t="shared" si="1275"/>
        <v/>
      </c>
      <c r="CK354" s="1112" t="str">
        <f t="shared" si="1275"/>
        <v/>
      </c>
      <c r="CL354" s="1112" t="str">
        <f t="shared" si="1275"/>
        <v/>
      </c>
      <c r="CM354" s="1112" t="str">
        <f t="shared" si="1275"/>
        <v/>
      </c>
      <c r="CN354" s="1111" t="str">
        <f t="shared" si="1275"/>
        <v/>
      </c>
      <c r="CO354" s="1111" t="str">
        <f t="shared" si="1275"/>
        <v/>
      </c>
      <c r="CP354" s="1111" t="str">
        <f t="shared" si="1275"/>
        <v/>
      </c>
      <c r="CQ354" s="1111" t="str">
        <f t="shared" si="1275"/>
        <v/>
      </c>
      <c r="CR354" s="1111" t="str">
        <f t="shared" si="1275"/>
        <v/>
      </c>
      <c r="CS354" s="1110" t="str">
        <f t="shared" si="1275"/>
        <v/>
      </c>
      <c r="CT354" s="1113" t="str">
        <f t="shared" si="1276"/>
        <v/>
      </c>
      <c r="CU354" s="324" t="str">
        <f t="shared" si="1277"/>
        <v/>
      </c>
      <c r="CV354" s="325" t="str">
        <f t="shared" si="1278"/>
        <v/>
      </c>
      <c r="CW354" s="326" t="str">
        <f t="shared" si="1279"/>
        <v/>
      </c>
      <c r="CX354" s="326" t="str">
        <f t="shared" si="1280"/>
        <v/>
      </c>
      <c r="CY354" s="326" t="str">
        <f t="shared" si="1281"/>
        <v/>
      </c>
      <c r="CZ354" s="326" t="str">
        <f t="shared" si="1282"/>
        <v/>
      </c>
      <c r="DA354" s="326" t="str">
        <f t="shared" si="1283"/>
        <v/>
      </c>
      <c r="DB354" s="327" t="str">
        <f t="shared" si="1284"/>
        <v/>
      </c>
      <c r="DC354" s="327">
        <f t="shared" si="1285"/>
        <v>5</v>
      </c>
      <c r="DD354" s="327" t="str">
        <f t="shared" si="1286"/>
        <v/>
      </c>
      <c r="DE354" s="326" t="str">
        <f t="shared" si="1287"/>
        <v/>
      </c>
      <c r="DF354" s="326" t="str">
        <f t="shared" si="1288"/>
        <v/>
      </c>
      <c r="DG354" s="326" t="str">
        <f t="shared" si="1289"/>
        <v/>
      </c>
      <c r="DH354" s="326" t="str">
        <f t="shared" si="1290"/>
        <v/>
      </c>
      <c r="DI354" s="326" t="str">
        <f t="shared" si="1291"/>
        <v/>
      </c>
      <c r="DJ354" s="325" t="str">
        <f t="shared" si="1292"/>
        <v/>
      </c>
      <c r="DK354" s="324" t="str">
        <f t="shared" si="1293"/>
        <v/>
      </c>
      <c r="DL354" s="428">
        <f t="shared" si="1294"/>
        <v>0</v>
      </c>
      <c r="DM354" s="66">
        <f t="shared" si="1295"/>
        <v>1</v>
      </c>
      <c r="DN354" s="66">
        <f t="shared" si="1296"/>
        <v>0</v>
      </c>
      <c r="DO354" s="66">
        <f t="shared" si="1297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271"/>
        <v/>
      </c>
      <c r="CA355" s="373" t="str">
        <f t="shared" si="1272"/>
        <v/>
      </c>
      <c r="CB355" s="373" t="str">
        <f t="shared" si="1273"/>
        <v/>
      </c>
      <c r="CC355" s="462">
        <f t="shared" si="1274"/>
        <v>4.3550000000000004</v>
      </c>
      <c r="CD355" s="1109" t="str">
        <f t="shared" si="1275"/>
        <v/>
      </c>
      <c r="CE355" s="1110" t="str">
        <f t="shared" si="1275"/>
        <v/>
      </c>
      <c r="CF355" s="1111" t="str">
        <f t="shared" si="1275"/>
        <v/>
      </c>
      <c r="CG355" s="1111" t="str">
        <f t="shared" si="1275"/>
        <v/>
      </c>
      <c r="CH355" s="1111" t="str">
        <f t="shared" si="1275"/>
        <v/>
      </c>
      <c r="CI355" s="1111" t="str">
        <f t="shared" si="1275"/>
        <v/>
      </c>
      <c r="CJ355" s="1111" t="str">
        <f t="shared" si="1275"/>
        <v/>
      </c>
      <c r="CK355" s="1112" t="str">
        <f t="shared" si="1275"/>
        <v/>
      </c>
      <c r="CL355" s="1112" t="str">
        <f t="shared" si="1275"/>
        <v/>
      </c>
      <c r="CM355" s="1112" t="str">
        <f t="shared" si="1275"/>
        <v/>
      </c>
      <c r="CN355" s="1111" t="str">
        <f t="shared" si="1275"/>
        <v/>
      </c>
      <c r="CO355" s="1111" t="str">
        <f t="shared" si="1275"/>
        <v/>
      </c>
      <c r="CP355" s="1111" t="str">
        <f t="shared" si="1275"/>
        <v/>
      </c>
      <c r="CQ355" s="1111" t="str">
        <f t="shared" si="1275"/>
        <v/>
      </c>
      <c r="CR355" s="1111" t="str">
        <f t="shared" si="1275"/>
        <v/>
      </c>
      <c r="CS355" s="1110" t="str">
        <f t="shared" si="1275"/>
        <v/>
      </c>
      <c r="CT355" s="1113" t="str">
        <f t="shared" si="1276"/>
        <v/>
      </c>
      <c r="CU355" s="324" t="str">
        <f t="shared" si="1277"/>
        <v/>
      </c>
      <c r="CV355" s="325" t="str">
        <f t="shared" si="1278"/>
        <v/>
      </c>
      <c r="CW355" s="326" t="str">
        <f t="shared" si="1279"/>
        <v/>
      </c>
      <c r="CX355" s="326" t="str">
        <f t="shared" si="1280"/>
        <v/>
      </c>
      <c r="CY355" s="326" t="str">
        <f t="shared" si="1281"/>
        <v/>
      </c>
      <c r="CZ355" s="326" t="str">
        <f t="shared" si="1282"/>
        <v/>
      </c>
      <c r="DA355" s="326" t="str">
        <f t="shared" si="1283"/>
        <v/>
      </c>
      <c r="DB355" s="327" t="str">
        <f t="shared" si="1284"/>
        <v/>
      </c>
      <c r="DC355" s="327">
        <f t="shared" si="1285"/>
        <v>2</v>
      </c>
      <c r="DD355" s="327" t="str">
        <f t="shared" si="1286"/>
        <v/>
      </c>
      <c r="DE355" s="326" t="str">
        <f t="shared" si="1287"/>
        <v/>
      </c>
      <c r="DF355" s="326" t="str">
        <f t="shared" si="1288"/>
        <v/>
      </c>
      <c r="DG355" s="326" t="str">
        <f t="shared" si="1289"/>
        <v/>
      </c>
      <c r="DH355" s="326" t="str">
        <f t="shared" si="1290"/>
        <v/>
      </c>
      <c r="DI355" s="326" t="str">
        <f t="shared" si="1291"/>
        <v/>
      </c>
      <c r="DJ355" s="325" t="str">
        <f t="shared" si="1292"/>
        <v/>
      </c>
      <c r="DK355" s="324" t="str">
        <f t="shared" si="1293"/>
        <v/>
      </c>
      <c r="DL355" s="428">
        <f t="shared" si="1294"/>
        <v>0</v>
      </c>
      <c r="DM355" s="66">
        <f t="shared" si="1295"/>
        <v>1</v>
      </c>
      <c r="DN355" s="66">
        <f t="shared" si="1296"/>
        <v>0</v>
      </c>
      <c r="DO355" s="66">
        <f t="shared" si="1297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302">IF(B354="","",B354*B355)</f>
        <v/>
      </c>
      <c r="C356" s="405" t="str">
        <f t="shared" si="1302"/>
        <v/>
      </c>
      <c r="D356" s="405" t="str">
        <f t="shared" si="1302"/>
        <v/>
      </c>
      <c r="E356" s="405" t="str">
        <f t="shared" si="1302"/>
        <v/>
      </c>
      <c r="F356" s="405" t="str">
        <f t="shared" si="1302"/>
        <v/>
      </c>
      <c r="G356" s="405" t="str">
        <f t="shared" si="1302"/>
        <v/>
      </c>
      <c r="H356" s="405" t="str">
        <f t="shared" si="1302"/>
        <v/>
      </c>
      <c r="I356" s="405" t="str">
        <f t="shared" si="1302"/>
        <v/>
      </c>
      <c r="J356" s="405" t="str">
        <f t="shared" si="1302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303">IF(T354="","",T354*T355)</f>
        <v/>
      </c>
      <c r="U356" s="405">
        <f t="shared" si="1303"/>
        <v>10</v>
      </c>
      <c r="V356" s="405" t="str">
        <f t="shared" si="1303"/>
        <v/>
      </c>
      <c r="W356" s="405" t="str">
        <f t="shared" si="1303"/>
        <v/>
      </c>
      <c r="X356" s="405" t="str">
        <f t="shared" si="1303"/>
        <v/>
      </c>
      <c r="Y356" s="405" t="str">
        <f t="shared" si="1303"/>
        <v/>
      </c>
      <c r="Z356" s="405" t="str">
        <f t="shared" si="1303"/>
        <v/>
      </c>
      <c r="AA356" s="405" t="str">
        <f t="shared" si="1303"/>
        <v/>
      </c>
      <c r="AB356" s="405" t="str">
        <f t="shared" si="1303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304">IF(AL354="","",AL354*AL355)</f>
        <v/>
      </c>
      <c r="AM356" s="405" t="str">
        <f t="shared" si="1304"/>
        <v/>
      </c>
      <c r="AN356" s="405" t="str">
        <f t="shared" si="1304"/>
        <v/>
      </c>
      <c r="AO356" s="405" t="str">
        <f t="shared" si="1304"/>
        <v/>
      </c>
      <c r="AP356" s="405" t="str">
        <f t="shared" si="1304"/>
        <v/>
      </c>
      <c r="AQ356" s="405" t="str">
        <f t="shared" si="1304"/>
        <v/>
      </c>
      <c r="AR356" s="405" t="str">
        <f t="shared" si="1304"/>
        <v/>
      </c>
      <c r="AS356" s="405" t="str">
        <f t="shared" si="1304"/>
        <v/>
      </c>
      <c r="AT356" s="405" t="str">
        <f t="shared" si="1304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305">IF(BD354="","",BD354*BD355)</f>
        <v>623.29999999999995</v>
      </c>
      <c r="BE356" s="405" t="str">
        <f t="shared" si="1305"/>
        <v/>
      </c>
      <c r="BF356" s="405">
        <f t="shared" si="1305"/>
        <v>1900</v>
      </c>
      <c r="BG356" s="405" t="str">
        <f t="shared" si="1305"/>
        <v/>
      </c>
      <c r="BH356" s="405" t="str">
        <f t="shared" si="1305"/>
        <v/>
      </c>
      <c r="BI356" s="405" t="str">
        <f t="shared" si="1305"/>
        <v/>
      </c>
      <c r="BJ356" s="405">
        <f t="shared" si="1305"/>
        <v>1000</v>
      </c>
      <c r="BK356" s="405">
        <f t="shared" si="1305"/>
        <v>150</v>
      </c>
      <c r="BL356" s="405" t="str">
        <f t="shared" si="1305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271"/>
        <v/>
      </c>
      <c r="CA356" s="373" t="str">
        <f t="shared" si="1272"/>
        <v/>
      </c>
      <c r="CB356" s="373" t="str">
        <f t="shared" si="1273"/>
        <v/>
      </c>
      <c r="CC356" s="462">
        <f t="shared" si="1274"/>
        <v>811.65000000000009</v>
      </c>
      <c r="CD356" s="1109" t="str">
        <f t="shared" si="1275"/>
        <v/>
      </c>
      <c r="CE356" s="1110" t="str">
        <f t="shared" si="1275"/>
        <v/>
      </c>
      <c r="CF356" s="1111" t="str">
        <f t="shared" si="1275"/>
        <v/>
      </c>
      <c r="CG356" s="1111" t="str">
        <f t="shared" si="1275"/>
        <v/>
      </c>
      <c r="CH356" s="1111" t="str">
        <f t="shared" si="1275"/>
        <v/>
      </c>
      <c r="CI356" s="1111" t="str">
        <f t="shared" si="1275"/>
        <v/>
      </c>
      <c r="CJ356" s="1111" t="str">
        <f t="shared" si="1275"/>
        <v/>
      </c>
      <c r="CK356" s="1112" t="str">
        <f t="shared" si="1275"/>
        <v/>
      </c>
      <c r="CL356" s="1112" t="str">
        <f t="shared" si="1275"/>
        <v/>
      </c>
      <c r="CM356" s="1112" t="str">
        <f t="shared" si="1275"/>
        <v/>
      </c>
      <c r="CN356" s="1111" t="str">
        <f t="shared" si="1275"/>
        <v/>
      </c>
      <c r="CO356" s="1111" t="str">
        <f t="shared" si="1275"/>
        <v/>
      </c>
      <c r="CP356" s="1111" t="str">
        <f t="shared" si="1275"/>
        <v/>
      </c>
      <c r="CQ356" s="1111" t="str">
        <f t="shared" si="1275"/>
        <v/>
      </c>
      <c r="CR356" s="1111" t="str">
        <f t="shared" si="1275"/>
        <v/>
      </c>
      <c r="CS356" s="1110" t="str">
        <f t="shared" si="1275"/>
        <v/>
      </c>
      <c r="CT356" s="1113" t="str">
        <f t="shared" si="1276"/>
        <v/>
      </c>
      <c r="CU356" s="324" t="str">
        <f t="shared" si="1277"/>
        <v/>
      </c>
      <c r="CV356" s="325" t="str">
        <f t="shared" si="1278"/>
        <v/>
      </c>
      <c r="CW356" s="326" t="str">
        <f t="shared" si="1279"/>
        <v/>
      </c>
      <c r="CX356" s="326" t="str">
        <f t="shared" si="1280"/>
        <v/>
      </c>
      <c r="CY356" s="326" t="str">
        <f t="shared" si="1281"/>
        <v/>
      </c>
      <c r="CZ356" s="326" t="str">
        <f t="shared" si="1282"/>
        <v/>
      </c>
      <c r="DA356" s="326" t="str">
        <f t="shared" si="1283"/>
        <v/>
      </c>
      <c r="DB356" s="327" t="str">
        <f t="shared" si="1284"/>
        <v/>
      </c>
      <c r="DC356" s="327">
        <f t="shared" si="1285"/>
        <v>10</v>
      </c>
      <c r="DD356" s="327" t="str">
        <f t="shared" si="1286"/>
        <v/>
      </c>
      <c r="DE356" s="326" t="str">
        <f t="shared" si="1287"/>
        <v/>
      </c>
      <c r="DF356" s="326" t="str">
        <f t="shared" si="1288"/>
        <v/>
      </c>
      <c r="DG356" s="326" t="str">
        <f t="shared" si="1289"/>
        <v/>
      </c>
      <c r="DH356" s="326" t="str">
        <f t="shared" si="1290"/>
        <v/>
      </c>
      <c r="DI356" s="326" t="str">
        <f t="shared" si="1291"/>
        <v/>
      </c>
      <c r="DJ356" s="325" t="str">
        <f t="shared" si="1292"/>
        <v/>
      </c>
      <c r="DK356" s="324" t="str">
        <f t="shared" si="1293"/>
        <v/>
      </c>
      <c r="DL356" s="428">
        <f t="shared" si="1294"/>
        <v>0</v>
      </c>
      <c r="DM356" s="66">
        <f t="shared" si="1295"/>
        <v>1</v>
      </c>
      <c r="DN356" s="66">
        <f t="shared" si="1296"/>
        <v>0</v>
      </c>
      <c r="DO356" s="66">
        <f t="shared" si="1297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271"/>
        <v/>
      </c>
      <c r="CA357" s="373" t="str">
        <f t="shared" si="1272"/>
        <v/>
      </c>
      <c r="CB357" s="373" t="str">
        <f t="shared" si="1273"/>
        <v/>
      </c>
      <c r="CC357" s="462" t="str">
        <f t="shared" si="1274"/>
        <v/>
      </c>
      <c r="CD357" s="1109" t="str">
        <f t="shared" si="1275"/>
        <v/>
      </c>
      <c r="CE357" s="1110" t="str">
        <f t="shared" si="1275"/>
        <v/>
      </c>
      <c r="CF357" s="1111" t="str">
        <f t="shared" si="1275"/>
        <v/>
      </c>
      <c r="CG357" s="1111" t="str">
        <f t="shared" si="1275"/>
        <v/>
      </c>
      <c r="CH357" s="1111" t="str">
        <f t="shared" si="1275"/>
        <v/>
      </c>
      <c r="CI357" s="1111" t="str">
        <f t="shared" si="1275"/>
        <v/>
      </c>
      <c r="CJ357" s="1111" t="str">
        <f t="shared" si="1275"/>
        <v/>
      </c>
      <c r="CK357" s="1112" t="str">
        <f t="shared" si="1275"/>
        <v/>
      </c>
      <c r="CL357" s="1112" t="str">
        <f t="shared" si="1275"/>
        <v/>
      </c>
      <c r="CM357" s="1112" t="str">
        <f t="shared" si="1275"/>
        <v/>
      </c>
      <c r="CN357" s="1111" t="str">
        <f t="shared" si="1275"/>
        <v/>
      </c>
      <c r="CO357" s="1111" t="str">
        <f t="shared" si="1275"/>
        <v/>
      </c>
      <c r="CP357" s="1111" t="str">
        <f t="shared" si="1275"/>
        <v/>
      </c>
      <c r="CQ357" s="1111" t="str">
        <f t="shared" si="1275"/>
        <v/>
      </c>
      <c r="CR357" s="1111" t="str">
        <f t="shared" si="1275"/>
        <v/>
      </c>
      <c r="CS357" s="1110" t="str">
        <f t="shared" si="1275"/>
        <v/>
      </c>
      <c r="CT357" s="1113" t="str">
        <f t="shared" si="1276"/>
        <v/>
      </c>
      <c r="CU357" s="324" t="str">
        <f t="shared" si="1277"/>
        <v/>
      </c>
      <c r="CV357" s="325" t="str">
        <f t="shared" si="1278"/>
        <v/>
      </c>
      <c r="CW357" s="326" t="str">
        <f t="shared" si="1279"/>
        <v/>
      </c>
      <c r="CX357" s="326" t="str">
        <f t="shared" si="1280"/>
        <v/>
      </c>
      <c r="CY357" s="326" t="str">
        <f t="shared" si="1281"/>
        <v/>
      </c>
      <c r="CZ357" s="326" t="str">
        <f t="shared" si="1282"/>
        <v/>
      </c>
      <c r="DA357" s="326" t="str">
        <f t="shared" si="1283"/>
        <v/>
      </c>
      <c r="DB357" s="327" t="str">
        <f t="shared" si="1284"/>
        <v/>
      </c>
      <c r="DC357" s="327" t="str">
        <f t="shared" si="1285"/>
        <v/>
      </c>
      <c r="DD357" s="327" t="str">
        <f t="shared" si="1286"/>
        <v/>
      </c>
      <c r="DE357" s="326" t="str">
        <f t="shared" si="1287"/>
        <v/>
      </c>
      <c r="DF357" s="326" t="str">
        <f t="shared" si="1288"/>
        <v/>
      </c>
      <c r="DG357" s="326" t="str">
        <f t="shared" si="1289"/>
        <v/>
      </c>
      <c r="DH357" s="326" t="str">
        <f t="shared" si="1290"/>
        <v/>
      </c>
      <c r="DI357" s="326" t="str">
        <f t="shared" si="1291"/>
        <v/>
      </c>
      <c r="DJ357" s="325" t="str">
        <f t="shared" si="1292"/>
        <v/>
      </c>
      <c r="DK357" s="324" t="str">
        <f t="shared" si="1293"/>
        <v/>
      </c>
      <c r="DL357" s="428">
        <f t="shared" si="1294"/>
        <v>0</v>
      </c>
      <c r="DM357" s="66">
        <f t="shared" si="1295"/>
        <v>0</v>
      </c>
      <c r="DN357" s="66">
        <f t="shared" si="1296"/>
        <v>0</v>
      </c>
      <c r="DO357" s="66">
        <f t="shared" si="1297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306">IF(B352="","",(B352-B354-B357)*B353/B$46/365/$G$1)</f>
        <v/>
      </c>
      <c r="C358" s="408" t="str">
        <f t="shared" si="1306"/>
        <v/>
      </c>
      <c r="D358" s="408" t="str">
        <f t="shared" si="1306"/>
        <v/>
      </c>
      <c r="E358" s="408" t="str">
        <f t="shared" si="1306"/>
        <v/>
      </c>
      <c r="F358" s="408" t="str">
        <f t="shared" si="1306"/>
        <v/>
      </c>
      <c r="G358" s="408" t="str">
        <f t="shared" si="1306"/>
        <v/>
      </c>
      <c r="H358" s="408" t="str">
        <f t="shared" si="1306"/>
        <v/>
      </c>
      <c r="I358" s="408" t="str">
        <f t="shared" si="1306"/>
        <v/>
      </c>
      <c r="J358" s="408" t="str">
        <f t="shared" si="1306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307">IF(T352="","",(T352-T354-T357)*T353/T$46/365/$G$1)</f>
        <v>7.8277886497064571E-4</v>
      </c>
      <c r="U358" s="408">
        <f t="shared" si="1307"/>
        <v>1.9925280199252801E-3</v>
      </c>
      <c r="V358" s="408" t="str">
        <f t="shared" si="1307"/>
        <v/>
      </c>
      <c r="W358" s="408" t="str">
        <f t="shared" si="1307"/>
        <v/>
      </c>
      <c r="X358" s="408" t="str">
        <f t="shared" si="1307"/>
        <v/>
      </c>
      <c r="Y358" s="408" t="str">
        <f t="shared" si="1307"/>
        <v/>
      </c>
      <c r="Z358" s="408" t="str">
        <f t="shared" si="1307"/>
        <v/>
      </c>
      <c r="AA358" s="408">
        <f t="shared" si="1307"/>
        <v>0</v>
      </c>
      <c r="AB358" s="408" t="str">
        <f t="shared" si="1307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308">IF(AL352="","",(AL352-AL354-AL357)*AL353/AL$46/365/$G$1)</f>
        <v/>
      </c>
      <c r="AM358" s="408" t="str">
        <f t="shared" si="1308"/>
        <v/>
      </c>
      <c r="AN358" s="408" t="str">
        <f t="shared" si="1308"/>
        <v/>
      </c>
      <c r="AO358" s="408" t="str">
        <f t="shared" si="1308"/>
        <v/>
      </c>
      <c r="AP358" s="408" t="str">
        <f t="shared" si="1308"/>
        <v/>
      </c>
      <c r="AQ358" s="408" t="str">
        <f t="shared" si="1308"/>
        <v/>
      </c>
      <c r="AR358" s="408" t="str">
        <f t="shared" si="1308"/>
        <v/>
      </c>
      <c r="AS358" s="408" t="str">
        <f t="shared" si="1308"/>
        <v/>
      </c>
      <c r="AT358" s="408" t="str">
        <f t="shared" si="1308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309">IF(BD352="","",(BD352-BD354-BD357)*BD353/BD$46/365/$G$1)</f>
        <v>1.0437051532941944E-3</v>
      </c>
      <c r="BE358" s="408" t="str">
        <f t="shared" si="1309"/>
        <v/>
      </c>
      <c r="BF358" s="408">
        <f t="shared" si="1309"/>
        <v>3.1311154598825828E-3</v>
      </c>
      <c r="BG358" s="408" t="str">
        <f t="shared" si="1309"/>
        <v/>
      </c>
      <c r="BH358" s="408" t="str">
        <f t="shared" si="1309"/>
        <v/>
      </c>
      <c r="BI358" s="408" t="str">
        <f t="shared" si="1309"/>
        <v/>
      </c>
      <c r="BJ358" s="408">
        <f t="shared" si="1309"/>
        <v>2.0874103065883888E-3</v>
      </c>
      <c r="BK358" s="408">
        <f t="shared" si="1309"/>
        <v>1.1741682974559686E-2</v>
      </c>
      <c r="BL358" s="408" t="str">
        <f t="shared" si="1309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271"/>
        <v/>
      </c>
      <c r="CA358" s="398">
        <f t="shared" si="1272"/>
        <v>7.8277886497064549E-4</v>
      </c>
      <c r="CB358" s="398" t="str">
        <f t="shared" si="1273"/>
        <v/>
      </c>
      <c r="CC358" s="465">
        <f t="shared" si="1274"/>
        <v>2.6092628832354858E-3</v>
      </c>
      <c r="CD358" s="111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5" t="str">
        <f t="shared" ref="CE358:CT358" si="13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6" t="str">
        <f t="shared" si="1310"/>
        <v/>
      </c>
      <c r="CG358" s="1116" t="str">
        <f t="shared" si="1310"/>
        <v/>
      </c>
      <c r="CH358" s="1116" t="str">
        <f t="shared" si="1310"/>
        <v/>
      </c>
      <c r="CI358" s="1116" t="str">
        <f t="shared" si="1310"/>
        <v/>
      </c>
      <c r="CJ358" s="1116" t="str">
        <f t="shared" si="1310"/>
        <v/>
      </c>
      <c r="CK358" s="1117" t="str">
        <f t="shared" si="1310"/>
        <v/>
      </c>
      <c r="CL358" s="1117" t="str">
        <f t="shared" si="1310"/>
        <v/>
      </c>
      <c r="CM358" s="1117" t="str">
        <f t="shared" si="1310"/>
        <v/>
      </c>
      <c r="CN358" s="1116" t="str">
        <f t="shared" si="1310"/>
        <v/>
      </c>
      <c r="CO358" s="1116" t="str">
        <f t="shared" si="1310"/>
        <v/>
      </c>
      <c r="CP358" s="1116" t="str">
        <f t="shared" si="1310"/>
        <v/>
      </c>
      <c r="CQ358" s="1116" t="str">
        <f t="shared" si="1310"/>
        <v/>
      </c>
      <c r="CR358" s="1116" t="str">
        <f t="shared" si="1310"/>
        <v/>
      </c>
      <c r="CS358" s="1115" t="str">
        <f t="shared" si="1310"/>
        <v/>
      </c>
      <c r="CT358" s="1118" t="str">
        <f t="shared" si="1310"/>
        <v/>
      </c>
      <c r="CU358" s="312" t="str">
        <f t="shared" si="1277"/>
        <v/>
      </c>
      <c r="CV358" s="313" t="str">
        <f t="shared" si="1278"/>
        <v/>
      </c>
      <c r="CW358" s="314" t="str">
        <f t="shared" si="1279"/>
        <v/>
      </c>
      <c r="CX358" s="314" t="str">
        <f t="shared" si="1280"/>
        <v/>
      </c>
      <c r="CY358" s="314" t="str">
        <f t="shared" si="1281"/>
        <v/>
      </c>
      <c r="CZ358" s="314" t="str">
        <f t="shared" si="1282"/>
        <v/>
      </c>
      <c r="DA358" s="314" t="str">
        <f t="shared" si="1283"/>
        <v/>
      </c>
      <c r="DB358" s="315">
        <f t="shared" si="1284"/>
        <v>0</v>
      </c>
      <c r="DC358" s="315">
        <f t="shared" si="1285"/>
        <v>7.8277886497064571E-4</v>
      </c>
      <c r="DD358" s="315">
        <f t="shared" si="1286"/>
        <v>1.9925280199252801E-3</v>
      </c>
      <c r="DE358" s="314" t="str">
        <f t="shared" si="1287"/>
        <v/>
      </c>
      <c r="DF358" s="314" t="str">
        <f t="shared" si="1288"/>
        <v/>
      </c>
      <c r="DG358" s="314" t="str">
        <f t="shared" si="1289"/>
        <v/>
      </c>
      <c r="DH358" s="314" t="str">
        <f t="shared" si="1290"/>
        <v/>
      </c>
      <c r="DI358" s="314" t="str">
        <f t="shared" si="1291"/>
        <v/>
      </c>
      <c r="DJ358" s="313" t="str">
        <f t="shared" si="1292"/>
        <v/>
      </c>
      <c r="DK358" s="312" t="str">
        <f t="shared" si="1293"/>
        <v/>
      </c>
      <c r="DL358" s="428">
        <f t="shared" si="1294"/>
        <v>0</v>
      </c>
      <c r="DM358" s="66">
        <f t="shared" si="1295"/>
        <v>3</v>
      </c>
      <c r="DN358" s="66">
        <f t="shared" si="1296"/>
        <v>0</v>
      </c>
      <c r="DO358" s="66">
        <f t="shared" si="1297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271"/>
        <v/>
      </c>
      <c r="CA359" s="365" t="str">
        <f t="shared" si="1272"/>
        <v/>
      </c>
      <c r="CB359" s="365" t="str">
        <f t="shared" si="1273"/>
        <v/>
      </c>
      <c r="CC359" s="461" t="str">
        <f t="shared" si="1274"/>
        <v/>
      </c>
      <c r="CD359" s="1154"/>
      <c r="CE359" s="1154"/>
      <c r="CF359" s="1154"/>
      <c r="CG359" s="1154"/>
      <c r="CH359" s="1154"/>
      <c r="CI359" s="1154"/>
      <c r="CJ359" s="1154"/>
      <c r="CK359" s="1154"/>
      <c r="CL359" s="1154"/>
      <c r="CM359" s="1154"/>
      <c r="CN359" s="1154"/>
      <c r="CO359" s="1154"/>
      <c r="CP359" s="1154"/>
      <c r="CQ359" s="1154"/>
      <c r="CR359" s="1154"/>
      <c r="CS359" s="1154"/>
      <c r="CT359" s="1155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271"/>
        <v>2.2000000000000002</v>
      </c>
      <c r="CA360" s="373">
        <f t="shared" si="1272"/>
        <v>10.166666666666666</v>
      </c>
      <c r="CB360" s="373">
        <f t="shared" si="1273"/>
        <v>19.714285714285715</v>
      </c>
      <c r="CC360" s="462">
        <f t="shared" si="1274"/>
        <v>19.600000000000001</v>
      </c>
      <c r="CD360" s="1109" t="str">
        <f t="shared" ref="CD360:CT360" si="13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0" t="str">
        <f t="shared" si="1311"/>
        <v/>
      </c>
      <c r="CF360" s="1111" t="str">
        <f t="shared" si="1311"/>
        <v/>
      </c>
      <c r="CG360" s="1111" t="str">
        <f t="shared" si="1311"/>
        <v/>
      </c>
      <c r="CH360" s="1111" t="str">
        <f t="shared" si="1311"/>
        <v/>
      </c>
      <c r="CI360" s="1111">
        <f t="shared" si="1311"/>
        <v>1</v>
      </c>
      <c r="CJ360" s="1111">
        <f t="shared" si="1311"/>
        <v>1</v>
      </c>
      <c r="CK360" s="1112">
        <f t="shared" si="1311"/>
        <v>2</v>
      </c>
      <c r="CL360" s="1112">
        <f t="shared" si="1311"/>
        <v>2</v>
      </c>
      <c r="CM360" s="1112">
        <f t="shared" si="1311"/>
        <v>2</v>
      </c>
      <c r="CN360" s="1111">
        <f t="shared" si="1311"/>
        <v>4</v>
      </c>
      <c r="CO360" s="1111">
        <f t="shared" si="1311"/>
        <v>5</v>
      </c>
      <c r="CP360" s="1111" t="str">
        <f t="shared" si="1311"/>
        <v/>
      </c>
      <c r="CQ360" s="1111" t="str">
        <f t="shared" si="1311"/>
        <v/>
      </c>
      <c r="CR360" s="1111" t="str">
        <f t="shared" si="1311"/>
        <v/>
      </c>
      <c r="CS360" s="1110" t="str">
        <f t="shared" si="1311"/>
        <v/>
      </c>
      <c r="CT360" s="1113" t="str">
        <f t="shared" si="1311"/>
        <v/>
      </c>
      <c r="CU360" s="324" t="str">
        <f t="shared" ref="CU360:DK360" si="13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12"/>
        <v/>
      </c>
      <c r="CW360" s="326" t="str">
        <f t="shared" si="1312"/>
        <v/>
      </c>
      <c r="CX360" s="326" t="str">
        <f t="shared" si="1312"/>
        <v/>
      </c>
      <c r="CY360" s="326" t="str">
        <f t="shared" si="1312"/>
        <v/>
      </c>
      <c r="CZ360" s="326">
        <f t="shared" si="1312"/>
        <v>3</v>
      </c>
      <c r="DA360" s="326">
        <f t="shared" si="1312"/>
        <v>6</v>
      </c>
      <c r="DB360" s="327">
        <f t="shared" si="1312"/>
        <v>6</v>
      </c>
      <c r="DC360" s="327">
        <f t="shared" si="1312"/>
        <v>8</v>
      </c>
      <c r="DD360" s="327">
        <f t="shared" si="1312"/>
        <v>9</v>
      </c>
      <c r="DE360" s="326">
        <f t="shared" si="1312"/>
        <v>12</v>
      </c>
      <c r="DF360" s="326">
        <f t="shared" si="1312"/>
        <v>20</v>
      </c>
      <c r="DG360" s="326">
        <f t="shared" si="1312"/>
        <v>45</v>
      </c>
      <c r="DH360" s="326" t="str">
        <f t="shared" si="1312"/>
        <v/>
      </c>
      <c r="DI360" s="326" t="str">
        <f t="shared" si="1312"/>
        <v/>
      </c>
      <c r="DJ360" s="325" t="str">
        <f t="shared" si="1312"/>
        <v/>
      </c>
      <c r="DK360" s="324" t="str">
        <f t="shared" si="1312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2"/>
      <c r="CE361" s="1153"/>
      <c r="CF361" s="1153"/>
      <c r="CG361" s="1153"/>
      <c r="CH361" s="1153"/>
      <c r="CI361" s="1153"/>
      <c r="CJ361" s="1153"/>
      <c r="CK361" s="1153"/>
      <c r="CL361" s="1153"/>
      <c r="CM361" s="1153"/>
      <c r="CN361" s="1153"/>
      <c r="CO361" s="1153"/>
      <c r="CP361" s="1153"/>
      <c r="CQ361" s="1153"/>
      <c r="CR361" s="1153"/>
      <c r="CS361" s="1153"/>
      <c r="CT361" s="1135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313">IF(DL362&lt;3,"",(SUM(B362:R362)-MIN(B362:R362)-MAX(B362:R362))/(DL362-2))</f>
        <v>46</v>
      </c>
      <c r="CA362" s="373">
        <f t="shared" ref="CA362:CA371" si="1314">IF(DM362&lt;3,"",(SUM(T362:AJ362)-MIN(T362:AJ362)-MAX(T362:AJ362))/(DM362-2))</f>
        <v>22.5</v>
      </c>
      <c r="CB362" s="373">
        <f t="shared" ref="CB362:CB371" si="1315">IF(DN362&lt;3,"",(SUM(AL362:BB362)-MIN(AL362:BB362)-MAX(AL362:BB362))/(DN362-2))</f>
        <v>49.285714285714285</v>
      </c>
      <c r="CC362" s="462">
        <f t="shared" ref="CC362:CC371" si="1316">IF(DO362&lt;3,"",(SUM(BD362:BT362)-MIN(BD362:BT362)-MAX(BD362:BT362))/(DO362-2))</f>
        <v>38</v>
      </c>
      <c r="CD362" s="1109" t="str">
        <f t="shared" ref="CD362:CS368" si="13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0" t="str">
        <f t="shared" si="1317"/>
        <v/>
      </c>
      <c r="CF362" s="1111" t="str">
        <f t="shared" si="1317"/>
        <v/>
      </c>
      <c r="CG362" s="1111" t="str">
        <f t="shared" si="1317"/>
        <v/>
      </c>
      <c r="CH362" s="1111" t="str">
        <f t="shared" si="1317"/>
        <v/>
      </c>
      <c r="CI362" s="1111">
        <f t="shared" si="1317"/>
        <v>20</v>
      </c>
      <c r="CJ362" s="1111">
        <f t="shared" si="1317"/>
        <v>20</v>
      </c>
      <c r="CK362" s="1112">
        <f t="shared" si="1317"/>
        <v>20</v>
      </c>
      <c r="CL362" s="1112">
        <f t="shared" si="1317"/>
        <v>50</v>
      </c>
      <c r="CM362" s="1112">
        <f t="shared" si="1317"/>
        <v>50</v>
      </c>
      <c r="CN362" s="1111">
        <f t="shared" si="1317"/>
        <v>90</v>
      </c>
      <c r="CO362" s="1111">
        <f t="shared" si="1317"/>
        <v>90</v>
      </c>
      <c r="CP362" s="1111" t="str">
        <f t="shared" si="1317"/>
        <v/>
      </c>
      <c r="CQ362" s="1111" t="str">
        <f t="shared" si="1317"/>
        <v/>
      </c>
      <c r="CR362" s="1111" t="str">
        <f t="shared" si="1317"/>
        <v/>
      </c>
      <c r="CS362" s="1110" t="str">
        <f t="shared" si="1317"/>
        <v/>
      </c>
      <c r="CT362" s="1113" t="str">
        <f t="shared" ref="CT362:CT368" si="13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336">COUNT(B362:R362)</f>
        <v>7</v>
      </c>
      <c r="DM362" s="66">
        <f t="shared" ref="DM362:DM369" si="1337">COUNT(T362:AJ362)</f>
        <v>8</v>
      </c>
      <c r="DN362" s="66">
        <f t="shared" ref="DN362:DN369" si="1338">COUNT(AL362:BB362)</f>
        <v>9</v>
      </c>
      <c r="DO362" s="66">
        <f t="shared" ref="DO362:DO369" si="1339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340">IF(B360="","",B360*B362)</f>
        <v>90</v>
      </c>
      <c r="C363" s="405">
        <f t="shared" si="1340"/>
        <v>90</v>
      </c>
      <c r="D363" s="405" t="str">
        <f t="shared" si="1340"/>
        <v/>
      </c>
      <c r="E363" s="405">
        <f t="shared" si="1340"/>
        <v>100</v>
      </c>
      <c r="F363" s="405">
        <f t="shared" si="1340"/>
        <v>250</v>
      </c>
      <c r="G363" s="405" t="str">
        <f t="shared" si="1340"/>
        <v/>
      </c>
      <c r="H363" s="405">
        <f t="shared" si="1340"/>
        <v>40</v>
      </c>
      <c r="I363" s="405">
        <f t="shared" si="1340"/>
        <v>40</v>
      </c>
      <c r="J363" s="405">
        <f t="shared" si="1340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341">IF(T360="","",T360*T362)</f>
        <v>1125</v>
      </c>
      <c r="U363" s="405">
        <f t="shared" si="1341"/>
        <v>500</v>
      </c>
      <c r="V363" s="405">
        <f t="shared" si="1341"/>
        <v>300</v>
      </c>
      <c r="W363" s="405">
        <f t="shared" si="1341"/>
        <v>120</v>
      </c>
      <c r="X363" s="405">
        <f t="shared" si="1341"/>
        <v>60</v>
      </c>
      <c r="Y363" s="405">
        <f t="shared" si="1341"/>
        <v>120</v>
      </c>
      <c r="Z363" s="405" t="str">
        <f t="shared" si="1341"/>
        <v/>
      </c>
      <c r="AA363" s="405">
        <f t="shared" si="1341"/>
        <v>180</v>
      </c>
      <c r="AB363" s="405">
        <f t="shared" si="1341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342">IF(AL360="","",AL360*AL362)</f>
        <v>630</v>
      </c>
      <c r="AM363" s="405">
        <f t="shared" si="1342"/>
        <v>570</v>
      </c>
      <c r="AN363" s="405">
        <f t="shared" si="1342"/>
        <v>25</v>
      </c>
      <c r="AO363" s="405">
        <f t="shared" si="1342"/>
        <v>600</v>
      </c>
      <c r="AP363" s="405">
        <f t="shared" si="1342"/>
        <v>850</v>
      </c>
      <c r="AQ363" s="405">
        <f t="shared" si="1342"/>
        <v>1750</v>
      </c>
      <c r="AR363" s="405">
        <f t="shared" si="1342"/>
        <v>1050</v>
      </c>
      <c r="AS363" s="405">
        <f t="shared" si="1342"/>
        <v>400</v>
      </c>
      <c r="AT363" s="405">
        <f t="shared" si="1342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343">IF(BD360="","",BD360*BD362)</f>
        <v>250</v>
      </c>
      <c r="BE363" s="405" t="str">
        <f t="shared" si="1343"/>
        <v/>
      </c>
      <c r="BF363" s="405" t="str">
        <f t="shared" si="1343"/>
        <v/>
      </c>
      <c r="BG363" s="405">
        <f t="shared" si="1343"/>
        <v>900</v>
      </c>
      <c r="BH363" s="405">
        <f t="shared" si="1343"/>
        <v>2000</v>
      </c>
      <c r="BI363" s="405">
        <f t="shared" si="1343"/>
        <v>150</v>
      </c>
      <c r="BJ363" s="405">
        <f t="shared" si="1343"/>
        <v>800</v>
      </c>
      <c r="BK363" s="405">
        <f t="shared" si="1343"/>
        <v>680</v>
      </c>
      <c r="BL363" s="405">
        <f t="shared" si="1343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313"/>
        <v>80</v>
      </c>
      <c r="CA363" s="373">
        <f t="shared" si="1314"/>
        <v>236.66666666666666</v>
      </c>
      <c r="CB363" s="373">
        <f t="shared" si="1315"/>
        <v>835.71428571428567</v>
      </c>
      <c r="CC363" s="462">
        <f t="shared" si="1316"/>
        <v>626</v>
      </c>
      <c r="CD363" s="1109" t="str">
        <f t="shared" si="1317"/>
        <v/>
      </c>
      <c r="CE363" s="1110" t="str">
        <f t="shared" si="1317"/>
        <v/>
      </c>
      <c r="CF363" s="1111" t="str">
        <f t="shared" si="1317"/>
        <v/>
      </c>
      <c r="CG363" s="1111" t="str">
        <f t="shared" si="1317"/>
        <v/>
      </c>
      <c r="CH363" s="1111" t="str">
        <f t="shared" si="1317"/>
        <v/>
      </c>
      <c r="CI363" s="1111">
        <f t="shared" si="1317"/>
        <v>40</v>
      </c>
      <c r="CJ363" s="1111">
        <f t="shared" si="1317"/>
        <v>40</v>
      </c>
      <c r="CK363" s="1112">
        <f t="shared" si="1317"/>
        <v>80</v>
      </c>
      <c r="CL363" s="1112">
        <f t="shared" si="1317"/>
        <v>90</v>
      </c>
      <c r="CM363" s="1112">
        <f t="shared" si="1317"/>
        <v>90</v>
      </c>
      <c r="CN363" s="1111">
        <f t="shared" si="1317"/>
        <v>100</v>
      </c>
      <c r="CO363" s="1111">
        <f t="shared" si="1317"/>
        <v>250</v>
      </c>
      <c r="CP363" s="1111" t="str">
        <f t="shared" si="1317"/>
        <v/>
      </c>
      <c r="CQ363" s="1111" t="str">
        <f t="shared" si="1317"/>
        <v/>
      </c>
      <c r="CR363" s="1111" t="str">
        <f t="shared" si="1317"/>
        <v/>
      </c>
      <c r="CS363" s="1110" t="str">
        <f t="shared" si="1317"/>
        <v/>
      </c>
      <c r="CT363" s="1113" t="str">
        <f t="shared" si="1318"/>
        <v/>
      </c>
      <c r="CU363" s="324" t="str">
        <f t="shared" si="1319"/>
        <v/>
      </c>
      <c r="CV363" s="325" t="str">
        <f t="shared" si="1320"/>
        <v/>
      </c>
      <c r="CW363" s="326" t="str">
        <f t="shared" si="1321"/>
        <v/>
      </c>
      <c r="CX363" s="326" t="str">
        <f t="shared" si="1322"/>
        <v/>
      </c>
      <c r="CY363" s="326" t="str">
        <f t="shared" si="1323"/>
        <v/>
      </c>
      <c r="CZ363" s="326">
        <f t="shared" si="1324"/>
        <v>60</v>
      </c>
      <c r="DA363" s="326">
        <f t="shared" si="1325"/>
        <v>120</v>
      </c>
      <c r="DB363" s="327">
        <f t="shared" si="1326"/>
        <v>120</v>
      </c>
      <c r="DC363" s="327">
        <f t="shared" si="1327"/>
        <v>180</v>
      </c>
      <c r="DD363" s="327">
        <f t="shared" si="1328"/>
        <v>200</v>
      </c>
      <c r="DE363" s="326">
        <f t="shared" si="1329"/>
        <v>300</v>
      </c>
      <c r="DF363" s="326">
        <f t="shared" si="1330"/>
        <v>500</v>
      </c>
      <c r="DG363" s="326">
        <f t="shared" si="1331"/>
        <v>1125</v>
      </c>
      <c r="DH363" s="326" t="str">
        <f t="shared" si="1332"/>
        <v/>
      </c>
      <c r="DI363" s="326" t="str">
        <f t="shared" si="1333"/>
        <v/>
      </c>
      <c r="DJ363" s="325" t="str">
        <f t="shared" si="1334"/>
        <v/>
      </c>
      <c r="DK363" s="324" t="str">
        <f t="shared" si="1335"/>
        <v/>
      </c>
      <c r="DL363" s="428">
        <f t="shared" si="1336"/>
        <v>7</v>
      </c>
      <c r="DM363" s="66">
        <f t="shared" si="1337"/>
        <v>8</v>
      </c>
      <c r="DN363" s="66">
        <f t="shared" si="1338"/>
        <v>9</v>
      </c>
      <c r="DO363" s="66">
        <f t="shared" si="1339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344">3420*$K$1</f>
        <v>3420</v>
      </c>
      <c r="C364" s="119">
        <f t="shared" si="1344"/>
        <v>3420</v>
      </c>
      <c r="D364" s="119">
        <f>3420*$K$1</f>
        <v>3420</v>
      </c>
      <c r="E364" s="119">
        <f t="shared" ref="E364:J364" si="1345">3420*$K$1</f>
        <v>3420</v>
      </c>
      <c r="F364" s="119">
        <f t="shared" si="1345"/>
        <v>3420</v>
      </c>
      <c r="G364" s="119">
        <f t="shared" si="1345"/>
        <v>3420</v>
      </c>
      <c r="H364" s="119">
        <f t="shared" si="1345"/>
        <v>3420</v>
      </c>
      <c r="I364" s="119">
        <f t="shared" si="1345"/>
        <v>3420</v>
      </c>
      <c r="J364" s="119">
        <f t="shared" si="1345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346">3420*$K$1</f>
        <v>3420</v>
      </c>
      <c r="U364" s="119">
        <f t="shared" si="1346"/>
        <v>3420</v>
      </c>
      <c r="V364" s="119">
        <f>3420*$K$1</f>
        <v>3420</v>
      </c>
      <c r="W364" s="119">
        <f t="shared" ref="W364:AB364" si="1347">3420*$K$1</f>
        <v>3420</v>
      </c>
      <c r="X364" s="119">
        <f t="shared" si="1347"/>
        <v>3420</v>
      </c>
      <c r="Y364" s="119">
        <f t="shared" si="1347"/>
        <v>3420</v>
      </c>
      <c r="Z364" s="119">
        <f t="shared" si="1347"/>
        <v>3420</v>
      </c>
      <c r="AA364" s="119">
        <f t="shared" si="1347"/>
        <v>3420</v>
      </c>
      <c r="AB364" s="119">
        <f t="shared" si="1347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348">3420*$K$1</f>
        <v>3420</v>
      </c>
      <c r="AM364" s="119">
        <f t="shared" si="1348"/>
        <v>3420</v>
      </c>
      <c r="AN364" s="119">
        <f>3420*$K$1</f>
        <v>3420</v>
      </c>
      <c r="AO364" s="119">
        <f t="shared" ref="AO364:AT364" si="1349">3420*$K$1</f>
        <v>3420</v>
      </c>
      <c r="AP364" s="119">
        <f t="shared" si="1349"/>
        <v>3420</v>
      </c>
      <c r="AQ364" s="119">
        <f t="shared" si="1349"/>
        <v>3420</v>
      </c>
      <c r="AR364" s="119">
        <f t="shared" si="1349"/>
        <v>3420</v>
      </c>
      <c r="AS364" s="119">
        <f t="shared" si="1349"/>
        <v>3420</v>
      </c>
      <c r="AT364" s="119">
        <f t="shared" si="1349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350">3420*$K$1</f>
        <v>3420</v>
      </c>
      <c r="BE364" s="119">
        <f t="shared" si="1350"/>
        <v>3420</v>
      </c>
      <c r="BF364" s="119">
        <f>3420*$K$1</f>
        <v>3420</v>
      </c>
      <c r="BG364" s="119">
        <f t="shared" ref="BG364:BY364" si="1351">3420*$K$1</f>
        <v>3420</v>
      </c>
      <c r="BH364" s="119">
        <f t="shared" si="1351"/>
        <v>3420</v>
      </c>
      <c r="BI364" s="119">
        <f t="shared" si="1351"/>
        <v>3420</v>
      </c>
      <c r="BJ364" s="119">
        <f t="shared" si="1351"/>
        <v>3420</v>
      </c>
      <c r="BK364" s="119">
        <f t="shared" si="1351"/>
        <v>3420</v>
      </c>
      <c r="BL364" s="119">
        <f t="shared" si="1351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351"/>
        <v>3420</v>
      </c>
      <c r="BW364" s="119">
        <f t="shared" si="1351"/>
        <v>3420</v>
      </c>
      <c r="BX364" s="119">
        <f t="shared" si="1351"/>
        <v>3420</v>
      </c>
      <c r="BY364" s="119">
        <f t="shared" si="1351"/>
        <v>3420</v>
      </c>
      <c r="BZ364" s="373">
        <f t="shared" si="1313"/>
        <v>3420</v>
      </c>
      <c r="CA364" s="373">
        <f t="shared" si="1314"/>
        <v>3420</v>
      </c>
      <c r="CB364" s="373">
        <f t="shared" si="1315"/>
        <v>3420</v>
      </c>
      <c r="CC364" s="462">
        <f t="shared" si="1316"/>
        <v>3420</v>
      </c>
      <c r="CD364" s="1109" t="str">
        <f t="shared" si="1317"/>
        <v/>
      </c>
      <c r="CE364" s="1110" t="str">
        <f t="shared" si="1317"/>
        <v/>
      </c>
      <c r="CF364" s="1111" t="str">
        <f t="shared" si="1317"/>
        <v/>
      </c>
      <c r="CG364" s="1111" t="str">
        <f t="shared" si="1317"/>
        <v/>
      </c>
      <c r="CH364" s="1111">
        <f t="shared" si="1317"/>
        <v>3420</v>
      </c>
      <c r="CI364" s="1111">
        <f t="shared" si="1317"/>
        <v>3420</v>
      </c>
      <c r="CJ364" s="1111">
        <f t="shared" si="1317"/>
        <v>3420</v>
      </c>
      <c r="CK364" s="1112">
        <f t="shared" si="1317"/>
        <v>3420</v>
      </c>
      <c r="CL364" s="1112">
        <f t="shared" si="1317"/>
        <v>3420</v>
      </c>
      <c r="CM364" s="1112">
        <f t="shared" si="1317"/>
        <v>3420</v>
      </c>
      <c r="CN364" s="1111">
        <f t="shared" si="1317"/>
        <v>3420</v>
      </c>
      <c r="CO364" s="1111">
        <f t="shared" si="1317"/>
        <v>3420</v>
      </c>
      <c r="CP364" s="1111">
        <f t="shared" si="1317"/>
        <v>3420</v>
      </c>
      <c r="CQ364" s="1111" t="str">
        <f t="shared" si="1317"/>
        <v/>
      </c>
      <c r="CR364" s="1111" t="str">
        <f t="shared" si="1317"/>
        <v/>
      </c>
      <c r="CS364" s="1110" t="str">
        <f t="shared" si="1317"/>
        <v/>
      </c>
      <c r="CT364" s="1113" t="str">
        <f t="shared" si="1318"/>
        <v/>
      </c>
      <c r="CU364" s="324" t="str">
        <f t="shared" si="1319"/>
        <v/>
      </c>
      <c r="CV364" s="325" t="str">
        <f t="shared" si="1320"/>
        <v/>
      </c>
      <c r="CW364" s="326" t="str">
        <f t="shared" si="1321"/>
        <v/>
      </c>
      <c r="CX364" s="326" t="str">
        <f t="shared" si="1322"/>
        <v/>
      </c>
      <c r="CY364" s="326">
        <f t="shared" si="1323"/>
        <v>3420</v>
      </c>
      <c r="CZ364" s="326">
        <f t="shared" si="1324"/>
        <v>3420</v>
      </c>
      <c r="DA364" s="326">
        <f t="shared" si="1325"/>
        <v>3420</v>
      </c>
      <c r="DB364" s="327">
        <f t="shared" si="1326"/>
        <v>3420</v>
      </c>
      <c r="DC364" s="327">
        <f t="shared" si="1327"/>
        <v>3420</v>
      </c>
      <c r="DD364" s="327">
        <f t="shared" si="1328"/>
        <v>3420</v>
      </c>
      <c r="DE364" s="326">
        <f t="shared" si="1329"/>
        <v>3420</v>
      </c>
      <c r="DF364" s="326">
        <f t="shared" si="1330"/>
        <v>3420</v>
      </c>
      <c r="DG364" s="326">
        <f t="shared" si="1331"/>
        <v>3420</v>
      </c>
      <c r="DH364" s="326" t="str">
        <f t="shared" si="1332"/>
        <v/>
      </c>
      <c r="DI364" s="326" t="str">
        <f t="shared" si="1333"/>
        <v/>
      </c>
      <c r="DJ364" s="325" t="str">
        <f t="shared" si="1334"/>
        <v/>
      </c>
      <c r="DK364" s="324" t="str">
        <f t="shared" si="1335"/>
        <v/>
      </c>
      <c r="DL364" s="428">
        <f t="shared" si="1336"/>
        <v>9</v>
      </c>
      <c r="DM364" s="66">
        <f t="shared" si="1337"/>
        <v>9</v>
      </c>
      <c r="DN364" s="66">
        <f t="shared" si="1338"/>
        <v>9</v>
      </c>
      <c r="DO364" s="66">
        <f t="shared" si="1339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313"/>
        <v/>
      </c>
      <c r="CA365" s="373" t="str">
        <f t="shared" si="1314"/>
        <v/>
      </c>
      <c r="CB365" s="373">
        <f t="shared" si="1315"/>
        <v>470</v>
      </c>
      <c r="CC365" s="462">
        <f t="shared" si="1316"/>
        <v>388</v>
      </c>
      <c r="CD365" s="1109" t="str">
        <f t="shared" si="1317"/>
        <v/>
      </c>
      <c r="CE365" s="1110" t="str">
        <f t="shared" si="1317"/>
        <v/>
      </c>
      <c r="CF365" s="1111" t="str">
        <f t="shared" si="1317"/>
        <v/>
      </c>
      <c r="CG365" s="1111" t="str">
        <f t="shared" si="1317"/>
        <v/>
      </c>
      <c r="CH365" s="1111" t="str">
        <f t="shared" si="1317"/>
        <v/>
      </c>
      <c r="CI365" s="1111" t="str">
        <f t="shared" si="1317"/>
        <v/>
      </c>
      <c r="CJ365" s="1111" t="str">
        <f t="shared" si="1317"/>
        <v/>
      </c>
      <c r="CK365" s="1112" t="str">
        <f t="shared" si="1317"/>
        <v/>
      </c>
      <c r="CL365" s="1112">
        <f t="shared" si="1317"/>
        <v>20</v>
      </c>
      <c r="CM365" s="1112">
        <f t="shared" si="1317"/>
        <v>150</v>
      </c>
      <c r="CN365" s="1111" t="str">
        <f t="shared" si="1317"/>
        <v/>
      </c>
      <c r="CO365" s="1111" t="str">
        <f t="shared" si="1317"/>
        <v/>
      </c>
      <c r="CP365" s="1111" t="str">
        <f t="shared" si="1317"/>
        <v/>
      </c>
      <c r="CQ365" s="1111" t="str">
        <f t="shared" si="1317"/>
        <v/>
      </c>
      <c r="CR365" s="1111" t="str">
        <f t="shared" si="1317"/>
        <v/>
      </c>
      <c r="CS365" s="1110" t="str">
        <f t="shared" si="1317"/>
        <v/>
      </c>
      <c r="CT365" s="1113" t="str">
        <f t="shared" si="1318"/>
        <v/>
      </c>
      <c r="CU365" s="324" t="str">
        <f t="shared" si="1319"/>
        <v/>
      </c>
      <c r="CV365" s="325" t="str">
        <f t="shared" si="1320"/>
        <v/>
      </c>
      <c r="CW365" s="326" t="str">
        <f t="shared" si="1321"/>
        <v/>
      </c>
      <c r="CX365" s="326" t="str">
        <f t="shared" si="1322"/>
        <v/>
      </c>
      <c r="CY365" s="326" t="str">
        <f t="shared" si="1323"/>
        <v/>
      </c>
      <c r="CZ365" s="326" t="str">
        <f t="shared" si="1324"/>
        <v/>
      </c>
      <c r="DA365" s="326" t="str">
        <f t="shared" si="1325"/>
        <v/>
      </c>
      <c r="DB365" s="327" t="str">
        <f t="shared" si="1326"/>
        <v/>
      </c>
      <c r="DC365" s="327">
        <f t="shared" si="1327"/>
        <v>20</v>
      </c>
      <c r="DD365" s="327">
        <f t="shared" si="1328"/>
        <v>90</v>
      </c>
      <c r="DE365" s="326" t="str">
        <f t="shared" si="1329"/>
        <v/>
      </c>
      <c r="DF365" s="326" t="str">
        <f t="shared" si="1330"/>
        <v/>
      </c>
      <c r="DG365" s="326" t="str">
        <f t="shared" si="1331"/>
        <v/>
      </c>
      <c r="DH365" s="326" t="str">
        <f t="shared" si="1332"/>
        <v/>
      </c>
      <c r="DI365" s="326" t="str">
        <f t="shared" si="1333"/>
        <v/>
      </c>
      <c r="DJ365" s="325" t="str">
        <f t="shared" si="1334"/>
        <v/>
      </c>
      <c r="DK365" s="324" t="str">
        <f t="shared" si="1335"/>
        <v/>
      </c>
      <c r="DL365" s="428">
        <f t="shared" si="1336"/>
        <v>2</v>
      </c>
      <c r="DM365" s="66">
        <f t="shared" si="1337"/>
        <v>2</v>
      </c>
      <c r="DN365" s="66">
        <f t="shared" si="1338"/>
        <v>7</v>
      </c>
      <c r="DO365" s="66">
        <f t="shared" si="1339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313"/>
        <v/>
      </c>
      <c r="CA366" s="373" t="str">
        <f t="shared" si="1314"/>
        <v/>
      </c>
      <c r="CB366" s="373">
        <f t="shared" si="1315"/>
        <v>0.90400000000000014</v>
      </c>
      <c r="CC366" s="462">
        <f t="shared" si="1316"/>
        <v>0.97</v>
      </c>
      <c r="CD366" s="1109" t="str">
        <f t="shared" si="1317"/>
        <v/>
      </c>
      <c r="CE366" s="1110" t="str">
        <f t="shared" si="1317"/>
        <v/>
      </c>
      <c r="CF366" s="1111" t="str">
        <f t="shared" si="1317"/>
        <v/>
      </c>
      <c r="CG366" s="1111" t="str">
        <f t="shared" si="1317"/>
        <v/>
      </c>
      <c r="CH366" s="1111" t="str">
        <f t="shared" si="1317"/>
        <v/>
      </c>
      <c r="CI366" s="1111" t="str">
        <f t="shared" si="1317"/>
        <v/>
      </c>
      <c r="CJ366" s="1111" t="str">
        <f t="shared" si="1317"/>
        <v/>
      </c>
      <c r="CK366" s="1112" t="str">
        <f t="shared" si="1317"/>
        <v/>
      </c>
      <c r="CL366" s="1112">
        <f t="shared" si="1317"/>
        <v>0.6</v>
      </c>
      <c r="CM366" s="1112">
        <f t="shared" si="1317"/>
        <v>1</v>
      </c>
      <c r="CN366" s="1111" t="str">
        <f t="shared" si="1317"/>
        <v/>
      </c>
      <c r="CO366" s="1111" t="str">
        <f t="shared" si="1317"/>
        <v/>
      </c>
      <c r="CP366" s="1111" t="str">
        <f t="shared" si="1317"/>
        <v/>
      </c>
      <c r="CQ366" s="1111" t="str">
        <f t="shared" si="1317"/>
        <v/>
      </c>
      <c r="CR366" s="1111" t="str">
        <f t="shared" si="1317"/>
        <v/>
      </c>
      <c r="CS366" s="1110" t="str">
        <f t="shared" si="1317"/>
        <v/>
      </c>
      <c r="CT366" s="1113" t="str">
        <f t="shared" si="1318"/>
        <v/>
      </c>
      <c r="CU366" s="324" t="str">
        <f t="shared" si="1319"/>
        <v/>
      </c>
      <c r="CV366" s="325" t="str">
        <f t="shared" si="1320"/>
        <v/>
      </c>
      <c r="CW366" s="326" t="str">
        <f t="shared" si="1321"/>
        <v/>
      </c>
      <c r="CX366" s="326" t="str">
        <f t="shared" si="1322"/>
        <v/>
      </c>
      <c r="CY366" s="326" t="str">
        <f t="shared" si="1323"/>
        <v/>
      </c>
      <c r="CZ366" s="326" t="str">
        <f t="shared" si="1324"/>
        <v/>
      </c>
      <c r="DA366" s="326" t="str">
        <f t="shared" si="1325"/>
        <v/>
      </c>
      <c r="DB366" s="327" t="str">
        <f t="shared" si="1326"/>
        <v/>
      </c>
      <c r="DC366" s="327">
        <f t="shared" si="1327"/>
        <v>0.5</v>
      </c>
      <c r="DD366" s="327">
        <f t="shared" si="1328"/>
        <v>1.2</v>
      </c>
      <c r="DE366" s="326" t="str">
        <f t="shared" si="1329"/>
        <v/>
      </c>
      <c r="DF366" s="326" t="str">
        <f t="shared" si="1330"/>
        <v/>
      </c>
      <c r="DG366" s="326" t="str">
        <f t="shared" si="1331"/>
        <v/>
      </c>
      <c r="DH366" s="326" t="str">
        <f t="shared" si="1332"/>
        <v/>
      </c>
      <c r="DI366" s="326" t="str">
        <f t="shared" si="1333"/>
        <v/>
      </c>
      <c r="DJ366" s="325" t="str">
        <f t="shared" si="1334"/>
        <v/>
      </c>
      <c r="DK366" s="324" t="str">
        <f t="shared" si="1335"/>
        <v/>
      </c>
      <c r="DL366" s="428">
        <f t="shared" si="1336"/>
        <v>2</v>
      </c>
      <c r="DM366" s="66">
        <f t="shared" si="1337"/>
        <v>2</v>
      </c>
      <c r="DN366" s="66">
        <f t="shared" si="1338"/>
        <v>7</v>
      </c>
      <c r="DO366" s="66">
        <f t="shared" si="1339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352">IF(B365="","",B365*B366)</f>
        <v/>
      </c>
      <c r="C367" s="405" t="str">
        <f t="shared" si="1352"/>
        <v/>
      </c>
      <c r="D367" s="405" t="str">
        <f t="shared" si="1352"/>
        <v/>
      </c>
      <c r="E367" s="405" t="str">
        <f t="shared" si="1352"/>
        <v/>
      </c>
      <c r="F367" s="405">
        <f t="shared" si="1352"/>
        <v>90</v>
      </c>
      <c r="G367" s="405" t="str">
        <f t="shared" si="1352"/>
        <v/>
      </c>
      <c r="H367" s="405" t="str">
        <f t="shared" si="1352"/>
        <v/>
      </c>
      <c r="I367" s="405">
        <f t="shared" si="1352"/>
        <v>20</v>
      </c>
      <c r="J367" s="405" t="str">
        <f t="shared" si="1352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353">IF(T365="","",T365*T366)</f>
        <v/>
      </c>
      <c r="U367" s="405" t="str">
        <f t="shared" si="1353"/>
        <v/>
      </c>
      <c r="V367" s="405" t="str">
        <f t="shared" si="1353"/>
        <v/>
      </c>
      <c r="W367" s="405" t="str">
        <f t="shared" si="1353"/>
        <v/>
      </c>
      <c r="X367" s="405">
        <f t="shared" si="1353"/>
        <v>24</v>
      </c>
      <c r="Y367" s="405">
        <f t="shared" si="1353"/>
        <v>45</v>
      </c>
      <c r="Z367" s="405" t="str">
        <f t="shared" si="1353"/>
        <v/>
      </c>
      <c r="AA367" s="405" t="str">
        <f t="shared" si="1353"/>
        <v/>
      </c>
      <c r="AB367" s="405" t="str">
        <f t="shared" si="1353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354">IF(AL365="","",AL365*AL366)</f>
        <v>540</v>
      </c>
      <c r="AM367" s="405">
        <f t="shared" si="1354"/>
        <v>612</v>
      </c>
      <c r="AN367" s="405" t="str">
        <f t="shared" si="1354"/>
        <v/>
      </c>
      <c r="AO367" s="405">
        <f t="shared" si="1354"/>
        <v>144</v>
      </c>
      <c r="AP367" s="405">
        <f t="shared" si="1354"/>
        <v>540</v>
      </c>
      <c r="AQ367" s="405">
        <f t="shared" si="1354"/>
        <v>1380</v>
      </c>
      <c r="AR367" s="405">
        <f t="shared" si="1354"/>
        <v>489.99999999999994</v>
      </c>
      <c r="AS367" s="405">
        <f t="shared" si="1354"/>
        <v>160</v>
      </c>
      <c r="AT367" s="405" t="str">
        <f t="shared" si="1354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355">IF(BD365="","",BD365*BD366)</f>
        <v>480</v>
      </c>
      <c r="BE367" s="405" t="str">
        <f t="shared" si="1355"/>
        <v/>
      </c>
      <c r="BF367" s="405" t="str">
        <f t="shared" si="1355"/>
        <v/>
      </c>
      <c r="BG367" s="405">
        <f t="shared" si="1355"/>
        <v>600</v>
      </c>
      <c r="BH367" s="405" t="str">
        <f t="shared" si="1355"/>
        <v/>
      </c>
      <c r="BI367" s="405" t="str">
        <f t="shared" si="1355"/>
        <v/>
      </c>
      <c r="BJ367" s="405" t="str">
        <f t="shared" si="1355"/>
        <v/>
      </c>
      <c r="BK367" s="405">
        <f t="shared" si="1355"/>
        <v>352.24</v>
      </c>
      <c r="BL367" s="405">
        <f t="shared" si="1355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313"/>
        <v/>
      </c>
      <c r="CA367" s="373" t="str">
        <f t="shared" si="1314"/>
        <v/>
      </c>
      <c r="CB367" s="373">
        <f t="shared" si="1315"/>
        <v>468.4</v>
      </c>
      <c r="CC367" s="462">
        <f t="shared" si="1316"/>
        <v>416.12</v>
      </c>
      <c r="CD367" s="1109" t="str">
        <f t="shared" si="1317"/>
        <v/>
      </c>
      <c r="CE367" s="1110" t="str">
        <f t="shared" si="1317"/>
        <v/>
      </c>
      <c r="CF367" s="1111" t="str">
        <f t="shared" si="1317"/>
        <v/>
      </c>
      <c r="CG367" s="1111" t="str">
        <f t="shared" si="1317"/>
        <v/>
      </c>
      <c r="CH367" s="1111" t="str">
        <f t="shared" si="1317"/>
        <v/>
      </c>
      <c r="CI367" s="1111" t="str">
        <f t="shared" si="1317"/>
        <v/>
      </c>
      <c r="CJ367" s="1111" t="str">
        <f t="shared" si="1317"/>
        <v/>
      </c>
      <c r="CK367" s="1112" t="str">
        <f t="shared" si="1317"/>
        <v/>
      </c>
      <c r="CL367" s="1112">
        <f t="shared" si="1317"/>
        <v>20</v>
      </c>
      <c r="CM367" s="1112">
        <f t="shared" si="1317"/>
        <v>90</v>
      </c>
      <c r="CN367" s="1111" t="str">
        <f t="shared" si="1317"/>
        <v/>
      </c>
      <c r="CO367" s="1111" t="str">
        <f t="shared" si="1317"/>
        <v/>
      </c>
      <c r="CP367" s="1111" t="str">
        <f t="shared" si="1317"/>
        <v/>
      </c>
      <c r="CQ367" s="1111" t="str">
        <f t="shared" si="1317"/>
        <v/>
      </c>
      <c r="CR367" s="1111" t="str">
        <f t="shared" si="1317"/>
        <v/>
      </c>
      <c r="CS367" s="1110" t="str">
        <f t="shared" si="1317"/>
        <v/>
      </c>
      <c r="CT367" s="1113" t="str">
        <f t="shared" si="1318"/>
        <v/>
      </c>
      <c r="CU367" s="324" t="str">
        <f t="shared" si="1319"/>
        <v/>
      </c>
      <c r="CV367" s="325" t="str">
        <f t="shared" si="1320"/>
        <v/>
      </c>
      <c r="CW367" s="326" t="str">
        <f t="shared" si="1321"/>
        <v/>
      </c>
      <c r="CX367" s="326" t="str">
        <f t="shared" si="1322"/>
        <v/>
      </c>
      <c r="CY367" s="326" t="str">
        <f t="shared" si="1323"/>
        <v/>
      </c>
      <c r="CZ367" s="326" t="str">
        <f t="shared" si="1324"/>
        <v/>
      </c>
      <c r="DA367" s="326" t="str">
        <f t="shared" si="1325"/>
        <v/>
      </c>
      <c r="DB367" s="327" t="str">
        <f t="shared" si="1326"/>
        <v/>
      </c>
      <c r="DC367" s="327">
        <f t="shared" si="1327"/>
        <v>24</v>
      </c>
      <c r="DD367" s="327">
        <f t="shared" si="1328"/>
        <v>45</v>
      </c>
      <c r="DE367" s="326" t="str">
        <f t="shared" si="1329"/>
        <v/>
      </c>
      <c r="DF367" s="326" t="str">
        <f t="shared" si="1330"/>
        <v/>
      </c>
      <c r="DG367" s="326" t="str">
        <f t="shared" si="1331"/>
        <v/>
      </c>
      <c r="DH367" s="326" t="str">
        <f t="shared" si="1332"/>
        <v/>
      </c>
      <c r="DI367" s="326" t="str">
        <f t="shared" si="1333"/>
        <v/>
      </c>
      <c r="DJ367" s="325" t="str">
        <f t="shared" si="1334"/>
        <v/>
      </c>
      <c r="DK367" s="324" t="str">
        <f t="shared" si="1335"/>
        <v/>
      </c>
      <c r="DL367" s="428">
        <f t="shared" si="1336"/>
        <v>2</v>
      </c>
      <c r="DM367" s="66">
        <f t="shared" si="1337"/>
        <v>2</v>
      </c>
      <c r="DN367" s="66">
        <f t="shared" si="1338"/>
        <v>7</v>
      </c>
      <c r="DO367" s="66">
        <f t="shared" si="1339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313"/>
        <v/>
      </c>
      <c r="CA368" s="373">
        <f t="shared" si="1314"/>
        <v>75</v>
      </c>
      <c r="CB368" s="373">
        <f t="shared" si="1315"/>
        <v>125</v>
      </c>
      <c r="CC368" s="462">
        <f t="shared" si="1316"/>
        <v>350</v>
      </c>
      <c r="CD368" s="1109" t="str">
        <f t="shared" si="1317"/>
        <v/>
      </c>
      <c r="CE368" s="1110" t="str">
        <f t="shared" si="1317"/>
        <v/>
      </c>
      <c r="CF368" s="1111" t="str">
        <f t="shared" si="1317"/>
        <v/>
      </c>
      <c r="CG368" s="1111" t="str">
        <f t="shared" si="1317"/>
        <v/>
      </c>
      <c r="CH368" s="1111" t="str">
        <f t="shared" si="1317"/>
        <v/>
      </c>
      <c r="CI368" s="1111" t="str">
        <f t="shared" si="1317"/>
        <v/>
      </c>
      <c r="CJ368" s="1111" t="str">
        <f t="shared" si="1317"/>
        <v/>
      </c>
      <c r="CK368" s="1112" t="str">
        <f t="shared" si="1317"/>
        <v/>
      </c>
      <c r="CL368" s="1112">
        <f t="shared" si="1317"/>
        <v>40</v>
      </c>
      <c r="CM368" s="1112" t="str">
        <f t="shared" si="1317"/>
        <v/>
      </c>
      <c r="CN368" s="1111" t="str">
        <f t="shared" si="1317"/>
        <v/>
      </c>
      <c r="CO368" s="1111" t="str">
        <f t="shared" si="1317"/>
        <v/>
      </c>
      <c r="CP368" s="1111" t="str">
        <f t="shared" si="1317"/>
        <v/>
      </c>
      <c r="CQ368" s="1111" t="str">
        <f t="shared" si="1317"/>
        <v/>
      </c>
      <c r="CR368" s="1111" t="str">
        <f t="shared" si="1317"/>
        <v/>
      </c>
      <c r="CS368" s="1110" t="str">
        <f t="shared" si="1317"/>
        <v/>
      </c>
      <c r="CT368" s="1113" t="str">
        <f t="shared" si="1318"/>
        <v/>
      </c>
      <c r="CU368" s="324" t="str">
        <f t="shared" si="1319"/>
        <v/>
      </c>
      <c r="CV368" s="325" t="str">
        <f t="shared" si="1320"/>
        <v/>
      </c>
      <c r="CW368" s="326" t="str">
        <f t="shared" si="1321"/>
        <v/>
      </c>
      <c r="CX368" s="326" t="str">
        <f t="shared" si="1322"/>
        <v/>
      </c>
      <c r="CY368" s="326" t="str">
        <f t="shared" si="1323"/>
        <v/>
      </c>
      <c r="CZ368" s="326" t="str">
        <f t="shared" si="1324"/>
        <v/>
      </c>
      <c r="DA368" s="326" t="str">
        <f t="shared" si="1325"/>
        <v/>
      </c>
      <c r="DB368" s="327">
        <f t="shared" si="1326"/>
        <v>10</v>
      </c>
      <c r="DC368" s="327">
        <f t="shared" si="1327"/>
        <v>50</v>
      </c>
      <c r="DD368" s="327">
        <f t="shared" si="1328"/>
        <v>100</v>
      </c>
      <c r="DE368" s="326">
        <f t="shared" si="1329"/>
        <v>800</v>
      </c>
      <c r="DF368" s="326" t="str">
        <f t="shared" si="1330"/>
        <v/>
      </c>
      <c r="DG368" s="326" t="str">
        <f t="shared" si="1331"/>
        <v/>
      </c>
      <c r="DH368" s="326" t="str">
        <f t="shared" si="1332"/>
        <v/>
      </c>
      <c r="DI368" s="326" t="str">
        <f t="shared" si="1333"/>
        <v/>
      </c>
      <c r="DJ368" s="325" t="str">
        <f t="shared" si="1334"/>
        <v/>
      </c>
      <c r="DK368" s="324" t="str">
        <f t="shared" si="1335"/>
        <v/>
      </c>
      <c r="DL368" s="428">
        <f t="shared" si="1336"/>
        <v>1</v>
      </c>
      <c r="DM368" s="66">
        <f t="shared" si="1337"/>
        <v>4</v>
      </c>
      <c r="DN368" s="66">
        <f t="shared" si="1338"/>
        <v>7</v>
      </c>
      <c r="DO368" s="66">
        <f t="shared" si="1339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356">IF(B363="","",(B363-B365-B368)*B364/B$46/365/$G$1)</f>
        <v>4.0156555772994131E-2</v>
      </c>
      <c r="C369" s="408">
        <f t="shared" si="1356"/>
        <v>3.187028235951915E-2</v>
      </c>
      <c r="D369" s="408" t="str">
        <f t="shared" si="1356"/>
        <v/>
      </c>
      <c r="E369" s="408">
        <f t="shared" si="1356"/>
        <v>7.4363992172211346E-2</v>
      </c>
      <c r="F369" s="408">
        <f t="shared" si="1356"/>
        <v>7.4363992172211346E-2</v>
      </c>
      <c r="G369" s="408" t="str">
        <f t="shared" si="1356"/>
        <v/>
      </c>
      <c r="H369" s="408">
        <f t="shared" si="1356"/>
        <v>2.974559686888454E-2</v>
      </c>
      <c r="I369" s="408">
        <f t="shared" si="1356"/>
        <v>1.487279843444227E-2</v>
      </c>
      <c r="J369" s="408">
        <f t="shared" si="1356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357">IF(T363="","",(T363-T365-T368)*T364/T$46/365/$G$1)</f>
        <v>0.18126223091976518</v>
      </c>
      <c r="U369" s="408">
        <f t="shared" si="1357"/>
        <v>0.19875466998754673</v>
      </c>
      <c r="V369" s="408">
        <f t="shared" si="1357"/>
        <v>9.2954990215264183E-2</v>
      </c>
      <c r="W369" s="408">
        <f t="shared" si="1357"/>
        <v>5.3542074363992172E-2</v>
      </c>
      <c r="X369" s="408">
        <f t="shared" si="1357"/>
        <v>2.2309197651663403E-2</v>
      </c>
      <c r="Y369" s="408">
        <f t="shared" si="1357"/>
        <v>1.9122169415711491E-2</v>
      </c>
      <c r="Z369" s="408" t="str">
        <f t="shared" si="1357"/>
        <v/>
      </c>
      <c r="AA369" s="408">
        <f t="shared" si="1357"/>
        <v>3.5694716242661448E-2</v>
      </c>
      <c r="AB369" s="408">
        <f t="shared" si="1357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358">IF(AL363="","",(AL363-AL365-AL368)*AL364/AL$46/365/$G$1)</f>
        <v>3.2449742038783133E-2</v>
      </c>
      <c r="AM369" s="408">
        <f t="shared" si="1358"/>
        <v>4.0900195694716243E-2</v>
      </c>
      <c r="AN369" s="408">
        <f t="shared" si="1358"/>
        <v>1.3943248532289627E-2</v>
      </c>
      <c r="AO369" s="408">
        <f t="shared" si="1358"/>
        <v>0.20078277886497065</v>
      </c>
      <c r="AP369" s="408">
        <f t="shared" si="1358"/>
        <v>1.8590998043052837E-2</v>
      </c>
      <c r="AQ369" s="408">
        <f t="shared" si="1358"/>
        <v>7.4363992172211346E-2</v>
      </c>
      <c r="AR369" s="408">
        <f t="shared" si="1358"/>
        <v>0.18962818003913895</v>
      </c>
      <c r="AS369" s="408">
        <f t="shared" si="1358"/>
        <v>8.3659491193737778E-2</v>
      </c>
      <c r="AT369" s="408">
        <f t="shared" si="1358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359">IF(BD363="","",(BD363-BD365-BD368)*BD364/BD$46/365/$G$1)</f>
        <v>1.1154598825831702E-2</v>
      </c>
      <c r="BE369" s="408" t="str">
        <f t="shared" si="1359"/>
        <v/>
      </c>
      <c r="BF369" s="408" t="str">
        <f t="shared" si="1359"/>
        <v/>
      </c>
      <c r="BG369" s="408">
        <f t="shared" si="1359"/>
        <v>0.17847358121330723</v>
      </c>
      <c r="BH369" s="408">
        <f t="shared" si="1359"/>
        <v>0.13385518590998044</v>
      </c>
      <c r="BI369" s="408">
        <f t="shared" si="1359"/>
        <v>9.5610847078557451E-2</v>
      </c>
      <c r="BJ369" s="408">
        <f t="shared" si="1359"/>
        <v>0.14872798434442269</v>
      </c>
      <c r="BK369" s="408">
        <f t="shared" si="1359"/>
        <v>3.8669275929549898E-2</v>
      </c>
      <c r="BL369" s="408">
        <f t="shared" si="1359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313"/>
        <v>4.5425775789767961E-2</v>
      </c>
      <c r="CA369" s="398">
        <f t="shared" si="1314"/>
        <v>8.5540723138570474E-2</v>
      </c>
      <c r="CB369" s="398">
        <f t="shared" si="1315"/>
        <v>7.8734083919993883E-2</v>
      </c>
      <c r="CC369" s="465">
        <f t="shared" si="1316"/>
        <v>0.10320305656509179</v>
      </c>
      <c r="CD369" s="111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5" t="str">
        <f t="shared" ref="CE369:CT369" si="13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6" t="str">
        <f t="shared" si="1360"/>
        <v/>
      </c>
      <c r="CG369" s="1116" t="str">
        <f t="shared" si="1360"/>
        <v/>
      </c>
      <c r="CH369" s="1116" t="str">
        <f t="shared" si="1360"/>
        <v/>
      </c>
      <c r="CI369" s="1116">
        <f t="shared" si="1360"/>
        <v>1.487279843444227E-2</v>
      </c>
      <c r="CJ369" s="1116">
        <f t="shared" si="1360"/>
        <v>2.974559686888454E-2</v>
      </c>
      <c r="CK369" s="1117">
        <f t="shared" si="1360"/>
        <v>3.187028235951915E-2</v>
      </c>
      <c r="CL369" s="1117">
        <f t="shared" si="1360"/>
        <v>4.0156555772994131E-2</v>
      </c>
      <c r="CM369" s="1117">
        <f t="shared" si="1360"/>
        <v>5.0992451775230638E-2</v>
      </c>
      <c r="CN369" s="1116">
        <f t="shared" si="1360"/>
        <v>7.4363992172211346E-2</v>
      </c>
      <c r="CO369" s="1116">
        <f t="shared" si="1360"/>
        <v>7.4363992172211346E-2</v>
      </c>
      <c r="CP369" s="1116" t="str">
        <f t="shared" si="1360"/>
        <v/>
      </c>
      <c r="CQ369" s="1116" t="str">
        <f t="shared" si="1360"/>
        <v/>
      </c>
      <c r="CR369" s="1116" t="str">
        <f t="shared" si="1360"/>
        <v/>
      </c>
      <c r="CS369" s="1115" t="str">
        <f t="shared" si="1360"/>
        <v/>
      </c>
      <c r="CT369" s="1118" t="str">
        <f t="shared" si="1360"/>
        <v/>
      </c>
      <c r="CU369" s="312" t="str">
        <f t="shared" si="1319"/>
        <v/>
      </c>
      <c r="CV369" s="313" t="str">
        <f t="shared" si="1320"/>
        <v/>
      </c>
      <c r="CW369" s="314" t="str">
        <f t="shared" si="1321"/>
        <v/>
      </c>
      <c r="CX369" s="314" t="str">
        <f t="shared" si="1322"/>
        <v/>
      </c>
      <c r="CY369" s="314" t="str">
        <f t="shared" si="1323"/>
        <v/>
      </c>
      <c r="CZ369" s="314">
        <f t="shared" si="1324"/>
        <v>1.9122169415711491E-2</v>
      </c>
      <c r="DA369" s="314">
        <f t="shared" si="1325"/>
        <v>2.2309197651663403E-2</v>
      </c>
      <c r="DB369" s="315">
        <f t="shared" si="1326"/>
        <v>3.5694716242661448E-2</v>
      </c>
      <c r="DC369" s="315">
        <f t="shared" si="1327"/>
        <v>5.3542074363992172E-2</v>
      </c>
      <c r="DD369" s="315">
        <f t="shared" si="1328"/>
        <v>9.2954990215264183E-2</v>
      </c>
      <c r="DE369" s="314">
        <f t="shared" si="1329"/>
        <v>0.1274811294380766</v>
      </c>
      <c r="DF369" s="314">
        <f t="shared" si="1330"/>
        <v>0.18126223091976518</v>
      </c>
      <c r="DG369" s="314">
        <f t="shared" si="1331"/>
        <v>0.19875466998754673</v>
      </c>
      <c r="DH369" s="314" t="str">
        <f t="shared" si="1332"/>
        <v/>
      </c>
      <c r="DI369" s="314" t="str">
        <f t="shared" si="1333"/>
        <v/>
      </c>
      <c r="DJ369" s="313" t="str">
        <f t="shared" si="1334"/>
        <v/>
      </c>
      <c r="DK369" s="312" t="str">
        <f t="shared" si="1335"/>
        <v/>
      </c>
      <c r="DL369" s="428">
        <f t="shared" si="1336"/>
        <v>7</v>
      </c>
      <c r="DM369" s="66">
        <f t="shared" si="1337"/>
        <v>8</v>
      </c>
      <c r="DN369" s="66">
        <f t="shared" si="1338"/>
        <v>9</v>
      </c>
      <c r="DO369" s="66">
        <f t="shared" si="1339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313"/>
        <v/>
      </c>
      <c r="CA370" s="365" t="str">
        <f t="shared" si="1314"/>
        <v/>
      </c>
      <c r="CB370" s="365" t="str">
        <f t="shared" si="1315"/>
        <v/>
      </c>
      <c r="CC370" s="461" t="str">
        <f t="shared" si="1316"/>
        <v/>
      </c>
      <c r="CD370" s="1154"/>
      <c r="CE370" s="1154"/>
      <c r="CF370" s="1154"/>
      <c r="CG370" s="1154"/>
      <c r="CH370" s="1154"/>
      <c r="CI370" s="1154"/>
      <c r="CJ370" s="1154"/>
      <c r="CK370" s="1154"/>
      <c r="CL370" s="1154"/>
      <c r="CM370" s="1154"/>
      <c r="CN370" s="1154"/>
      <c r="CO370" s="1154"/>
      <c r="CP370" s="1154"/>
      <c r="CQ370" s="1154"/>
      <c r="CR370" s="1154"/>
      <c r="CS370" s="1154"/>
      <c r="CT370" s="1155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313"/>
        <v/>
      </c>
      <c r="CA371" s="373">
        <f t="shared" si="1314"/>
        <v>3.6666666666666665</v>
      </c>
      <c r="CB371" s="373">
        <f t="shared" si="1315"/>
        <v>13.5</v>
      </c>
      <c r="CC371" s="462">
        <f t="shared" si="1316"/>
        <v>87.5</v>
      </c>
      <c r="CD371" s="1109" t="str">
        <f t="shared" ref="CD371:CT371" si="13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0" t="str">
        <f t="shared" si="1361"/>
        <v/>
      </c>
      <c r="CF371" s="1111" t="str">
        <f t="shared" si="1361"/>
        <v/>
      </c>
      <c r="CG371" s="1111" t="str">
        <f t="shared" si="1361"/>
        <v/>
      </c>
      <c r="CH371" s="1111" t="str">
        <f t="shared" si="1361"/>
        <v/>
      </c>
      <c r="CI371" s="1111" t="str">
        <f t="shared" si="1361"/>
        <v/>
      </c>
      <c r="CJ371" s="1111" t="str">
        <f t="shared" si="1361"/>
        <v/>
      </c>
      <c r="CK371" s="1112" t="str">
        <f t="shared" si="1361"/>
        <v/>
      </c>
      <c r="CL371" s="1112" t="str">
        <f t="shared" si="1361"/>
        <v/>
      </c>
      <c r="CM371" s="1112" t="str">
        <f t="shared" si="1361"/>
        <v/>
      </c>
      <c r="CN371" s="1111" t="str">
        <f t="shared" si="1361"/>
        <v/>
      </c>
      <c r="CO371" s="1111" t="str">
        <f t="shared" si="1361"/>
        <v/>
      </c>
      <c r="CP371" s="1111" t="str">
        <f t="shared" si="1361"/>
        <v/>
      </c>
      <c r="CQ371" s="1111" t="str">
        <f t="shared" si="1361"/>
        <v/>
      </c>
      <c r="CR371" s="1111" t="str">
        <f t="shared" si="1361"/>
        <v/>
      </c>
      <c r="CS371" s="1110" t="str">
        <f t="shared" si="1361"/>
        <v/>
      </c>
      <c r="CT371" s="1113" t="str">
        <f t="shared" si="1361"/>
        <v/>
      </c>
      <c r="CU371" s="324" t="str">
        <f t="shared" ref="CU371:DK371" si="13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62"/>
        <v/>
      </c>
      <c r="CW371" s="326" t="str">
        <f t="shared" si="1362"/>
        <v/>
      </c>
      <c r="CX371" s="326" t="str">
        <f t="shared" si="1362"/>
        <v/>
      </c>
      <c r="CY371" s="326" t="str">
        <f t="shared" si="1362"/>
        <v/>
      </c>
      <c r="CZ371" s="326">
        <f t="shared" si="1362"/>
        <v>1</v>
      </c>
      <c r="DA371" s="326">
        <f t="shared" si="1362"/>
        <v>2</v>
      </c>
      <c r="DB371" s="327">
        <f t="shared" si="1362"/>
        <v>2</v>
      </c>
      <c r="DC371" s="327">
        <f t="shared" si="1362"/>
        <v>3</v>
      </c>
      <c r="DD371" s="327">
        <f t="shared" si="1362"/>
        <v>4</v>
      </c>
      <c r="DE371" s="326">
        <f t="shared" si="1362"/>
        <v>5</v>
      </c>
      <c r="DF371" s="326">
        <f t="shared" si="1362"/>
        <v>6</v>
      </c>
      <c r="DG371" s="326">
        <f t="shared" si="1362"/>
        <v>7</v>
      </c>
      <c r="DH371" s="326" t="str">
        <f t="shared" si="1362"/>
        <v/>
      </c>
      <c r="DI371" s="326" t="str">
        <f t="shared" si="1362"/>
        <v/>
      </c>
      <c r="DJ371" s="325" t="str">
        <f t="shared" si="1362"/>
        <v/>
      </c>
      <c r="DK371" s="324" t="str">
        <f t="shared" si="1362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2"/>
      <c r="CE372" s="1153"/>
      <c r="CF372" s="1153"/>
      <c r="CG372" s="1153"/>
      <c r="CH372" s="1153"/>
      <c r="CI372" s="1153"/>
      <c r="CJ372" s="1153"/>
      <c r="CK372" s="1153"/>
      <c r="CL372" s="1153"/>
      <c r="CM372" s="1153"/>
      <c r="CN372" s="1153"/>
      <c r="CO372" s="1153"/>
      <c r="CP372" s="1153"/>
      <c r="CQ372" s="1153"/>
      <c r="CR372" s="1153"/>
      <c r="CS372" s="1153"/>
      <c r="CT372" s="1135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363">IF(DL373&lt;3,"",(SUM(B373:R373)-MIN(B373:R373)-MAX(B373:R373))/(DL373-2))</f>
        <v/>
      </c>
      <c r="CA373" s="373">
        <f t="shared" ref="CA373:CA381" si="1364">IF(DM373&lt;3,"",(SUM(T373:AJ373)-MIN(T373:AJ373)-MAX(T373:AJ373))/(DM373-2))</f>
        <v>18.666666666666668</v>
      </c>
      <c r="CB373" s="373">
        <f t="shared" ref="CB373:CB381" si="1365">IF(DN373&lt;3,"",(SUM(AL373:BB373)-MIN(AL373:BB373)-MAX(AL373:BB373))/(DN373-2))</f>
        <v>20</v>
      </c>
      <c r="CC373" s="462">
        <f t="shared" ref="CC373:CC381" si="1366">IF(DO373&lt;3,"",(SUM(BD373:BT373)-MIN(BD373:BT373)-MAX(BD373:BT373))/(DO373-2))</f>
        <v>20</v>
      </c>
      <c r="CD373" s="1109" t="str">
        <f t="shared" ref="CD373:CS379" si="13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0" t="str">
        <f t="shared" si="1367"/>
        <v/>
      </c>
      <c r="CF373" s="1111" t="str">
        <f t="shared" si="1367"/>
        <v/>
      </c>
      <c r="CG373" s="1111" t="str">
        <f t="shared" si="1367"/>
        <v/>
      </c>
      <c r="CH373" s="1111" t="str">
        <f t="shared" si="1367"/>
        <v/>
      </c>
      <c r="CI373" s="1111" t="str">
        <f t="shared" si="1367"/>
        <v/>
      </c>
      <c r="CJ373" s="1111" t="str">
        <f t="shared" si="1367"/>
        <v/>
      </c>
      <c r="CK373" s="1112" t="str">
        <f t="shared" si="1367"/>
        <v/>
      </c>
      <c r="CL373" s="1112" t="str">
        <f t="shared" si="1367"/>
        <v/>
      </c>
      <c r="CM373" s="1112" t="str">
        <f t="shared" si="1367"/>
        <v/>
      </c>
      <c r="CN373" s="1111" t="str">
        <f t="shared" si="1367"/>
        <v/>
      </c>
      <c r="CO373" s="1111" t="str">
        <f t="shared" si="1367"/>
        <v/>
      </c>
      <c r="CP373" s="1111" t="str">
        <f t="shared" si="1367"/>
        <v/>
      </c>
      <c r="CQ373" s="1111" t="str">
        <f t="shared" si="1367"/>
        <v/>
      </c>
      <c r="CR373" s="1111" t="str">
        <f t="shared" si="1367"/>
        <v/>
      </c>
      <c r="CS373" s="1110" t="str">
        <f t="shared" si="1367"/>
        <v/>
      </c>
      <c r="CT373" s="1113" t="str">
        <f t="shared" ref="CT373:CT379" si="13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3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3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3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3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386">COUNT(B373:R373)</f>
        <v>0</v>
      </c>
      <c r="DM373" s="66">
        <f t="shared" ref="DM373:DM380" si="1387">COUNT(T373:AJ373)</f>
        <v>8</v>
      </c>
      <c r="DN373" s="66">
        <f t="shared" ref="DN373:DN380" si="1388">COUNT(AL373:BB373)</f>
        <v>4</v>
      </c>
      <c r="DO373" s="66">
        <f t="shared" ref="DO373:DO380" si="1389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390">IF(B371="","",B371*B373)</f>
        <v/>
      </c>
      <c r="C374" s="405" t="str">
        <f t="shared" si="1390"/>
        <v/>
      </c>
      <c r="D374" s="405" t="str">
        <f t="shared" si="1390"/>
        <v/>
      </c>
      <c r="E374" s="405" t="str">
        <f t="shared" si="1390"/>
        <v/>
      </c>
      <c r="F374" s="405" t="str">
        <f t="shared" si="1390"/>
        <v/>
      </c>
      <c r="G374" s="405" t="str">
        <f t="shared" si="1390"/>
        <v/>
      </c>
      <c r="H374" s="405" t="str">
        <f t="shared" si="1390"/>
        <v/>
      </c>
      <c r="I374" s="405" t="str">
        <f t="shared" si="1390"/>
        <v/>
      </c>
      <c r="J374" s="405" t="str">
        <f t="shared" si="1390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391">IF(T371="","",T371*T373)</f>
        <v>40</v>
      </c>
      <c r="U374" s="405">
        <f t="shared" si="1391"/>
        <v>60</v>
      </c>
      <c r="V374" s="405">
        <f t="shared" si="1391"/>
        <v>140</v>
      </c>
      <c r="W374" s="405">
        <f t="shared" si="1391"/>
        <v>100</v>
      </c>
      <c r="X374" s="405">
        <f t="shared" si="1391"/>
        <v>12</v>
      </c>
      <c r="Y374" s="405">
        <f t="shared" si="1391"/>
        <v>40</v>
      </c>
      <c r="Z374" s="405" t="str">
        <f t="shared" si="1391"/>
        <v/>
      </c>
      <c r="AA374" s="405">
        <f t="shared" si="1391"/>
        <v>80</v>
      </c>
      <c r="AB374" s="405">
        <f t="shared" si="1391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392">IF(AL371="","",AL371*AL373)</f>
        <v/>
      </c>
      <c r="AM374" s="405" t="str">
        <f t="shared" si="1392"/>
        <v/>
      </c>
      <c r="AN374" s="405" t="str">
        <f t="shared" si="1392"/>
        <v/>
      </c>
      <c r="AO374" s="405">
        <f t="shared" si="1392"/>
        <v>340</v>
      </c>
      <c r="AP374" s="405">
        <f t="shared" si="1392"/>
        <v>1000</v>
      </c>
      <c r="AQ374" s="405" t="str">
        <f t="shared" si="1392"/>
        <v/>
      </c>
      <c r="AR374" s="405">
        <f t="shared" si="1392"/>
        <v>250</v>
      </c>
      <c r="AS374" s="405">
        <f t="shared" si="1392"/>
        <v>60</v>
      </c>
      <c r="AT374" s="405" t="str">
        <f t="shared" si="1392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393">IF(BD371="","",BD371*BD373)</f>
        <v>1960</v>
      </c>
      <c r="BE374" s="405">
        <f t="shared" si="1393"/>
        <v>2040</v>
      </c>
      <c r="BF374" s="405">
        <f t="shared" si="1393"/>
        <v>2000</v>
      </c>
      <c r="BG374" s="405" t="str">
        <f t="shared" si="1393"/>
        <v/>
      </c>
      <c r="BH374" s="405">
        <f t="shared" si="1393"/>
        <v>1000</v>
      </c>
      <c r="BI374" s="405" t="str">
        <f t="shared" si="1393"/>
        <v/>
      </c>
      <c r="BJ374" s="405">
        <f t="shared" si="1393"/>
        <v>2400</v>
      </c>
      <c r="BK374" s="405">
        <f t="shared" si="1393"/>
        <v>240</v>
      </c>
      <c r="BL374" s="405" t="str">
        <f t="shared" si="1393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363"/>
        <v/>
      </c>
      <c r="CA374" s="373">
        <f t="shared" si="1364"/>
        <v>63.333333333333336</v>
      </c>
      <c r="CB374" s="373">
        <f t="shared" si="1365"/>
        <v>295</v>
      </c>
      <c r="CC374" s="462">
        <f t="shared" si="1366"/>
        <v>1750</v>
      </c>
      <c r="CD374" s="1109" t="str">
        <f t="shared" si="1367"/>
        <v/>
      </c>
      <c r="CE374" s="1110" t="str">
        <f t="shared" si="1367"/>
        <v/>
      </c>
      <c r="CF374" s="1111" t="str">
        <f t="shared" si="1367"/>
        <v/>
      </c>
      <c r="CG374" s="1111" t="str">
        <f t="shared" si="1367"/>
        <v/>
      </c>
      <c r="CH374" s="1111" t="str">
        <f t="shared" si="1367"/>
        <v/>
      </c>
      <c r="CI374" s="1111" t="str">
        <f t="shared" si="1367"/>
        <v/>
      </c>
      <c r="CJ374" s="1111" t="str">
        <f t="shared" si="1367"/>
        <v/>
      </c>
      <c r="CK374" s="1112" t="str">
        <f t="shared" si="1367"/>
        <v/>
      </c>
      <c r="CL374" s="1112" t="str">
        <f t="shared" si="1367"/>
        <v/>
      </c>
      <c r="CM374" s="1112" t="str">
        <f t="shared" si="1367"/>
        <v/>
      </c>
      <c r="CN374" s="1111" t="str">
        <f t="shared" si="1367"/>
        <v/>
      </c>
      <c r="CO374" s="1111" t="str">
        <f t="shared" si="1367"/>
        <v/>
      </c>
      <c r="CP374" s="1111" t="str">
        <f t="shared" si="1367"/>
        <v/>
      </c>
      <c r="CQ374" s="1111" t="str">
        <f t="shared" si="1367"/>
        <v/>
      </c>
      <c r="CR374" s="1111" t="str">
        <f t="shared" si="1367"/>
        <v/>
      </c>
      <c r="CS374" s="1110" t="str">
        <f t="shared" si="1367"/>
        <v/>
      </c>
      <c r="CT374" s="1113" t="str">
        <f t="shared" si="1368"/>
        <v/>
      </c>
      <c r="CU374" s="324" t="str">
        <f t="shared" si="1369"/>
        <v/>
      </c>
      <c r="CV374" s="325" t="str">
        <f t="shared" si="1370"/>
        <v/>
      </c>
      <c r="CW374" s="326" t="str">
        <f t="shared" si="1371"/>
        <v/>
      </c>
      <c r="CX374" s="326" t="str">
        <f t="shared" si="1372"/>
        <v/>
      </c>
      <c r="CY374" s="326" t="str">
        <f t="shared" si="1373"/>
        <v/>
      </c>
      <c r="CZ374" s="326">
        <f t="shared" si="1374"/>
        <v>12</v>
      </c>
      <c r="DA374" s="326">
        <f t="shared" si="1375"/>
        <v>40</v>
      </c>
      <c r="DB374" s="327">
        <f t="shared" si="1376"/>
        <v>40</v>
      </c>
      <c r="DC374" s="327">
        <f t="shared" si="1377"/>
        <v>60</v>
      </c>
      <c r="DD374" s="327">
        <f t="shared" si="1378"/>
        <v>60</v>
      </c>
      <c r="DE374" s="326">
        <f t="shared" si="1379"/>
        <v>80</v>
      </c>
      <c r="DF374" s="326">
        <f t="shared" si="1380"/>
        <v>100</v>
      </c>
      <c r="DG374" s="326">
        <f t="shared" si="1381"/>
        <v>140</v>
      </c>
      <c r="DH374" s="326" t="str">
        <f t="shared" si="1382"/>
        <v/>
      </c>
      <c r="DI374" s="326" t="str">
        <f t="shared" si="1383"/>
        <v/>
      </c>
      <c r="DJ374" s="325" t="str">
        <f t="shared" si="1384"/>
        <v/>
      </c>
      <c r="DK374" s="324" t="str">
        <f t="shared" si="1385"/>
        <v/>
      </c>
      <c r="DL374" s="428">
        <f t="shared" si="1386"/>
        <v>0</v>
      </c>
      <c r="DM374" s="66">
        <f t="shared" si="1387"/>
        <v>8</v>
      </c>
      <c r="DN374" s="66">
        <f t="shared" si="1388"/>
        <v>4</v>
      </c>
      <c r="DO374" s="66">
        <f t="shared" si="1389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363"/>
        <v>200</v>
      </c>
      <c r="CA375" s="373">
        <f t="shared" si="1364"/>
        <v>200</v>
      </c>
      <c r="CB375" s="373">
        <f t="shared" si="1365"/>
        <v>200</v>
      </c>
      <c r="CC375" s="462">
        <f t="shared" si="1366"/>
        <v>1090</v>
      </c>
      <c r="CD375" s="1109" t="str">
        <f t="shared" si="1367"/>
        <v/>
      </c>
      <c r="CE375" s="1110" t="str">
        <f t="shared" si="1367"/>
        <v/>
      </c>
      <c r="CF375" s="1111" t="str">
        <f t="shared" si="1367"/>
        <v/>
      </c>
      <c r="CG375" s="1111" t="str">
        <f t="shared" si="1367"/>
        <v/>
      </c>
      <c r="CH375" s="1111">
        <f t="shared" si="1367"/>
        <v>200</v>
      </c>
      <c r="CI375" s="1111">
        <f t="shared" si="1367"/>
        <v>200</v>
      </c>
      <c r="CJ375" s="1111">
        <f t="shared" si="1367"/>
        <v>200</v>
      </c>
      <c r="CK375" s="1112">
        <f t="shared" si="1367"/>
        <v>200</v>
      </c>
      <c r="CL375" s="1112">
        <f t="shared" si="1367"/>
        <v>200</v>
      </c>
      <c r="CM375" s="1112">
        <f t="shared" si="1367"/>
        <v>200</v>
      </c>
      <c r="CN375" s="1111">
        <f t="shared" si="1367"/>
        <v>200</v>
      </c>
      <c r="CO375" s="1111">
        <f t="shared" si="1367"/>
        <v>200</v>
      </c>
      <c r="CP375" s="1111">
        <f t="shared" si="1367"/>
        <v>200</v>
      </c>
      <c r="CQ375" s="1111" t="str">
        <f t="shared" si="1367"/>
        <v/>
      </c>
      <c r="CR375" s="1111" t="str">
        <f t="shared" si="1367"/>
        <v/>
      </c>
      <c r="CS375" s="1110" t="str">
        <f t="shared" si="1367"/>
        <v/>
      </c>
      <c r="CT375" s="1113" t="str">
        <f t="shared" si="1368"/>
        <v/>
      </c>
      <c r="CU375" s="324" t="str">
        <f t="shared" si="1369"/>
        <v/>
      </c>
      <c r="CV375" s="325" t="str">
        <f t="shared" si="1370"/>
        <v/>
      </c>
      <c r="CW375" s="326" t="str">
        <f t="shared" si="1371"/>
        <v/>
      </c>
      <c r="CX375" s="326" t="str">
        <f t="shared" si="1372"/>
        <v/>
      </c>
      <c r="CY375" s="326">
        <f t="shared" si="1373"/>
        <v>200</v>
      </c>
      <c r="CZ375" s="326">
        <f t="shared" si="1374"/>
        <v>200</v>
      </c>
      <c r="DA375" s="326">
        <f t="shared" si="1375"/>
        <v>200</v>
      </c>
      <c r="DB375" s="327">
        <f t="shared" si="1376"/>
        <v>200</v>
      </c>
      <c r="DC375" s="327">
        <f t="shared" si="1377"/>
        <v>200</v>
      </c>
      <c r="DD375" s="327">
        <f t="shared" si="1378"/>
        <v>200</v>
      </c>
      <c r="DE375" s="326">
        <f t="shared" si="1379"/>
        <v>200</v>
      </c>
      <c r="DF375" s="326">
        <f t="shared" si="1380"/>
        <v>200</v>
      </c>
      <c r="DG375" s="326">
        <f t="shared" si="1381"/>
        <v>200</v>
      </c>
      <c r="DH375" s="326" t="str">
        <f t="shared" si="1382"/>
        <v/>
      </c>
      <c r="DI375" s="326" t="str">
        <f t="shared" si="1383"/>
        <v/>
      </c>
      <c r="DJ375" s="325" t="str">
        <f t="shared" si="1384"/>
        <v/>
      </c>
      <c r="DK375" s="324" t="str">
        <f t="shared" si="1385"/>
        <v/>
      </c>
      <c r="DL375" s="428">
        <f t="shared" si="1386"/>
        <v>9</v>
      </c>
      <c r="DM375" s="66">
        <f t="shared" si="1387"/>
        <v>9</v>
      </c>
      <c r="DN375" s="66">
        <f t="shared" si="1388"/>
        <v>9</v>
      </c>
      <c r="DO375" s="66">
        <f t="shared" si="1389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363"/>
        <v/>
      </c>
      <c r="CA376" s="373">
        <f t="shared" si="1364"/>
        <v>43.333333333333336</v>
      </c>
      <c r="CB376" s="373">
        <f t="shared" si="1365"/>
        <v>250</v>
      </c>
      <c r="CC376" s="462">
        <f t="shared" si="1366"/>
        <v>1530</v>
      </c>
      <c r="CD376" s="1109" t="str">
        <f t="shared" si="1367"/>
        <v/>
      </c>
      <c r="CE376" s="1110" t="str">
        <f t="shared" si="1367"/>
        <v/>
      </c>
      <c r="CF376" s="1111" t="str">
        <f t="shared" si="1367"/>
        <v/>
      </c>
      <c r="CG376" s="1111" t="str">
        <f t="shared" si="1367"/>
        <v/>
      </c>
      <c r="CH376" s="1111" t="str">
        <f t="shared" si="1367"/>
        <v/>
      </c>
      <c r="CI376" s="1111" t="str">
        <f t="shared" si="1367"/>
        <v/>
      </c>
      <c r="CJ376" s="1111" t="str">
        <f t="shared" si="1367"/>
        <v/>
      </c>
      <c r="CK376" s="1112" t="str">
        <f t="shared" si="1367"/>
        <v/>
      </c>
      <c r="CL376" s="1112" t="str">
        <f t="shared" si="1367"/>
        <v/>
      </c>
      <c r="CM376" s="1112" t="str">
        <f t="shared" si="1367"/>
        <v/>
      </c>
      <c r="CN376" s="1111" t="str">
        <f t="shared" si="1367"/>
        <v/>
      </c>
      <c r="CO376" s="1111" t="str">
        <f t="shared" si="1367"/>
        <v/>
      </c>
      <c r="CP376" s="1111" t="str">
        <f t="shared" si="1367"/>
        <v/>
      </c>
      <c r="CQ376" s="1111" t="str">
        <f t="shared" si="1367"/>
        <v/>
      </c>
      <c r="CR376" s="1111" t="str">
        <f t="shared" si="1367"/>
        <v/>
      </c>
      <c r="CS376" s="1110" t="str">
        <f t="shared" si="1367"/>
        <v/>
      </c>
      <c r="CT376" s="1113" t="str">
        <f t="shared" si="1368"/>
        <v/>
      </c>
      <c r="CU376" s="324" t="str">
        <f t="shared" si="1369"/>
        <v/>
      </c>
      <c r="CV376" s="325" t="str">
        <f t="shared" si="1370"/>
        <v/>
      </c>
      <c r="CW376" s="326" t="str">
        <f t="shared" si="1371"/>
        <v/>
      </c>
      <c r="CX376" s="326" t="str">
        <f t="shared" si="1372"/>
        <v/>
      </c>
      <c r="CY376" s="326" t="str">
        <f t="shared" si="1373"/>
        <v/>
      </c>
      <c r="CZ376" s="326" t="str">
        <f t="shared" si="1374"/>
        <v/>
      </c>
      <c r="DA376" s="326">
        <f t="shared" si="1375"/>
        <v>20</v>
      </c>
      <c r="DB376" s="327">
        <f t="shared" si="1376"/>
        <v>20</v>
      </c>
      <c r="DC376" s="327">
        <f t="shared" si="1377"/>
        <v>40</v>
      </c>
      <c r="DD376" s="327">
        <f t="shared" si="1378"/>
        <v>70</v>
      </c>
      <c r="DE376" s="326">
        <f t="shared" si="1379"/>
        <v>80</v>
      </c>
      <c r="DF376" s="326" t="str">
        <f t="shared" si="1380"/>
        <v/>
      </c>
      <c r="DG376" s="326" t="str">
        <f t="shared" si="1381"/>
        <v/>
      </c>
      <c r="DH376" s="326" t="str">
        <f t="shared" si="1382"/>
        <v/>
      </c>
      <c r="DI376" s="326" t="str">
        <f t="shared" si="1383"/>
        <v/>
      </c>
      <c r="DJ376" s="325" t="str">
        <f t="shared" si="1384"/>
        <v/>
      </c>
      <c r="DK376" s="324" t="str">
        <f t="shared" si="1385"/>
        <v/>
      </c>
      <c r="DL376" s="428">
        <f t="shared" si="1386"/>
        <v>0</v>
      </c>
      <c r="DM376" s="66">
        <f t="shared" si="1387"/>
        <v>5</v>
      </c>
      <c r="DN376" s="66">
        <f t="shared" si="1388"/>
        <v>4</v>
      </c>
      <c r="DO376" s="66">
        <f t="shared" si="1389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363"/>
        <v/>
      </c>
      <c r="CA377" s="373">
        <f t="shared" si="1364"/>
        <v>7.663333333333334</v>
      </c>
      <c r="CB377" s="373">
        <f t="shared" si="1365"/>
        <v>1</v>
      </c>
      <c r="CC377" s="462">
        <f t="shared" si="1366"/>
        <v>1.4</v>
      </c>
      <c r="CD377" s="1109" t="str">
        <f t="shared" si="1367"/>
        <v/>
      </c>
      <c r="CE377" s="1110" t="str">
        <f t="shared" si="1367"/>
        <v/>
      </c>
      <c r="CF377" s="1111" t="str">
        <f t="shared" si="1367"/>
        <v/>
      </c>
      <c r="CG377" s="1111" t="str">
        <f t="shared" si="1367"/>
        <v/>
      </c>
      <c r="CH377" s="1111" t="str">
        <f t="shared" si="1367"/>
        <v/>
      </c>
      <c r="CI377" s="1111" t="str">
        <f t="shared" si="1367"/>
        <v/>
      </c>
      <c r="CJ377" s="1111" t="str">
        <f t="shared" si="1367"/>
        <v/>
      </c>
      <c r="CK377" s="1112" t="str">
        <f t="shared" si="1367"/>
        <v/>
      </c>
      <c r="CL377" s="1112" t="str">
        <f t="shared" si="1367"/>
        <v/>
      </c>
      <c r="CM377" s="1112" t="str">
        <f t="shared" si="1367"/>
        <v/>
      </c>
      <c r="CN377" s="1111" t="str">
        <f t="shared" si="1367"/>
        <v/>
      </c>
      <c r="CO377" s="1111" t="str">
        <f t="shared" si="1367"/>
        <v/>
      </c>
      <c r="CP377" s="1111" t="str">
        <f t="shared" si="1367"/>
        <v/>
      </c>
      <c r="CQ377" s="1111" t="str">
        <f t="shared" si="1367"/>
        <v/>
      </c>
      <c r="CR377" s="1111" t="str">
        <f t="shared" si="1367"/>
        <v/>
      </c>
      <c r="CS377" s="1110" t="str">
        <f t="shared" si="1367"/>
        <v/>
      </c>
      <c r="CT377" s="1113" t="str">
        <f t="shared" si="1368"/>
        <v/>
      </c>
      <c r="CU377" s="324" t="str">
        <f t="shared" si="1369"/>
        <v/>
      </c>
      <c r="CV377" s="325" t="str">
        <f t="shared" si="1370"/>
        <v/>
      </c>
      <c r="CW377" s="326" t="str">
        <f t="shared" si="1371"/>
        <v/>
      </c>
      <c r="CX377" s="326" t="str">
        <f t="shared" si="1372"/>
        <v/>
      </c>
      <c r="CY377" s="326" t="str">
        <f t="shared" si="1373"/>
        <v/>
      </c>
      <c r="CZ377" s="326" t="str">
        <f t="shared" si="1374"/>
        <v/>
      </c>
      <c r="DA377" s="326">
        <f t="shared" si="1375"/>
        <v>1</v>
      </c>
      <c r="DB377" s="327">
        <f t="shared" si="1376"/>
        <v>2</v>
      </c>
      <c r="DC377" s="327">
        <f t="shared" si="1377"/>
        <v>6</v>
      </c>
      <c r="DD377" s="327">
        <f t="shared" si="1378"/>
        <v>14.99</v>
      </c>
      <c r="DE377" s="326">
        <f t="shared" si="1379"/>
        <v>15</v>
      </c>
      <c r="DF377" s="326" t="str">
        <f t="shared" si="1380"/>
        <v/>
      </c>
      <c r="DG377" s="326" t="str">
        <f t="shared" si="1381"/>
        <v/>
      </c>
      <c r="DH377" s="326" t="str">
        <f t="shared" si="1382"/>
        <v/>
      </c>
      <c r="DI377" s="326" t="str">
        <f t="shared" si="1383"/>
        <v/>
      </c>
      <c r="DJ377" s="325" t="str">
        <f t="shared" si="1384"/>
        <v/>
      </c>
      <c r="DK377" s="324" t="str">
        <f t="shared" si="1385"/>
        <v/>
      </c>
      <c r="DL377" s="428">
        <f t="shared" si="1386"/>
        <v>0</v>
      </c>
      <c r="DM377" s="66">
        <f t="shared" si="1387"/>
        <v>5</v>
      </c>
      <c r="DN377" s="66">
        <f t="shared" si="1388"/>
        <v>4</v>
      </c>
      <c r="DO377" s="66">
        <f t="shared" si="1389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394">IF(B376="","",B376*B377)</f>
        <v/>
      </c>
      <c r="C378" s="405" t="str">
        <f t="shared" si="1394"/>
        <v/>
      </c>
      <c r="D378" s="405" t="str">
        <f t="shared" si="1394"/>
        <v/>
      </c>
      <c r="E378" s="405" t="str">
        <f t="shared" si="1394"/>
        <v/>
      </c>
      <c r="F378" s="405" t="str">
        <f t="shared" si="1394"/>
        <v/>
      </c>
      <c r="G378" s="405" t="str">
        <f t="shared" si="1394"/>
        <v/>
      </c>
      <c r="H378" s="405" t="str">
        <f t="shared" si="1394"/>
        <v/>
      </c>
      <c r="I378" s="405" t="str">
        <f t="shared" si="1394"/>
        <v/>
      </c>
      <c r="J378" s="405" t="str">
        <f t="shared" si="1394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395">IF(T376="","",T376*T377)</f>
        <v/>
      </c>
      <c r="U378" s="405">
        <f t="shared" si="1395"/>
        <v>120</v>
      </c>
      <c r="V378" s="405">
        <f t="shared" si="1395"/>
        <v>160</v>
      </c>
      <c r="W378" s="405">
        <f t="shared" si="1395"/>
        <v>599.6</v>
      </c>
      <c r="X378" s="405" t="str">
        <f t="shared" si="1395"/>
        <v/>
      </c>
      <c r="Y378" s="405">
        <f t="shared" si="1395"/>
        <v>300</v>
      </c>
      <c r="Z378" s="405" t="str">
        <f t="shared" si="1395"/>
        <v/>
      </c>
      <c r="AA378" s="405">
        <f t="shared" si="1395"/>
        <v>70</v>
      </c>
      <c r="AB378" s="405" t="str">
        <f t="shared" si="1395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396">IF(AL376="","",AL376*AL377)</f>
        <v/>
      </c>
      <c r="AM378" s="405" t="str">
        <f t="shared" si="1396"/>
        <v/>
      </c>
      <c r="AN378" s="405" t="str">
        <f t="shared" si="1396"/>
        <v/>
      </c>
      <c r="AO378" s="405">
        <f t="shared" si="1396"/>
        <v>300</v>
      </c>
      <c r="AP378" s="405">
        <f t="shared" si="1396"/>
        <v>960</v>
      </c>
      <c r="AQ378" s="405" t="str">
        <f t="shared" si="1396"/>
        <v/>
      </c>
      <c r="AR378" s="405">
        <f t="shared" si="1396"/>
        <v>200</v>
      </c>
      <c r="AS378" s="405">
        <f t="shared" si="1396"/>
        <v>40</v>
      </c>
      <c r="AT378" s="405" t="str">
        <f t="shared" si="1396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397">IF(BD376="","",BD376*BD377)</f>
        <v>2470</v>
      </c>
      <c r="BE378" s="405">
        <f t="shared" si="1397"/>
        <v>2548</v>
      </c>
      <c r="BF378" s="405">
        <f t="shared" si="1397"/>
        <v>1170</v>
      </c>
      <c r="BG378" s="405" t="str">
        <f t="shared" si="1397"/>
        <v/>
      </c>
      <c r="BH378" s="405">
        <f t="shared" si="1397"/>
        <v>1400</v>
      </c>
      <c r="BI378" s="405" t="str">
        <f t="shared" si="1397"/>
        <v/>
      </c>
      <c r="BJ378" s="405">
        <f t="shared" si="1397"/>
        <v>4000</v>
      </c>
      <c r="BK378" s="405">
        <f t="shared" si="1397"/>
        <v>200</v>
      </c>
      <c r="BL378" s="405" t="str">
        <f t="shared" si="1397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363"/>
        <v/>
      </c>
      <c r="CA378" s="373">
        <f t="shared" si="1364"/>
        <v>193.33333333333329</v>
      </c>
      <c r="CB378" s="373">
        <f t="shared" si="1365"/>
        <v>250</v>
      </c>
      <c r="CC378" s="462">
        <f t="shared" si="1366"/>
        <v>1897</v>
      </c>
      <c r="CD378" s="1109" t="str">
        <f t="shared" si="1367"/>
        <v/>
      </c>
      <c r="CE378" s="1110" t="str">
        <f t="shared" si="1367"/>
        <v/>
      </c>
      <c r="CF378" s="1111" t="str">
        <f t="shared" si="1367"/>
        <v/>
      </c>
      <c r="CG378" s="1111" t="str">
        <f t="shared" si="1367"/>
        <v/>
      </c>
      <c r="CH378" s="1111" t="str">
        <f t="shared" si="1367"/>
        <v/>
      </c>
      <c r="CI378" s="1111" t="str">
        <f t="shared" si="1367"/>
        <v/>
      </c>
      <c r="CJ378" s="1111" t="str">
        <f t="shared" si="1367"/>
        <v/>
      </c>
      <c r="CK378" s="1112" t="str">
        <f t="shared" si="1367"/>
        <v/>
      </c>
      <c r="CL378" s="1112" t="str">
        <f t="shared" si="1367"/>
        <v/>
      </c>
      <c r="CM378" s="1112" t="str">
        <f t="shared" si="1367"/>
        <v/>
      </c>
      <c r="CN378" s="1111" t="str">
        <f t="shared" si="1367"/>
        <v/>
      </c>
      <c r="CO378" s="1111" t="str">
        <f t="shared" si="1367"/>
        <v/>
      </c>
      <c r="CP378" s="1111" t="str">
        <f t="shared" si="1367"/>
        <v/>
      </c>
      <c r="CQ378" s="1111" t="str">
        <f t="shared" si="1367"/>
        <v/>
      </c>
      <c r="CR378" s="1111" t="str">
        <f t="shared" si="1367"/>
        <v/>
      </c>
      <c r="CS378" s="1110" t="str">
        <f t="shared" si="1367"/>
        <v/>
      </c>
      <c r="CT378" s="1113" t="str">
        <f t="shared" si="1368"/>
        <v/>
      </c>
      <c r="CU378" s="324" t="str">
        <f t="shared" si="1369"/>
        <v/>
      </c>
      <c r="CV378" s="325" t="str">
        <f t="shared" si="1370"/>
        <v/>
      </c>
      <c r="CW378" s="326" t="str">
        <f t="shared" si="1371"/>
        <v/>
      </c>
      <c r="CX378" s="326" t="str">
        <f t="shared" si="1372"/>
        <v/>
      </c>
      <c r="CY378" s="326" t="str">
        <f t="shared" si="1373"/>
        <v/>
      </c>
      <c r="CZ378" s="326" t="str">
        <f t="shared" si="1374"/>
        <v/>
      </c>
      <c r="DA378" s="326">
        <f t="shared" si="1375"/>
        <v>70</v>
      </c>
      <c r="DB378" s="327">
        <f t="shared" si="1376"/>
        <v>120</v>
      </c>
      <c r="DC378" s="327">
        <f t="shared" si="1377"/>
        <v>160</v>
      </c>
      <c r="DD378" s="327">
        <f t="shared" si="1378"/>
        <v>300</v>
      </c>
      <c r="DE378" s="326">
        <f t="shared" si="1379"/>
        <v>599.6</v>
      </c>
      <c r="DF378" s="326" t="str">
        <f t="shared" si="1380"/>
        <v/>
      </c>
      <c r="DG378" s="326" t="str">
        <f t="shared" si="1381"/>
        <v/>
      </c>
      <c r="DH378" s="326" t="str">
        <f t="shared" si="1382"/>
        <v/>
      </c>
      <c r="DI378" s="326" t="str">
        <f t="shared" si="1383"/>
        <v/>
      </c>
      <c r="DJ378" s="325" t="str">
        <f t="shared" si="1384"/>
        <v/>
      </c>
      <c r="DK378" s="324" t="str">
        <f t="shared" si="1385"/>
        <v/>
      </c>
      <c r="DL378" s="428">
        <f t="shared" si="1386"/>
        <v>0</v>
      </c>
      <c r="DM378" s="66">
        <f t="shared" si="1387"/>
        <v>5</v>
      </c>
      <c r="DN378" s="66">
        <f t="shared" si="1388"/>
        <v>4</v>
      </c>
      <c r="DO378" s="66">
        <f t="shared" si="1389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363"/>
        <v/>
      </c>
      <c r="CA379" s="373" t="str">
        <f t="shared" si="1364"/>
        <v/>
      </c>
      <c r="CB379" s="373" t="str">
        <f t="shared" si="1365"/>
        <v/>
      </c>
      <c r="CC379" s="462" t="str">
        <f t="shared" si="1366"/>
        <v/>
      </c>
      <c r="CD379" s="1109" t="str">
        <f t="shared" si="1367"/>
        <v/>
      </c>
      <c r="CE379" s="1110" t="str">
        <f t="shared" si="1367"/>
        <v/>
      </c>
      <c r="CF379" s="1111" t="str">
        <f t="shared" si="1367"/>
        <v/>
      </c>
      <c r="CG379" s="1111" t="str">
        <f t="shared" si="1367"/>
        <v/>
      </c>
      <c r="CH379" s="1111" t="str">
        <f t="shared" si="1367"/>
        <v/>
      </c>
      <c r="CI379" s="1111" t="str">
        <f t="shared" si="1367"/>
        <v/>
      </c>
      <c r="CJ379" s="1111" t="str">
        <f t="shared" si="1367"/>
        <v/>
      </c>
      <c r="CK379" s="1112" t="str">
        <f t="shared" si="1367"/>
        <v/>
      </c>
      <c r="CL379" s="1112" t="str">
        <f t="shared" si="1367"/>
        <v/>
      </c>
      <c r="CM379" s="1112" t="str">
        <f t="shared" si="1367"/>
        <v/>
      </c>
      <c r="CN379" s="1111" t="str">
        <f t="shared" si="1367"/>
        <v/>
      </c>
      <c r="CO379" s="1111" t="str">
        <f t="shared" si="1367"/>
        <v/>
      </c>
      <c r="CP379" s="1111" t="str">
        <f t="shared" si="1367"/>
        <v/>
      </c>
      <c r="CQ379" s="1111" t="str">
        <f t="shared" si="1367"/>
        <v/>
      </c>
      <c r="CR379" s="1111" t="str">
        <f t="shared" si="1367"/>
        <v/>
      </c>
      <c r="CS379" s="1110" t="str">
        <f t="shared" si="1367"/>
        <v/>
      </c>
      <c r="CT379" s="1113" t="str">
        <f t="shared" si="1368"/>
        <v/>
      </c>
      <c r="CU379" s="324" t="str">
        <f t="shared" si="1369"/>
        <v/>
      </c>
      <c r="CV379" s="325" t="str">
        <f t="shared" si="1370"/>
        <v/>
      </c>
      <c r="CW379" s="326" t="str">
        <f t="shared" si="1371"/>
        <v/>
      </c>
      <c r="CX379" s="326" t="str">
        <f t="shared" si="1372"/>
        <v/>
      </c>
      <c r="CY379" s="326" t="str">
        <f t="shared" si="1373"/>
        <v/>
      </c>
      <c r="CZ379" s="326" t="str">
        <f t="shared" si="1374"/>
        <v/>
      </c>
      <c r="DA379" s="326" t="str">
        <f t="shared" si="1375"/>
        <v/>
      </c>
      <c r="DB379" s="327" t="str">
        <f t="shared" si="1376"/>
        <v/>
      </c>
      <c r="DC379" s="327" t="str">
        <f t="shared" si="1377"/>
        <v/>
      </c>
      <c r="DD379" s="327" t="str">
        <f t="shared" si="1378"/>
        <v/>
      </c>
      <c r="DE379" s="326" t="str">
        <f t="shared" si="1379"/>
        <v/>
      </c>
      <c r="DF379" s="326" t="str">
        <f t="shared" si="1380"/>
        <v/>
      </c>
      <c r="DG379" s="326" t="str">
        <f t="shared" si="1381"/>
        <v/>
      </c>
      <c r="DH379" s="326" t="str">
        <f t="shared" si="1382"/>
        <v/>
      </c>
      <c r="DI379" s="326" t="str">
        <f t="shared" si="1383"/>
        <v/>
      </c>
      <c r="DJ379" s="325" t="str">
        <f t="shared" si="1384"/>
        <v/>
      </c>
      <c r="DK379" s="324" t="str">
        <f t="shared" si="1385"/>
        <v/>
      </c>
      <c r="DL379" s="428">
        <f t="shared" si="1386"/>
        <v>0</v>
      </c>
      <c r="DM379" s="66">
        <f t="shared" si="1387"/>
        <v>0</v>
      </c>
      <c r="DN379" s="66">
        <f t="shared" si="1388"/>
        <v>0</v>
      </c>
      <c r="DO379" s="66">
        <f t="shared" si="1389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398">IF(B374="","",(B374-B376-B379)*B375/B$46/365/$G$1)</f>
        <v/>
      </c>
      <c r="C380" s="408" t="str">
        <f t="shared" si="1398"/>
        <v/>
      </c>
      <c r="D380" s="408" t="str">
        <f t="shared" si="1398"/>
        <v/>
      </c>
      <c r="E380" s="408" t="str">
        <f t="shared" si="1398"/>
        <v/>
      </c>
      <c r="F380" s="408" t="str">
        <f t="shared" si="1398"/>
        <v/>
      </c>
      <c r="G380" s="408" t="str">
        <f t="shared" si="1398"/>
        <v/>
      </c>
      <c r="H380" s="408" t="str">
        <f t="shared" si="1398"/>
        <v/>
      </c>
      <c r="I380" s="408" t="str">
        <f t="shared" si="1398"/>
        <v/>
      </c>
      <c r="J380" s="408" t="str">
        <f t="shared" si="1398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399">IF(T374="","",(T374-T376-T379)*T375/T$46/365/$G$1)</f>
        <v>1.3046314416177429E-3</v>
      </c>
      <c r="U380" s="408">
        <f t="shared" si="1399"/>
        <v>9.4882286663108579E-4</v>
      </c>
      <c r="V380" s="408">
        <f t="shared" si="1399"/>
        <v>1.3046314416177429E-3</v>
      </c>
      <c r="W380" s="408">
        <f t="shared" si="1399"/>
        <v>1.5655577299412914E-3</v>
      </c>
      <c r="X380" s="408">
        <f t="shared" si="1399"/>
        <v>3.9138943248532285E-4</v>
      </c>
      <c r="Y380" s="408">
        <f t="shared" si="1399"/>
        <v>7.455036809244246E-4</v>
      </c>
      <c r="Z380" s="408" t="str">
        <f t="shared" si="1399"/>
        <v/>
      </c>
      <c r="AA380" s="408">
        <f t="shared" si="1399"/>
        <v>2.609262883235486E-4</v>
      </c>
      <c r="AB380" s="408">
        <f t="shared" si="1399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400">IF(AL374="","",(AL374-AL376-AL379)*AL375/AL$46/365/$G$1)</f>
        <v/>
      </c>
      <c r="AM380" s="408" t="str">
        <f t="shared" si="1400"/>
        <v/>
      </c>
      <c r="AN380" s="408" t="str">
        <f t="shared" si="1400"/>
        <v/>
      </c>
      <c r="AO380" s="408">
        <f t="shared" si="1400"/>
        <v>1.3046314416177429E-3</v>
      </c>
      <c r="AP380" s="408">
        <f t="shared" si="1400"/>
        <v>8.6975429441182861E-3</v>
      </c>
      <c r="AQ380" s="408" t="str">
        <f t="shared" si="1400"/>
        <v/>
      </c>
      <c r="AR380" s="408">
        <f t="shared" si="1400"/>
        <v>1.6307893020221786E-3</v>
      </c>
      <c r="AS380" s="408">
        <f t="shared" si="1400"/>
        <v>6.5231572080887146E-4</v>
      </c>
      <c r="AT380" s="408" t="str">
        <f t="shared" si="1400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401">IF(BD374="","",(BD374-BD376-BD379)*BD375/BD$46/365/$G$1)</f>
        <v>7.1102413568166992E-3</v>
      </c>
      <c r="BE380" s="408">
        <f t="shared" si="1401"/>
        <v>9.4803218090889329E-3</v>
      </c>
      <c r="BF380" s="408">
        <f t="shared" si="1401"/>
        <v>6.2570123939986955E-2</v>
      </c>
      <c r="BG380" s="408" t="str">
        <f t="shared" si="1401"/>
        <v/>
      </c>
      <c r="BH380" s="408">
        <f t="shared" si="1401"/>
        <v>0</v>
      </c>
      <c r="BI380" s="408" t="str">
        <f t="shared" si="1401"/>
        <v/>
      </c>
      <c r="BJ380" s="408">
        <f t="shared" si="1401"/>
        <v>2.3700804522722333E-2</v>
      </c>
      <c r="BK380" s="408">
        <f t="shared" si="1401"/>
        <v>4.7401609045444664E-3</v>
      </c>
      <c r="BL380" s="408" t="str">
        <f t="shared" si="1401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363"/>
        <v/>
      </c>
      <c r="CA380" s="398">
        <f t="shared" si="1364"/>
        <v>1.0434227655362683E-3</v>
      </c>
      <c r="CB380" s="398">
        <f t="shared" si="1365"/>
        <v>1.4677103718199608E-3</v>
      </c>
      <c r="CC380" s="465">
        <f t="shared" si="1366"/>
        <v>1.1257882148293104E-2</v>
      </c>
      <c r="CD380" s="111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5" t="str">
        <f t="shared" ref="CE380:CT380" si="14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6" t="str">
        <f t="shared" si="1402"/>
        <v/>
      </c>
      <c r="CG380" s="1116" t="str">
        <f t="shared" si="1402"/>
        <v/>
      </c>
      <c r="CH380" s="1116" t="str">
        <f t="shared" si="1402"/>
        <v/>
      </c>
      <c r="CI380" s="1116" t="str">
        <f t="shared" si="1402"/>
        <v/>
      </c>
      <c r="CJ380" s="1116" t="str">
        <f t="shared" si="1402"/>
        <v/>
      </c>
      <c r="CK380" s="1117" t="str">
        <f t="shared" si="1402"/>
        <v/>
      </c>
      <c r="CL380" s="1117" t="str">
        <f t="shared" si="1402"/>
        <v/>
      </c>
      <c r="CM380" s="1117" t="str">
        <f t="shared" si="1402"/>
        <v/>
      </c>
      <c r="CN380" s="1116" t="str">
        <f t="shared" si="1402"/>
        <v/>
      </c>
      <c r="CO380" s="1116" t="str">
        <f t="shared" si="1402"/>
        <v/>
      </c>
      <c r="CP380" s="1116" t="str">
        <f t="shared" si="1402"/>
        <v/>
      </c>
      <c r="CQ380" s="1116" t="str">
        <f t="shared" si="1402"/>
        <v/>
      </c>
      <c r="CR380" s="1116" t="str">
        <f t="shared" si="1402"/>
        <v/>
      </c>
      <c r="CS380" s="1115" t="str">
        <f t="shared" si="1402"/>
        <v/>
      </c>
      <c r="CT380" s="1118" t="str">
        <f t="shared" si="1402"/>
        <v/>
      </c>
      <c r="CU380" s="312" t="str">
        <f t="shared" si="1369"/>
        <v/>
      </c>
      <c r="CV380" s="313" t="str">
        <f t="shared" si="1370"/>
        <v/>
      </c>
      <c r="CW380" s="314" t="str">
        <f t="shared" si="1371"/>
        <v/>
      </c>
      <c r="CX380" s="314" t="str">
        <f t="shared" si="1372"/>
        <v/>
      </c>
      <c r="CY380" s="314" t="str">
        <f t="shared" si="1373"/>
        <v/>
      </c>
      <c r="CZ380" s="314">
        <f t="shared" si="1374"/>
        <v>2.609262883235486E-4</v>
      </c>
      <c r="DA380" s="314">
        <f t="shared" si="1375"/>
        <v>3.9138943248532285E-4</v>
      </c>
      <c r="DB380" s="315">
        <f t="shared" si="1376"/>
        <v>7.455036809244246E-4</v>
      </c>
      <c r="DC380" s="315">
        <f t="shared" si="1377"/>
        <v>9.4882286663108579E-4</v>
      </c>
      <c r="DD380" s="315">
        <f t="shared" si="1378"/>
        <v>1.3046314416177429E-3</v>
      </c>
      <c r="DE380" s="314">
        <f t="shared" si="1379"/>
        <v>1.3046314416177429E-3</v>
      </c>
      <c r="DF380" s="314">
        <f t="shared" si="1380"/>
        <v>1.5655577299412914E-3</v>
      </c>
      <c r="DG380" s="314">
        <f t="shared" si="1381"/>
        <v>2.2365110427732737E-3</v>
      </c>
      <c r="DH380" s="314" t="str">
        <f t="shared" si="1382"/>
        <v/>
      </c>
      <c r="DI380" s="314" t="str">
        <f t="shared" si="1383"/>
        <v/>
      </c>
      <c r="DJ380" s="313" t="str">
        <f t="shared" si="1384"/>
        <v/>
      </c>
      <c r="DK380" s="312" t="str">
        <f t="shared" si="1385"/>
        <v/>
      </c>
      <c r="DL380" s="428">
        <f t="shared" si="1386"/>
        <v>0</v>
      </c>
      <c r="DM380" s="66">
        <f t="shared" si="1387"/>
        <v>8</v>
      </c>
      <c r="DN380" s="66">
        <f t="shared" si="1388"/>
        <v>4</v>
      </c>
      <c r="DO380" s="66">
        <f t="shared" si="1389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363"/>
        <v/>
      </c>
      <c r="CA381" s="365" t="str">
        <f t="shared" si="1364"/>
        <v/>
      </c>
      <c r="CB381" s="365" t="str">
        <f t="shared" si="1365"/>
        <v/>
      </c>
      <c r="CC381" s="461" t="str">
        <f t="shared" si="1366"/>
        <v/>
      </c>
      <c r="CD381" s="1154"/>
      <c r="CE381" s="1154"/>
      <c r="CF381" s="1154"/>
      <c r="CG381" s="1154"/>
      <c r="CH381" s="1154"/>
      <c r="CI381" s="1154"/>
      <c r="CJ381" s="1154"/>
      <c r="CK381" s="1154"/>
      <c r="CL381" s="1154"/>
      <c r="CM381" s="1154"/>
      <c r="CN381" s="1154"/>
      <c r="CO381" s="1154"/>
      <c r="CP381" s="1154"/>
      <c r="CQ381" s="1154"/>
      <c r="CR381" s="1154"/>
      <c r="CS381" s="1154"/>
      <c r="CT381" s="1155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2"/>
      <c r="CE382" s="1153"/>
      <c r="CF382" s="1153"/>
      <c r="CG382" s="1153"/>
      <c r="CH382" s="1153"/>
      <c r="CI382" s="1153"/>
      <c r="CJ382" s="1153"/>
      <c r="CK382" s="1153"/>
      <c r="CL382" s="1153"/>
      <c r="CM382" s="1153"/>
      <c r="CN382" s="1153"/>
      <c r="CO382" s="1153"/>
      <c r="CP382" s="1153"/>
      <c r="CQ382" s="1153"/>
      <c r="CR382" s="1153"/>
      <c r="CS382" s="1153"/>
      <c r="CT382" s="1135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403">IF(DL383&lt;3,"",(SUM(B383:R383)-MIN(B383:R383)-MAX(B383:R383))/(DL383-2))</f>
        <v/>
      </c>
      <c r="CA383" s="373" t="str">
        <f t="shared" ref="CA383:CA417" si="1404">IF(DM383&lt;3,"",(SUM(T383:AJ383)-MIN(T383:AJ383)-MAX(T383:AJ383))/(DM383-2))</f>
        <v/>
      </c>
      <c r="CB383" s="373" t="str">
        <f t="shared" ref="CB383:CB417" si="1405">IF(DN383&lt;3,"",(SUM(AL383:BB383)-MIN(AL383:BB383)-MAX(AL383:BB383))/(DN383-2))</f>
        <v/>
      </c>
      <c r="CC383" s="462" t="str">
        <f t="shared" ref="CC383:CC417" si="1406">IF(DO383&lt;3,"",(SUM(BD383:BT383)-MIN(BD383:BT383)-MAX(BD383:BT383))/(DO383-2))</f>
        <v/>
      </c>
      <c r="CD383" s="1109" t="str">
        <f t="shared" ref="CD383:CS389" si="14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0" t="str">
        <f t="shared" si="1407"/>
        <v/>
      </c>
      <c r="CF383" s="1111" t="str">
        <f t="shared" si="1407"/>
        <v/>
      </c>
      <c r="CG383" s="1111" t="str">
        <f t="shared" si="1407"/>
        <v/>
      </c>
      <c r="CH383" s="1111" t="str">
        <f t="shared" si="1407"/>
        <v/>
      </c>
      <c r="CI383" s="1111" t="str">
        <f t="shared" si="1407"/>
        <v/>
      </c>
      <c r="CJ383" s="1111" t="str">
        <f t="shared" si="1407"/>
        <v/>
      </c>
      <c r="CK383" s="1112" t="str">
        <f t="shared" si="1407"/>
        <v/>
      </c>
      <c r="CL383" s="1112" t="str">
        <f t="shared" si="1407"/>
        <v/>
      </c>
      <c r="CM383" s="1112" t="str">
        <f t="shared" si="1407"/>
        <v/>
      </c>
      <c r="CN383" s="1111" t="str">
        <f t="shared" si="1407"/>
        <v/>
      </c>
      <c r="CO383" s="1111" t="str">
        <f t="shared" si="1407"/>
        <v/>
      </c>
      <c r="CP383" s="1111" t="str">
        <f t="shared" si="1407"/>
        <v/>
      </c>
      <c r="CQ383" s="1111" t="str">
        <f t="shared" si="1407"/>
        <v/>
      </c>
      <c r="CR383" s="1111" t="str">
        <f t="shared" si="1407"/>
        <v/>
      </c>
      <c r="CS383" s="1110" t="str">
        <f t="shared" si="1407"/>
        <v/>
      </c>
      <c r="CT383" s="1113" t="str">
        <f t="shared" ref="CT383:CT389" si="14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426">COUNT(B383:R383)</f>
        <v>0</v>
      </c>
      <c r="DM383" s="66">
        <f t="shared" ref="DM383:DM417" si="1427">COUNT(T383:AJ383)</f>
        <v>0</v>
      </c>
      <c r="DN383" s="66">
        <f t="shared" ref="DN383:DN417" si="1428">COUNT(AL383:BB383)</f>
        <v>0</v>
      </c>
      <c r="DO383" s="66">
        <f t="shared" ref="DO383:DO417" si="142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430">IF(B381="","",B381*B383)</f>
        <v/>
      </c>
      <c r="C384" s="405" t="str">
        <f t="shared" si="1430"/>
        <v/>
      </c>
      <c r="D384" s="405" t="str">
        <f t="shared" si="1430"/>
        <v/>
      </c>
      <c r="E384" s="405" t="str">
        <f t="shared" si="1430"/>
        <v/>
      </c>
      <c r="F384" s="405" t="str">
        <f t="shared" si="1430"/>
        <v/>
      </c>
      <c r="G384" s="405" t="str">
        <f t="shared" si="1430"/>
        <v/>
      </c>
      <c r="H384" s="405" t="str">
        <f t="shared" si="1430"/>
        <v/>
      </c>
      <c r="I384" s="405" t="str">
        <f t="shared" si="1430"/>
        <v/>
      </c>
      <c r="J384" s="405" t="str">
        <f t="shared" si="1430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431">IF(T381="","",T381*T383)</f>
        <v/>
      </c>
      <c r="U384" s="405" t="str">
        <f t="shared" si="1431"/>
        <v/>
      </c>
      <c r="V384" s="405" t="str">
        <f t="shared" si="1431"/>
        <v/>
      </c>
      <c r="W384" s="405" t="str">
        <f t="shared" si="1431"/>
        <v/>
      </c>
      <c r="X384" s="405" t="str">
        <f t="shared" si="1431"/>
        <v/>
      </c>
      <c r="Y384" s="405" t="str">
        <f t="shared" si="1431"/>
        <v/>
      </c>
      <c r="Z384" s="405" t="str">
        <f t="shared" si="1431"/>
        <v/>
      </c>
      <c r="AA384" s="405" t="str">
        <f t="shared" si="1431"/>
        <v/>
      </c>
      <c r="AB384" s="405" t="str">
        <f t="shared" si="1431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432">IF(AL381="","",AL381*AL383)</f>
        <v/>
      </c>
      <c r="AM384" s="405" t="str">
        <f t="shared" si="1432"/>
        <v/>
      </c>
      <c r="AN384" s="405" t="str">
        <f t="shared" si="1432"/>
        <v/>
      </c>
      <c r="AO384" s="405" t="str">
        <f t="shared" si="1432"/>
        <v/>
      </c>
      <c r="AP384" s="405" t="str">
        <f t="shared" si="1432"/>
        <v/>
      </c>
      <c r="AQ384" s="405" t="str">
        <f t="shared" si="1432"/>
        <v/>
      </c>
      <c r="AR384" s="405" t="str">
        <f t="shared" si="1432"/>
        <v/>
      </c>
      <c r="AS384" s="405" t="str">
        <f t="shared" si="1432"/>
        <v/>
      </c>
      <c r="AT384" s="405" t="str">
        <f t="shared" si="1432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433">IF(BD381="","",BD381*BD383)</f>
        <v/>
      </c>
      <c r="BE384" s="405" t="str">
        <f t="shared" si="1433"/>
        <v/>
      </c>
      <c r="BF384" s="405" t="str">
        <f t="shared" si="1433"/>
        <v/>
      </c>
      <c r="BG384" s="405" t="str">
        <f t="shared" si="1433"/>
        <v/>
      </c>
      <c r="BH384" s="405" t="str">
        <f t="shared" si="1433"/>
        <v/>
      </c>
      <c r="BI384" s="405" t="str">
        <f t="shared" si="1433"/>
        <v/>
      </c>
      <c r="BJ384" s="405" t="str">
        <f t="shared" si="1433"/>
        <v/>
      </c>
      <c r="BK384" s="405" t="str">
        <f t="shared" si="1433"/>
        <v/>
      </c>
      <c r="BL384" s="405" t="str">
        <f t="shared" si="1433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403"/>
        <v/>
      </c>
      <c r="CA384" s="373" t="str">
        <f t="shared" si="1404"/>
        <v/>
      </c>
      <c r="CB384" s="373" t="str">
        <f t="shared" si="1405"/>
        <v/>
      </c>
      <c r="CC384" s="462" t="str">
        <f t="shared" si="1406"/>
        <v/>
      </c>
      <c r="CD384" s="1109" t="str">
        <f t="shared" si="1407"/>
        <v/>
      </c>
      <c r="CE384" s="1110" t="str">
        <f t="shared" si="1407"/>
        <v/>
      </c>
      <c r="CF384" s="1111" t="str">
        <f t="shared" si="1407"/>
        <v/>
      </c>
      <c r="CG384" s="1111" t="str">
        <f t="shared" si="1407"/>
        <v/>
      </c>
      <c r="CH384" s="1111" t="str">
        <f t="shared" si="1407"/>
        <v/>
      </c>
      <c r="CI384" s="1111" t="str">
        <f t="shared" si="1407"/>
        <v/>
      </c>
      <c r="CJ384" s="1111" t="str">
        <f t="shared" si="1407"/>
        <v/>
      </c>
      <c r="CK384" s="1112" t="str">
        <f t="shared" si="1407"/>
        <v/>
      </c>
      <c r="CL384" s="1112" t="str">
        <f t="shared" si="1407"/>
        <v/>
      </c>
      <c r="CM384" s="1112" t="str">
        <f t="shared" si="1407"/>
        <v/>
      </c>
      <c r="CN384" s="1111" t="str">
        <f t="shared" si="1407"/>
        <v/>
      </c>
      <c r="CO384" s="1111" t="str">
        <f t="shared" si="1407"/>
        <v/>
      </c>
      <c r="CP384" s="1111" t="str">
        <f t="shared" si="1407"/>
        <v/>
      </c>
      <c r="CQ384" s="1111" t="str">
        <f t="shared" si="1407"/>
        <v/>
      </c>
      <c r="CR384" s="1111" t="str">
        <f t="shared" si="1407"/>
        <v/>
      </c>
      <c r="CS384" s="1110" t="str">
        <f t="shared" si="1407"/>
        <v/>
      </c>
      <c r="CT384" s="1113" t="str">
        <f t="shared" si="1408"/>
        <v/>
      </c>
      <c r="CU384" s="324" t="str">
        <f t="shared" si="1409"/>
        <v/>
      </c>
      <c r="CV384" s="325" t="str">
        <f t="shared" si="1410"/>
        <v/>
      </c>
      <c r="CW384" s="326" t="str">
        <f t="shared" si="1411"/>
        <v/>
      </c>
      <c r="CX384" s="326" t="str">
        <f t="shared" si="1412"/>
        <v/>
      </c>
      <c r="CY384" s="326" t="str">
        <f t="shared" si="1413"/>
        <v/>
      </c>
      <c r="CZ384" s="326" t="str">
        <f t="shared" si="1414"/>
        <v/>
      </c>
      <c r="DA384" s="326" t="str">
        <f t="shared" si="1415"/>
        <v/>
      </c>
      <c r="DB384" s="327" t="str">
        <f t="shared" si="1416"/>
        <v/>
      </c>
      <c r="DC384" s="327" t="str">
        <f t="shared" si="1417"/>
        <v/>
      </c>
      <c r="DD384" s="327" t="str">
        <f t="shared" si="1418"/>
        <v/>
      </c>
      <c r="DE384" s="326" t="str">
        <f t="shared" si="1419"/>
        <v/>
      </c>
      <c r="DF384" s="326" t="str">
        <f t="shared" si="1420"/>
        <v/>
      </c>
      <c r="DG384" s="326" t="str">
        <f t="shared" si="1421"/>
        <v/>
      </c>
      <c r="DH384" s="326" t="str">
        <f t="shared" si="1422"/>
        <v/>
      </c>
      <c r="DI384" s="326" t="str">
        <f t="shared" si="1423"/>
        <v/>
      </c>
      <c r="DJ384" s="325" t="str">
        <f t="shared" si="1424"/>
        <v/>
      </c>
      <c r="DK384" s="324" t="str">
        <f t="shared" si="1425"/>
        <v/>
      </c>
      <c r="DL384" s="428">
        <f t="shared" si="1426"/>
        <v>0</v>
      </c>
      <c r="DM384" s="66">
        <f t="shared" si="1427"/>
        <v>0</v>
      </c>
      <c r="DN384" s="66">
        <f t="shared" si="1428"/>
        <v>0</v>
      </c>
      <c r="DO384" s="66">
        <f t="shared" si="142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403"/>
        <v/>
      </c>
      <c r="CA385" s="373" t="str">
        <f t="shared" si="1404"/>
        <v/>
      </c>
      <c r="CB385" s="373" t="str">
        <f t="shared" si="1405"/>
        <v/>
      </c>
      <c r="CC385" s="462" t="str">
        <f t="shared" si="1406"/>
        <v/>
      </c>
      <c r="CD385" s="1109" t="str">
        <f t="shared" si="1407"/>
        <v/>
      </c>
      <c r="CE385" s="1110" t="str">
        <f t="shared" si="1407"/>
        <v/>
      </c>
      <c r="CF385" s="1111" t="str">
        <f t="shared" si="1407"/>
        <v/>
      </c>
      <c r="CG385" s="1111" t="str">
        <f t="shared" si="1407"/>
        <v/>
      </c>
      <c r="CH385" s="1111" t="str">
        <f t="shared" si="1407"/>
        <v/>
      </c>
      <c r="CI385" s="1111" t="str">
        <f t="shared" si="1407"/>
        <v/>
      </c>
      <c r="CJ385" s="1111" t="str">
        <f t="shared" si="1407"/>
        <v/>
      </c>
      <c r="CK385" s="1112" t="str">
        <f t="shared" si="1407"/>
        <v/>
      </c>
      <c r="CL385" s="1112" t="str">
        <f t="shared" si="1407"/>
        <v/>
      </c>
      <c r="CM385" s="1112" t="str">
        <f t="shared" si="1407"/>
        <v/>
      </c>
      <c r="CN385" s="1111" t="str">
        <f t="shared" si="1407"/>
        <v/>
      </c>
      <c r="CO385" s="1111" t="str">
        <f t="shared" si="1407"/>
        <v/>
      </c>
      <c r="CP385" s="1111" t="str">
        <f t="shared" si="1407"/>
        <v/>
      </c>
      <c r="CQ385" s="1111" t="str">
        <f t="shared" si="1407"/>
        <v/>
      </c>
      <c r="CR385" s="1111" t="str">
        <f t="shared" si="1407"/>
        <v/>
      </c>
      <c r="CS385" s="1110" t="str">
        <f t="shared" si="1407"/>
        <v/>
      </c>
      <c r="CT385" s="1113" t="str">
        <f t="shared" si="1408"/>
        <v/>
      </c>
      <c r="CU385" s="324" t="str">
        <f t="shared" si="1409"/>
        <v/>
      </c>
      <c r="CV385" s="325" t="str">
        <f t="shared" si="1410"/>
        <v/>
      </c>
      <c r="CW385" s="326" t="str">
        <f t="shared" si="1411"/>
        <v/>
      </c>
      <c r="CX385" s="326" t="str">
        <f t="shared" si="1412"/>
        <v/>
      </c>
      <c r="CY385" s="326" t="str">
        <f t="shared" si="1413"/>
        <v/>
      </c>
      <c r="CZ385" s="326" t="str">
        <f t="shared" si="1414"/>
        <v/>
      </c>
      <c r="DA385" s="326" t="str">
        <f t="shared" si="1415"/>
        <v/>
      </c>
      <c r="DB385" s="327" t="str">
        <f t="shared" si="1416"/>
        <v/>
      </c>
      <c r="DC385" s="327" t="str">
        <f t="shared" si="1417"/>
        <v/>
      </c>
      <c r="DD385" s="327" t="str">
        <f t="shared" si="1418"/>
        <v/>
      </c>
      <c r="DE385" s="326" t="str">
        <f t="shared" si="1419"/>
        <v/>
      </c>
      <c r="DF385" s="326" t="str">
        <f t="shared" si="1420"/>
        <v/>
      </c>
      <c r="DG385" s="326" t="str">
        <f t="shared" si="1421"/>
        <v/>
      </c>
      <c r="DH385" s="326" t="str">
        <f t="shared" si="1422"/>
        <v/>
      </c>
      <c r="DI385" s="326" t="str">
        <f t="shared" si="1423"/>
        <v/>
      </c>
      <c r="DJ385" s="325" t="str">
        <f t="shared" si="1424"/>
        <v/>
      </c>
      <c r="DK385" s="324" t="str">
        <f t="shared" si="1425"/>
        <v/>
      </c>
      <c r="DL385" s="428">
        <f t="shared" si="1426"/>
        <v>0</v>
      </c>
      <c r="DM385" s="66">
        <f t="shared" si="1427"/>
        <v>0</v>
      </c>
      <c r="DN385" s="66">
        <f t="shared" si="1428"/>
        <v>0</v>
      </c>
      <c r="DO385" s="66">
        <f t="shared" si="142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403"/>
        <v/>
      </c>
      <c r="CA386" s="373" t="str">
        <f t="shared" si="1404"/>
        <v/>
      </c>
      <c r="CB386" s="373" t="str">
        <f t="shared" si="1405"/>
        <v/>
      </c>
      <c r="CC386" s="462" t="str">
        <f t="shared" si="1406"/>
        <v/>
      </c>
      <c r="CD386" s="1109" t="str">
        <f t="shared" si="1407"/>
        <v/>
      </c>
      <c r="CE386" s="1110" t="str">
        <f t="shared" si="1407"/>
        <v/>
      </c>
      <c r="CF386" s="1111" t="str">
        <f t="shared" si="1407"/>
        <v/>
      </c>
      <c r="CG386" s="1111" t="str">
        <f t="shared" si="1407"/>
        <v/>
      </c>
      <c r="CH386" s="1111" t="str">
        <f t="shared" si="1407"/>
        <v/>
      </c>
      <c r="CI386" s="1111" t="str">
        <f t="shared" si="1407"/>
        <v/>
      </c>
      <c r="CJ386" s="1111" t="str">
        <f t="shared" si="1407"/>
        <v/>
      </c>
      <c r="CK386" s="1112" t="str">
        <f t="shared" si="1407"/>
        <v/>
      </c>
      <c r="CL386" s="1112" t="str">
        <f t="shared" si="1407"/>
        <v/>
      </c>
      <c r="CM386" s="1112" t="str">
        <f t="shared" si="1407"/>
        <v/>
      </c>
      <c r="CN386" s="1111" t="str">
        <f t="shared" si="1407"/>
        <v/>
      </c>
      <c r="CO386" s="1111" t="str">
        <f t="shared" si="1407"/>
        <v/>
      </c>
      <c r="CP386" s="1111" t="str">
        <f t="shared" si="1407"/>
        <v/>
      </c>
      <c r="CQ386" s="1111" t="str">
        <f t="shared" si="1407"/>
        <v/>
      </c>
      <c r="CR386" s="1111" t="str">
        <f t="shared" si="1407"/>
        <v/>
      </c>
      <c r="CS386" s="1110" t="str">
        <f t="shared" si="1407"/>
        <v/>
      </c>
      <c r="CT386" s="1113" t="str">
        <f t="shared" si="1408"/>
        <v/>
      </c>
      <c r="CU386" s="324" t="str">
        <f t="shared" si="1409"/>
        <v/>
      </c>
      <c r="CV386" s="325" t="str">
        <f t="shared" si="1410"/>
        <v/>
      </c>
      <c r="CW386" s="326" t="str">
        <f t="shared" si="1411"/>
        <v/>
      </c>
      <c r="CX386" s="326" t="str">
        <f t="shared" si="1412"/>
        <v/>
      </c>
      <c r="CY386" s="326" t="str">
        <f t="shared" si="1413"/>
        <v/>
      </c>
      <c r="CZ386" s="326" t="str">
        <f t="shared" si="1414"/>
        <v/>
      </c>
      <c r="DA386" s="326" t="str">
        <f t="shared" si="1415"/>
        <v/>
      </c>
      <c r="DB386" s="327" t="str">
        <f t="shared" si="1416"/>
        <v/>
      </c>
      <c r="DC386" s="327" t="str">
        <f t="shared" si="1417"/>
        <v/>
      </c>
      <c r="DD386" s="327" t="str">
        <f t="shared" si="1418"/>
        <v/>
      </c>
      <c r="DE386" s="326" t="str">
        <f t="shared" si="1419"/>
        <v/>
      </c>
      <c r="DF386" s="326" t="str">
        <f t="shared" si="1420"/>
        <v/>
      </c>
      <c r="DG386" s="326" t="str">
        <f t="shared" si="1421"/>
        <v/>
      </c>
      <c r="DH386" s="326" t="str">
        <f t="shared" si="1422"/>
        <v/>
      </c>
      <c r="DI386" s="326" t="str">
        <f t="shared" si="1423"/>
        <v/>
      </c>
      <c r="DJ386" s="325" t="str">
        <f t="shared" si="1424"/>
        <v/>
      </c>
      <c r="DK386" s="324" t="str">
        <f t="shared" si="1425"/>
        <v/>
      </c>
      <c r="DL386" s="428">
        <f t="shared" si="1426"/>
        <v>0</v>
      </c>
      <c r="DM386" s="66">
        <f t="shared" si="1427"/>
        <v>0</v>
      </c>
      <c r="DN386" s="66">
        <f t="shared" si="1428"/>
        <v>0</v>
      </c>
      <c r="DO386" s="66">
        <f t="shared" si="142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403"/>
        <v/>
      </c>
      <c r="CA387" s="373" t="str">
        <f t="shared" si="1404"/>
        <v/>
      </c>
      <c r="CB387" s="373" t="str">
        <f t="shared" si="1405"/>
        <v/>
      </c>
      <c r="CC387" s="462" t="str">
        <f t="shared" si="1406"/>
        <v/>
      </c>
      <c r="CD387" s="1109" t="str">
        <f t="shared" si="1407"/>
        <v/>
      </c>
      <c r="CE387" s="1110" t="str">
        <f t="shared" si="1407"/>
        <v/>
      </c>
      <c r="CF387" s="1111" t="str">
        <f t="shared" si="1407"/>
        <v/>
      </c>
      <c r="CG387" s="1111" t="str">
        <f t="shared" si="1407"/>
        <v/>
      </c>
      <c r="CH387" s="1111" t="str">
        <f t="shared" si="1407"/>
        <v/>
      </c>
      <c r="CI387" s="1111" t="str">
        <f t="shared" si="1407"/>
        <v/>
      </c>
      <c r="CJ387" s="1111" t="str">
        <f t="shared" si="1407"/>
        <v/>
      </c>
      <c r="CK387" s="1112" t="str">
        <f t="shared" si="1407"/>
        <v/>
      </c>
      <c r="CL387" s="1112" t="str">
        <f t="shared" si="1407"/>
        <v/>
      </c>
      <c r="CM387" s="1112" t="str">
        <f t="shared" si="1407"/>
        <v/>
      </c>
      <c r="CN387" s="1111" t="str">
        <f t="shared" si="1407"/>
        <v/>
      </c>
      <c r="CO387" s="1111" t="str">
        <f t="shared" si="1407"/>
        <v/>
      </c>
      <c r="CP387" s="1111" t="str">
        <f t="shared" si="1407"/>
        <v/>
      </c>
      <c r="CQ387" s="1111" t="str">
        <f t="shared" si="1407"/>
        <v/>
      </c>
      <c r="CR387" s="1111" t="str">
        <f t="shared" si="1407"/>
        <v/>
      </c>
      <c r="CS387" s="1110" t="str">
        <f t="shared" si="1407"/>
        <v/>
      </c>
      <c r="CT387" s="1113" t="str">
        <f t="shared" si="1408"/>
        <v/>
      </c>
      <c r="CU387" s="324" t="str">
        <f t="shared" si="1409"/>
        <v/>
      </c>
      <c r="CV387" s="325" t="str">
        <f t="shared" si="1410"/>
        <v/>
      </c>
      <c r="CW387" s="326" t="str">
        <f t="shared" si="1411"/>
        <v/>
      </c>
      <c r="CX387" s="326" t="str">
        <f t="shared" si="1412"/>
        <v/>
      </c>
      <c r="CY387" s="326" t="str">
        <f t="shared" si="1413"/>
        <v/>
      </c>
      <c r="CZ387" s="326" t="str">
        <f t="shared" si="1414"/>
        <v/>
      </c>
      <c r="DA387" s="326" t="str">
        <f t="shared" si="1415"/>
        <v/>
      </c>
      <c r="DB387" s="327" t="str">
        <f t="shared" si="1416"/>
        <v/>
      </c>
      <c r="DC387" s="327" t="str">
        <f t="shared" si="1417"/>
        <v/>
      </c>
      <c r="DD387" s="327" t="str">
        <f t="shared" si="1418"/>
        <v/>
      </c>
      <c r="DE387" s="326" t="str">
        <f t="shared" si="1419"/>
        <v/>
      </c>
      <c r="DF387" s="326" t="str">
        <f t="shared" si="1420"/>
        <v/>
      </c>
      <c r="DG387" s="326" t="str">
        <f t="shared" si="1421"/>
        <v/>
      </c>
      <c r="DH387" s="326" t="str">
        <f t="shared" si="1422"/>
        <v/>
      </c>
      <c r="DI387" s="326" t="str">
        <f t="shared" si="1423"/>
        <v/>
      </c>
      <c r="DJ387" s="325" t="str">
        <f t="shared" si="1424"/>
        <v/>
      </c>
      <c r="DK387" s="324" t="str">
        <f t="shared" si="1425"/>
        <v/>
      </c>
      <c r="DL387" s="428">
        <f t="shared" si="1426"/>
        <v>0</v>
      </c>
      <c r="DM387" s="66">
        <f t="shared" si="1427"/>
        <v>0</v>
      </c>
      <c r="DN387" s="66">
        <f t="shared" si="1428"/>
        <v>0</v>
      </c>
      <c r="DO387" s="66">
        <f t="shared" si="142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434">IF(B386="","",B386*B387)</f>
        <v/>
      </c>
      <c r="C388" s="405" t="str">
        <f t="shared" si="1434"/>
        <v/>
      </c>
      <c r="D388" s="405" t="str">
        <f t="shared" si="1434"/>
        <v/>
      </c>
      <c r="E388" s="405" t="str">
        <f t="shared" si="1434"/>
        <v/>
      </c>
      <c r="F388" s="405" t="str">
        <f t="shared" si="1434"/>
        <v/>
      </c>
      <c r="G388" s="405" t="str">
        <f t="shared" si="1434"/>
        <v/>
      </c>
      <c r="H388" s="405" t="str">
        <f t="shared" si="1434"/>
        <v/>
      </c>
      <c r="I388" s="405" t="str">
        <f t="shared" si="1434"/>
        <v/>
      </c>
      <c r="J388" s="405" t="str">
        <f t="shared" si="1434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435">IF(T386="","",T386*T387)</f>
        <v/>
      </c>
      <c r="U388" s="405" t="str">
        <f t="shared" si="1435"/>
        <v/>
      </c>
      <c r="V388" s="405" t="str">
        <f t="shared" si="1435"/>
        <v/>
      </c>
      <c r="W388" s="405" t="str">
        <f t="shared" si="1435"/>
        <v/>
      </c>
      <c r="X388" s="405" t="str">
        <f t="shared" si="1435"/>
        <v/>
      </c>
      <c r="Y388" s="405" t="str">
        <f t="shared" si="1435"/>
        <v/>
      </c>
      <c r="Z388" s="405" t="str">
        <f t="shared" si="1435"/>
        <v/>
      </c>
      <c r="AA388" s="405" t="str">
        <f t="shared" si="1435"/>
        <v/>
      </c>
      <c r="AB388" s="405" t="str">
        <f t="shared" si="1435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436">IF(AL386="","",AL386*AL387)</f>
        <v/>
      </c>
      <c r="AM388" s="405" t="str">
        <f t="shared" si="1436"/>
        <v/>
      </c>
      <c r="AN388" s="405" t="str">
        <f t="shared" si="1436"/>
        <v/>
      </c>
      <c r="AO388" s="405" t="str">
        <f t="shared" si="1436"/>
        <v/>
      </c>
      <c r="AP388" s="405" t="str">
        <f t="shared" si="1436"/>
        <v/>
      </c>
      <c r="AQ388" s="405" t="str">
        <f t="shared" si="1436"/>
        <v/>
      </c>
      <c r="AR388" s="405" t="str">
        <f t="shared" si="1436"/>
        <v/>
      </c>
      <c r="AS388" s="405" t="str">
        <f t="shared" si="1436"/>
        <v/>
      </c>
      <c r="AT388" s="405" t="str">
        <f t="shared" si="1436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437">IF(BD386="","",BD386*BD387)</f>
        <v/>
      </c>
      <c r="BE388" s="405" t="str">
        <f t="shared" si="1437"/>
        <v/>
      </c>
      <c r="BF388" s="405" t="str">
        <f t="shared" si="1437"/>
        <v/>
      </c>
      <c r="BG388" s="405" t="str">
        <f t="shared" si="1437"/>
        <v/>
      </c>
      <c r="BH388" s="405" t="str">
        <f t="shared" si="1437"/>
        <v/>
      </c>
      <c r="BI388" s="405" t="str">
        <f t="shared" si="1437"/>
        <v/>
      </c>
      <c r="BJ388" s="405" t="str">
        <f t="shared" si="1437"/>
        <v/>
      </c>
      <c r="BK388" s="405" t="str">
        <f t="shared" si="1437"/>
        <v/>
      </c>
      <c r="BL388" s="405" t="str">
        <f t="shared" si="1437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403"/>
        <v/>
      </c>
      <c r="CA388" s="373" t="str">
        <f t="shared" si="1404"/>
        <v/>
      </c>
      <c r="CB388" s="373" t="str">
        <f t="shared" si="1405"/>
        <v/>
      </c>
      <c r="CC388" s="462" t="str">
        <f t="shared" si="1406"/>
        <v/>
      </c>
      <c r="CD388" s="1109" t="str">
        <f t="shared" si="1407"/>
        <v/>
      </c>
      <c r="CE388" s="1110" t="str">
        <f t="shared" si="1407"/>
        <v/>
      </c>
      <c r="CF388" s="1111" t="str">
        <f t="shared" si="1407"/>
        <v/>
      </c>
      <c r="CG388" s="1111" t="str">
        <f t="shared" si="1407"/>
        <v/>
      </c>
      <c r="CH388" s="1111" t="str">
        <f t="shared" si="1407"/>
        <v/>
      </c>
      <c r="CI388" s="1111" t="str">
        <f t="shared" si="1407"/>
        <v/>
      </c>
      <c r="CJ388" s="1111" t="str">
        <f t="shared" si="1407"/>
        <v/>
      </c>
      <c r="CK388" s="1112" t="str">
        <f t="shared" si="1407"/>
        <v/>
      </c>
      <c r="CL388" s="1112" t="str">
        <f t="shared" si="1407"/>
        <v/>
      </c>
      <c r="CM388" s="1112" t="str">
        <f t="shared" si="1407"/>
        <v/>
      </c>
      <c r="CN388" s="1111" t="str">
        <f t="shared" si="1407"/>
        <v/>
      </c>
      <c r="CO388" s="1111" t="str">
        <f t="shared" si="1407"/>
        <v/>
      </c>
      <c r="CP388" s="1111" t="str">
        <f t="shared" si="1407"/>
        <v/>
      </c>
      <c r="CQ388" s="1111" t="str">
        <f t="shared" si="1407"/>
        <v/>
      </c>
      <c r="CR388" s="1111" t="str">
        <f t="shared" si="1407"/>
        <v/>
      </c>
      <c r="CS388" s="1110" t="str">
        <f t="shared" si="1407"/>
        <v/>
      </c>
      <c r="CT388" s="1113" t="str">
        <f t="shared" si="1408"/>
        <v/>
      </c>
      <c r="CU388" s="324" t="str">
        <f t="shared" si="1409"/>
        <v/>
      </c>
      <c r="CV388" s="325" t="str">
        <f t="shared" si="1410"/>
        <v/>
      </c>
      <c r="CW388" s="326" t="str">
        <f t="shared" si="1411"/>
        <v/>
      </c>
      <c r="CX388" s="326" t="str">
        <f t="shared" si="1412"/>
        <v/>
      </c>
      <c r="CY388" s="326" t="str">
        <f t="shared" si="1413"/>
        <v/>
      </c>
      <c r="CZ388" s="326" t="str">
        <f t="shared" si="1414"/>
        <v/>
      </c>
      <c r="DA388" s="326" t="str">
        <f t="shared" si="1415"/>
        <v/>
      </c>
      <c r="DB388" s="327" t="str">
        <f t="shared" si="1416"/>
        <v/>
      </c>
      <c r="DC388" s="327" t="str">
        <f t="shared" si="1417"/>
        <v/>
      </c>
      <c r="DD388" s="327" t="str">
        <f t="shared" si="1418"/>
        <v/>
      </c>
      <c r="DE388" s="326" t="str">
        <f t="shared" si="1419"/>
        <v/>
      </c>
      <c r="DF388" s="326" t="str">
        <f t="shared" si="1420"/>
        <v/>
      </c>
      <c r="DG388" s="326" t="str">
        <f t="shared" si="1421"/>
        <v/>
      </c>
      <c r="DH388" s="326" t="str">
        <f t="shared" si="1422"/>
        <v/>
      </c>
      <c r="DI388" s="326" t="str">
        <f t="shared" si="1423"/>
        <v/>
      </c>
      <c r="DJ388" s="325" t="str">
        <f t="shared" si="1424"/>
        <v/>
      </c>
      <c r="DK388" s="324" t="str">
        <f t="shared" si="1425"/>
        <v/>
      </c>
      <c r="DL388" s="428">
        <f t="shared" si="1426"/>
        <v>0</v>
      </c>
      <c r="DM388" s="66">
        <f t="shared" si="1427"/>
        <v>0</v>
      </c>
      <c r="DN388" s="66">
        <f t="shared" si="1428"/>
        <v>0</v>
      </c>
      <c r="DO388" s="66">
        <f t="shared" si="142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403"/>
        <v/>
      </c>
      <c r="CA389" s="373" t="str">
        <f t="shared" si="1404"/>
        <v/>
      </c>
      <c r="CB389" s="373" t="str">
        <f t="shared" si="1405"/>
        <v/>
      </c>
      <c r="CC389" s="462" t="str">
        <f t="shared" si="1406"/>
        <v/>
      </c>
      <c r="CD389" s="1109" t="str">
        <f t="shared" si="1407"/>
        <v/>
      </c>
      <c r="CE389" s="1110" t="str">
        <f t="shared" si="1407"/>
        <v/>
      </c>
      <c r="CF389" s="1111" t="str">
        <f t="shared" si="1407"/>
        <v/>
      </c>
      <c r="CG389" s="1111" t="str">
        <f t="shared" si="1407"/>
        <v/>
      </c>
      <c r="CH389" s="1111" t="str">
        <f t="shared" si="1407"/>
        <v/>
      </c>
      <c r="CI389" s="1111" t="str">
        <f t="shared" si="1407"/>
        <v/>
      </c>
      <c r="CJ389" s="1111" t="str">
        <f t="shared" si="1407"/>
        <v/>
      </c>
      <c r="CK389" s="1112" t="str">
        <f t="shared" si="1407"/>
        <v/>
      </c>
      <c r="CL389" s="1112" t="str">
        <f t="shared" si="1407"/>
        <v/>
      </c>
      <c r="CM389" s="1112" t="str">
        <f t="shared" si="1407"/>
        <v/>
      </c>
      <c r="CN389" s="1111" t="str">
        <f t="shared" si="1407"/>
        <v/>
      </c>
      <c r="CO389" s="1111" t="str">
        <f t="shared" si="1407"/>
        <v/>
      </c>
      <c r="CP389" s="1111" t="str">
        <f t="shared" si="1407"/>
        <v/>
      </c>
      <c r="CQ389" s="1111" t="str">
        <f t="shared" si="1407"/>
        <v/>
      </c>
      <c r="CR389" s="1111" t="str">
        <f t="shared" si="1407"/>
        <v/>
      </c>
      <c r="CS389" s="1110" t="str">
        <f t="shared" si="1407"/>
        <v/>
      </c>
      <c r="CT389" s="1113" t="str">
        <f t="shared" si="1408"/>
        <v/>
      </c>
      <c r="CU389" s="324" t="str">
        <f t="shared" si="1409"/>
        <v/>
      </c>
      <c r="CV389" s="325" t="str">
        <f t="shared" si="1410"/>
        <v/>
      </c>
      <c r="CW389" s="326" t="str">
        <f t="shared" si="1411"/>
        <v/>
      </c>
      <c r="CX389" s="326" t="str">
        <f t="shared" si="1412"/>
        <v/>
      </c>
      <c r="CY389" s="326" t="str">
        <f t="shared" si="1413"/>
        <v/>
      </c>
      <c r="CZ389" s="326" t="str">
        <f t="shared" si="1414"/>
        <v/>
      </c>
      <c r="DA389" s="326" t="str">
        <f t="shared" si="1415"/>
        <v/>
      </c>
      <c r="DB389" s="327" t="str">
        <f t="shared" si="1416"/>
        <v/>
      </c>
      <c r="DC389" s="327" t="str">
        <f t="shared" si="1417"/>
        <v/>
      </c>
      <c r="DD389" s="327" t="str">
        <f t="shared" si="1418"/>
        <v/>
      </c>
      <c r="DE389" s="326" t="str">
        <f t="shared" si="1419"/>
        <v/>
      </c>
      <c r="DF389" s="326" t="str">
        <f t="shared" si="1420"/>
        <v/>
      </c>
      <c r="DG389" s="326" t="str">
        <f t="shared" si="1421"/>
        <v/>
      </c>
      <c r="DH389" s="326" t="str">
        <f t="shared" si="1422"/>
        <v/>
      </c>
      <c r="DI389" s="326" t="str">
        <f t="shared" si="1423"/>
        <v/>
      </c>
      <c r="DJ389" s="325" t="str">
        <f t="shared" si="1424"/>
        <v/>
      </c>
      <c r="DK389" s="324" t="str">
        <f t="shared" si="1425"/>
        <v/>
      </c>
      <c r="DL389" s="428">
        <f t="shared" si="1426"/>
        <v>0</v>
      </c>
      <c r="DM389" s="66">
        <f t="shared" si="1427"/>
        <v>0</v>
      </c>
      <c r="DN389" s="66">
        <f t="shared" si="1428"/>
        <v>0</v>
      </c>
      <c r="DO389" s="66">
        <f t="shared" si="142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438">IF(B384="","",(B384-B386-B389)*B385/B$46/365/$G$1)</f>
        <v/>
      </c>
      <c r="C390" s="408" t="str">
        <f t="shared" si="1438"/>
        <v/>
      </c>
      <c r="D390" s="408" t="str">
        <f t="shared" si="1438"/>
        <v/>
      </c>
      <c r="E390" s="408" t="str">
        <f t="shared" si="1438"/>
        <v/>
      </c>
      <c r="F390" s="408" t="str">
        <f t="shared" si="1438"/>
        <v/>
      </c>
      <c r="G390" s="408" t="str">
        <f t="shared" si="1438"/>
        <v/>
      </c>
      <c r="H390" s="408" t="str">
        <f t="shared" si="1438"/>
        <v/>
      </c>
      <c r="I390" s="408" t="str">
        <f t="shared" si="1438"/>
        <v/>
      </c>
      <c r="J390" s="408" t="str">
        <f t="shared" si="1438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439">IF(T384="","",(T384-T386-T389)*T385/T$46/365/$G$1)</f>
        <v/>
      </c>
      <c r="U390" s="408" t="str">
        <f t="shared" si="1439"/>
        <v/>
      </c>
      <c r="V390" s="408" t="str">
        <f t="shared" si="1439"/>
        <v/>
      </c>
      <c r="W390" s="408" t="str">
        <f t="shared" si="1439"/>
        <v/>
      </c>
      <c r="X390" s="408" t="str">
        <f t="shared" si="1439"/>
        <v/>
      </c>
      <c r="Y390" s="408" t="str">
        <f t="shared" si="1439"/>
        <v/>
      </c>
      <c r="Z390" s="408" t="str">
        <f t="shared" si="1439"/>
        <v/>
      </c>
      <c r="AA390" s="408" t="str">
        <f t="shared" si="1439"/>
        <v/>
      </c>
      <c r="AB390" s="408" t="str">
        <f t="shared" si="1439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440">IF(AL384="","",(AL384-AL386-AL389)*AL385/AL$46/365/$G$1)</f>
        <v/>
      </c>
      <c r="AM390" s="408" t="str">
        <f t="shared" si="1440"/>
        <v/>
      </c>
      <c r="AN390" s="408" t="str">
        <f t="shared" si="1440"/>
        <v/>
      </c>
      <c r="AO390" s="408" t="str">
        <f t="shared" si="1440"/>
        <v/>
      </c>
      <c r="AP390" s="408" t="str">
        <f t="shared" si="1440"/>
        <v/>
      </c>
      <c r="AQ390" s="408" t="str">
        <f t="shared" si="1440"/>
        <v/>
      </c>
      <c r="AR390" s="408" t="str">
        <f t="shared" si="1440"/>
        <v/>
      </c>
      <c r="AS390" s="408" t="str">
        <f t="shared" si="1440"/>
        <v/>
      </c>
      <c r="AT390" s="408" t="str">
        <f t="shared" si="1440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441">IF(BD384="","",(BD384-BD386-BD389)*BD385/BD$46/365/$G$1)</f>
        <v/>
      </c>
      <c r="BE390" s="408" t="str">
        <f t="shared" si="1441"/>
        <v/>
      </c>
      <c r="BF390" s="408" t="str">
        <f t="shared" si="1441"/>
        <v/>
      </c>
      <c r="BG390" s="408" t="str">
        <f t="shared" si="1441"/>
        <v/>
      </c>
      <c r="BH390" s="408" t="str">
        <f t="shared" si="1441"/>
        <v/>
      </c>
      <c r="BI390" s="408" t="str">
        <f t="shared" si="1441"/>
        <v/>
      </c>
      <c r="BJ390" s="408" t="str">
        <f t="shared" si="1441"/>
        <v/>
      </c>
      <c r="BK390" s="408" t="str">
        <f t="shared" si="1441"/>
        <v/>
      </c>
      <c r="BL390" s="408" t="str">
        <f t="shared" si="1441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403"/>
        <v/>
      </c>
      <c r="CA390" s="398" t="str">
        <f t="shared" si="1404"/>
        <v/>
      </c>
      <c r="CB390" s="398" t="str">
        <f t="shared" si="1405"/>
        <v/>
      </c>
      <c r="CC390" s="465" t="str">
        <f t="shared" si="1406"/>
        <v/>
      </c>
      <c r="CD390" s="1114" t="str">
        <f t="shared" ref="CD390:CD417" si="14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5" t="str">
        <f t="shared" ref="CE390:CT390" si="14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6" t="str">
        <f t="shared" si="1443"/>
        <v/>
      </c>
      <c r="CG390" s="1116" t="str">
        <f t="shared" si="1443"/>
        <v/>
      </c>
      <c r="CH390" s="1116" t="str">
        <f t="shared" si="1443"/>
        <v/>
      </c>
      <c r="CI390" s="1116" t="str">
        <f t="shared" si="1443"/>
        <v/>
      </c>
      <c r="CJ390" s="1116" t="str">
        <f t="shared" si="1443"/>
        <v/>
      </c>
      <c r="CK390" s="1117" t="str">
        <f t="shared" si="1443"/>
        <v/>
      </c>
      <c r="CL390" s="1117" t="str">
        <f t="shared" si="1443"/>
        <v/>
      </c>
      <c r="CM390" s="1117" t="str">
        <f t="shared" si="1443"/>
        <v/>
      </c>
      <c r="CN390" s="1116" t="str">
        <f t="shared" si="1443"/>
        <v/>
      </c>
      <c r="CO390" s="1116" t="str">
        <f t="shared" si="1443"/>
        <v/>
      </c>
      <c r="CP390" s="1116" t="str">
        <f t="shared" si="1443"/>
        <v/>
      </c>
      <c r="CQ390" s="1116" t="str">
        <f t="shared" si="1443"/>
        <v/>
      </c>
      <c r="CR390" s="1116" t="str">
        <f t="shared" si="1443"/>
        <v/>
      </c>
      <c r="CS390" s="1115" t="str">
        <f t="shared" si="1443"/>
        <v/>
      </c>
      <c r="CT390" s="1118" t="str">
        <f t="shared" si="1443"/>
        <v/>
      </c>
      <c r="CU390" s="312" t="str">
        <f t="shared" si="1409"/>
        <v/>
      </c>
      <c r="CV390" s="313" t="str">
        <f t="shared" si="1410"/>
        <v/>
      </c>
      <c r="CW390" s="314" t="str">
        <f t="shared" si="1411"/>
        <v/>
      </c>
      <c r="CX390" s="314" t="str">
        <f t="shared" si="1412"/>
        <v/>
      </c>
      <c r="CY390" s="314" t="str">
        <f t="shared" si="1413"/>
        <v/>
      </c>
      <c r="CZ390" s="314" t="str">
        <f t="shared" si="1414"/>
        <v/>
      </c>
      <c r="DA390" s="314" t="str">
        <f t="shared" si="1415"/>
        <v/>
      </c>
      <c r="DB390" s="315" t="str">
        <f t="shared" si="1416"/>
        <v/>
      </c>
      <c r="DC390" s="315" t="str">
        <f t="shared" si="1417"/>
        <v/>
      </c>
      <c r="DD390" s="315" t="str">
        <f t="shared" si="1418"/>
        <v/>
      </c>
      <c r="DE390" s="314" t="str">
        <f t="shared" si="1419"/>
        <v/>
      </c>
      <c r="DF390" s="314" t="str">
        <f t="shared" si="1420"/>
        <v/>
      </c>
      <c r="DG390" s="314" t="str">
        <f t="shared" si="1421"/>
        <v/>
      </c>
      <c r="DH390" s="314" t="str">
        <f t="shared" si="1422"/>
        <v/>
      </c>
      <c r="DI390" s="314" t="str">
        <f t="shared" si="1423"/>
        <v/>
      </c>
      <c r="DJ390" s="313" t="str">
        <f t="shared" si="1424"/>
        <v/>
      </c>
      <c r="DK390" s="312" t="str">
        <f t="shared" si="1425"/>
        <v/>
      </c>
      <c r="DL390" s="428">
        <f t="shared" si="1426"/>
        <v>0</v>
      </c>
      <c r="DM390" s="66">
        <f t="shared" si="1427"/>
        <v>0</v>
      </c>
      <c r="DN390" s="66">
        <f t="shared" si="1428"/>
        <v>0</v>
      </c>
      <c r="DO390" s="66">
        <f t="shared" si="142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403"/>
        <v/>
      </c>
      <c r="CA391" s="373" t="str">
        <f t="shared" si="1404"/>
        <v/>
      </c>
      <c r="CB391" s="373" t="str">
        <f t="shared" si="1405"/>
        <v/>
      </c>
      <c r="CC391" s="462" t="str">
        <f t="shared" si="1406"/>
        <v/>
      </c>
      <c r="CD391" s="1109" t="str">
        <f t="shared" si="1442"/>
        <v/>
      </c>
      <c r="CE391" s="1110" t="str">
        <f t="shared" ref="CE391:CS391" si="14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1" t="str">
        <f t="shared" si="1444"/>
        <v/>
      </c>
      <c r="CG391" s="1111" t="str">
        <f t="shared" si="1444"/>
        <v/>
      </c>
      <c r="CH391" s="1111" t="str">
        <f t="shared" si="1444"/>
        <v/>
      </c>
      <c r="CI391" s="1111" t="str">
        <f t="shared" si="1444"/>
        <v/>
      </c>
      <c r="CJ391" s="1111" t="str">
        <f t="shared" si="1444"/>
        <v/>
      </c>
      <c r="CK391" s="1112" t="str">
        <f t="shared" si="1444"/>
        <v/>
      </c>
      <c r="CL391" s="1112" t="str">
        <f t="shared" si="1444"/>
        <v/>
      </c>
      <c r="CM391" s="1112" t="str">
        <f t="shared" si="1444"/>
        <v/>
      </c>
      <c r="CN391" s="1111" t="str">
        <f t="shared" si="1444"/>
        <v/>
      </c>
      <c r="CO391" s="1111" t="str">
        <f t="shared" si="1444"/>
        <v/>
      </c>
      <c r="CP391" s="1111" t="str">
        <f t="shared" si="1444"/>
        <v/>
      </c>
      <c r="CQ391" s="1111" t="str">
        <f t="shared" si="1444"/>
        <v/>
      </c>
      <c r="CR391" s="1111" t="str">
        <f t="shared" si="1444"/>
        <v/>
      </c>
      <c r="CS391" s="1110" t="str">
        <f t="shared" si="1444"/>
        <v/>
      </c>
      <c r="CT391" s="1113" t="str">
        <f t="shared" ref="CE391:CT407" si="14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09"/>
        <v/>
      </c>
      <c r="CV391" s="325" t="str">
        <f t="shared" si="1410"/>
        <v/>
      </c>
      <c r="CW391" s="326" t="str">
        <f t="shared" si="1411"/>
        <v/>
      </c>
      <c r="CX391" s="326" t="str">
        <f t="shared" si="1412"/>
        <v/>
      </c>
      <c r="CY391" s="326" t="str">
        <f t="shared" si="1413"/>
        <v/>
      </c>
      <c r="CZ391" s="326" t="str">
        <f t="shared" si="1414"/>
        <v/>
      </c>
      <c r="DA391" s="326" t="str">
        <f t="shared" si="1415"/>
        <v/>
      </c>
      <c r="DB391" s="327" t="str">
        <f t="shared" si="1416"/>
        <v/>
      </c>
      <c r="DC391" s="327" t="str">
        <f t="shared" si="1417"/>
        <v/>
      </c>
      <c r="DD391" s="327" t="str">
        <f t="shared" si="1418"/>
        <v/>
      </c>
      <c r="DE391" s="326" t="str">
        <f t="shared" si="1419"/>
        <v/>
      </c>
      <c r="DF391" s="326" t="str">
        <f t="shared" si="1420"/>
        <v/>
      </c>
      <c r="DG391" s="326" t="str">
        <f t="shared" si="1421"/>
        <v/>
      </c>
      <c r="DH391" s="326" t="str">
        <f t="shared" si="1422"/>
        <v/>
      </c>
      <c r="DI391" s="326" t="str">
        <f t="shared" si="1423"/>
        <v/>
      </c>
      <c r="DJ391" s="325" t="str">
        <f t="shared" si="1424"/>
        <v/>
      </c>
      <c r="DK391" s="324" t="str">
        <f t="shared" si="1425"/>
        <v/>
      </c>
      <c r="DL391" s="428">
        <f t="shared" si="1426"/>
        <v>0</v>
      </c>
      <c r="DM391" s="66">
        <f t="shared" si="1427"/>
        <v>0</v>
      </c>
      <c r="DN391" s="66">
        <f t="shared" si="1428"/>
        <v>0</v>
      </c>
      <c r="DO391" s="66">
        <f t="shared" si="142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403"/>
        <v/>
      </c>
      <c r="CA392" s="373" t="str">
        <f t="shared" si="1404"/>
        <v/>
      </c>
      <c r="CB392" s="373" t="str">
        <f t="shared" si="1405"/>
        <v/>
      </c>
      <c r="CC392" s="462" t="str">
        <f t="shared" si="1406"/>
        <v/>
      </c>
      <c r="CD392" s="1109" t="str">
        <f t="shared" si="1442"/>
        <v/>
      </c>
      <c r="CE392" s="1110" t="str">
        <f t="shared" si="1445"/>
        <v/>
      </c>
      <c r="CF392" s="1111" t="str">
        <f t="shared" si="1445"/>
        <v/>
      </c>
      <c r="CG392" s="1111" t="str">
        <f t="shared" si="1445"/>
        <v/>
      </c>
      <c r="CH392" s="1111" t="str">
        <f t="shared" si="1445"/>
        <v/>
      </c>
      <c r="CI392" s="1111" t="str">
        <f t="shared" si="1445"/>
        <v/>
      </c>
      <c r="CJ392" s="1111" t="str">
        <f t="shared" si="1445"/>
        <v/>
      </c>
      <c r="CK392" s="1112" t="str">
        <f t="shared" si="1445"/>
        <v/>
      </c>
      <c r="CL392" s="1112" t="str">
        <f t="shared" si="1445"/>
        <v/>
      </c>
      <c r="CM392" s="1112" t="str">
        <f t="shared" si="1445"/>
        <v/>
      </c>
      <c r="CN392" s="1111" t="str">
        <f t="shared" si="1445"/>
        <v/>
      </c>
      <c r="CO392" s="1111" t="str">
        <f t="shared" si="1445"/>
        <v/>
      </c>
      <c r="CP392" s="1111" t="str">
        <f t="shared" si="1445"/>
        <v/>
      </c>
      <c r="CQ392" s="1111" t="str">
        <f t="shared" si="1445"/>
        <v/>
      </c>
      <c r="CR392" s="1111" t="str">
        <f t="shared" si="1445"/>
        <v/>
      </c>
      <c r="CS392" s="1110" t="str">
        <f t="shared" si="1445"/>
        <v/>
      </c>
      <c r="CT392" s="1113" t="str">
        <f t="shared" si="1445"/>
        <v/>
      </c>
      <c r="CU392" s="324" t="str">
        <f t="shared" si="1409"/>
        <v/>
      </c>
      <c r="CV392" s="325" t="str">
        <f t="shared" si="1410"/>
        <v/>
      </c>
      <c r="CW392" s="326" t="str">
        <f t="shared" si="1411"/>
        <v/>
      </c>
      <c r="CX392" s="326" t="str">
        <f t="shared" si="1412"/>
        <v/>
      </c>
      <c r="CY392" s="326" t="str">
        <f t="shared" si="1413"/>
        <v/>
      </c>
      <c r="CZ392" s="326" t="str">
        <f t="shared" si="1414"/>
        <v/>
      </c>
      <c r="DA392" s="326" t="str">
        <f t="shared" si="1415"/>
        <v/>
      </c>
      <c r="DB392" s="327" t="str">
        <f t="shared" si="1416"/>
        <v/>
      </c>
      <c r="DC392" s="327" t="str">
        <f t="shared" si="1417"/>
        <v/>
      </c>
      <c r="DD392" s="327" t="str">
        <f t="shared" si="1418"/>
        <v/>
      </c>
      <c r="DE392" s="326" t="str">
        <f t="shared" si="1419"/>
        <v/>
      </c>
      <c r="DF392" s="326" t="str">
        <f t="shared" si="1420"/>
        <v/>
      </c>
      <c r="DG392" s="326" t="str">
        <f t="shared" si="1421"/>
        <v/>
      </c>
      <c r="DH392" s="326" t="str">
        <f t="shared" si="1422"/>
        <v/>
      </c>
      <c r="DI392" s="326" t="str">
        <f t="shared" si="1423"/>
        <v/>
      </c>
      <c r="DJ392" s="325" t="str">
        <f t="shared" si="1424"/>
        <v/>
      </c>
      <c r="DK392" s="324" t="str">
        <f t="shared" si="1425"/>
        <v/>
      </c>
      <c r="DL392" s="428">
        <f t="shared" si="1426"/>
        <v>0</v>
      </c>
      <c r="DM392" s="66">
        <f t="shared" si="1427"/>
        <v>0</v>
      </c>
      <c r="DN392" s="66">
        <f t="shared" si="1428"/>
        <v>0</v>
      </c>
      <c r="DO392" s="66">
        <f t="shared" si="142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446">IF(B391="","",B391*B392)</f>
        <v/>
      </c>
      <c r="C393" s="405" t="str">
        <f t="shared" si="1446"/>
        <v/>
      </c>
      <c r="D393" s="405" t="str">
        <f t="shared" si="1446"/>
        <v/>
      </c>
      <c r="E393" s="405" t="str">
        <f t="shared" si="1446"/>
        <v/>
      </c>
      <c r="F393" s="405" t="str">
        <f t="shared" si="1446"/>
        <v/>
      </c>
      <c r="G393" s="405" t="str">
        <f t="shared" si="1446"/>
        <v/>
      </c>
      <c r="H393" s="405" t="str">
        <f t="shared" si="1446"/>
        <v/>
      </c>
      <c r="I393" s="405" t="str">
        <f t="shared" si="1446"/>
        <v/>
      </c>
      <c r="J393" s="405" t="str">
        <f t="shared" si="1446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447">IF(T391="","",T391*T392)</f>
        <v/>
      </c>
      <c r="U393" s="405" t="str">
        <f t="shared" si="1447"/>
        <v/>
      </c>
      <c r="V393" s="405" t="str">
        <f t="shared" si="1447"/>
        <v/>
      </c>
      <c r="W393" s="405" t="str">
        <f t="shared" si="1447"/>
        <v/>
      </c>
      <c r="X393" s="405" t="str">
        <f t="shared" si="1447"/>
        <v/>
      </c>
      <c r="Y393" s="405" t="str">
        <f t="shared" si="1447"/>
        <v/>
      </c>
      <c r="Z393" s="405" t="str">
        <f t="shared" si="1447"/>
        <v/>
      </c>
      <c r="AA393" s="405" t="str">
        <f t="shared" si="1447"/>
        <v/>
      </c>
      <c r="AB393" s="405" t="str">
        <f t="shared" si="1447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448">IF(AL391="","",AL391*AL392)</f>
        <v/>
      </c>
      <c r="AM393" s="405" t="str">
        <f t="shared" si="1448"/>
        <v/>
      </c>
      <c r="AN393" s="405" t="str">
        <f t="shared" si="1448"/>
        <v/>
      </c>
      <c r="AO393" s="405" t="str">
        <f t="shared" si="1448"/>
        <v/>
      </c>
      <c r="AP393" s="405" t="str">
        <f t="shared" si="1448"/>
        <v/>
      </c>
      <c r="AQ393" s="405" t="str">
        <f t="shared" si="1448"/>
        <v/>
      </c>
      <c r="AR393" s="405" t="str">
        <f t="shared" si="1448"/>
        <v/>
      </c>
      <c r="AS393" s="405" t="str">
        <f t="shared" si="1448"/>
        <v/>
      </c>
      <c r="AT393" s="405" t="str">
        <f t="shared" si="1448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449">IF(BD391="","",BD391*BD392)</f>
        <v/>
      </c>
      <c r="BE393" s="405" t="str">
        <f t="shared" si="1449"/>
        <v/>
      </c>
      <c r="BF393" s="405" t="str">
        <f t="shared" si="1449"/>
        <v/>
      </c>
      <c r="BG393" s="405" t="str">
        <f t="shared" si="1449"/>
        <v/>
      </c>
      <c r="BH393" s="405" t="str">
        <f t="shared" si="1449"/>
        <v/>
      </c>
      <c r="BI393" s="405" t="str">
        <f t="shared" si="1449"/>
        <v/>
      </c>
      <c r="BJ393" s="405" t="str">
        <f t="shared" si="1449"/>
        <v/>
      </c>
      <c r="BK393" s="405" t="str">
        <f t="shared" si="1449"/>
        <v/>
      </c>
      <c r="BL393" s="405" t="str">
        <f t="shared" si="1449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403"/>
        <v/>
      </c>
      <c r="CA393" s="373" t="str">
        <f t="shared" si="1404"/>
        <v/>
      </c>
      <c r="CB393" s="373" t="str">
        <f t="shared" si="1405"/>
        <v/>
      </c>
      <c r="CC393" s="462" t="str">
        <f t="shared" si="1406"/>
        <v/>
      </c>
      <c r="CD393" s="1109" t="str">
        <f t="shared" si="1442"/>
        <v/>
      </c>
      <c r="CE393" s="1110" t="str">
        <f t="shared" si="1445"/>
        <v/>
      </c>
      <c r="CF393" s="1111" t="str">
        <f t="shared" si="1445"/>
        <v/>
      </c>
      <c r="CG393" s="1111" t="str">
        <f t="shared" si="1445"/>
        <v/>
      </c>
      <c r="CH393" s="1111" t="str">
        <f t="shared" si="1445"/>
        <v/>
      </c>
      <c r="CI393" s="1111" t="str">
        <f t="shared" si="1445"/>
        <v/>
      </c>
      <c r="CJ393" s="1111" t="str">
        <f t="shared" si="1445"/>
        <v/>
      </c>
      <c r="CK393" s="1112" t="str">
        <f t="shared" si="1445"/>
        <v/>
      </c>
      <c r="CL393" s="1112" t="str">
        <f t="shared" si="1445"/>
        <v/>
      </c>
      <c r="CM393" s="1112" t="str">
        <f t="shared" si="1445"/>
        <v/>
      </c>
      <c r="CN393" s="1111" t="str">
        <f t="shared" si="1445"/>
        <v/>
      </c>
      <c r="CO393" s="1111" t="str">
        <f t="shared" si="1445"/>
        <v/>
      </c>
      <c r="CP393" s="1111" t="str">
        <f t="shared" si="1445"/>
        <v/>
      </c>
      <c r="CQ393" s="1111" t="str">
        <f t="shared" si="1445"/>
        <v/>
      </c>
      <c r="CR393" s="1111" t="str">
        <f t="shared" si="1445"/>
        <v/>
      </c>
      <c r="CS393" s="1110" t="str">
        <f t="shared" si="1445"/>
        <v/>
      </c>
      <c r="CT393" s="1113" t="str">
        <f t="shared" si="1445"/>
        <v/>
      </c>
      <c r="CU393" s="324" t="str">
        <f t="shared" si="1409"/>
        <v/>
      </c>
      <c r="CV393" s="325" t="str">
        <f t="shared" si="1410"/>
        <v/>
      </c>
      <c r="CW393" s="326" t="str">
        <f t="shared" si="1411"/>
        <v/>
      </c>
      <c r="CX393" s="326" t="str">
        <f t="shared" si="1412"/>
        <v/>
      </c>
      <c r="CY393" s="326" t="str">
        <f t="shared" si="1413"/>
        <v/>
      </c>
      <c r="CZ393" s="326" t="str">
        <f t="shared" si="1414"/>
        <v/>
      </c>
      <c r="DA393" s="326" t="str">
        <f t="shared" si="1415"/>
        <v/>
      </c>
      <c r="DB393" s="327" t="str">
        <f t="shared" si="1416"/>
        <v/>
      </c>
      <c r="DC393" s="327" t="str">
        <f t="shared" si="1417"/>
        <v/>
      </c>
      <c r="DD393" s="327" t="str">
        <f t="shared" si="1418"/>
        <v/>
      </c>
      <c r="DE393" s="326" t="str">
        <f t="shared" si="1419"/>
        <v/>
      </c>
      <c r="DF393" s="326" t="str">
        <f t="shared" si="1420"/>
        <v/>
      </c>
      <c r="DG393" s="326" t="str">
        <f t="shared" si="1421"/>
        <v/>
      </c>
      <c r="DH393" s="326" t="str">
        <f t="shared" si="1422"/>
        <v/>
      </c>
      <c r="DI393" s="326" t="str">
        <f t="shared" si="1423"/>
        <v/>
      </c>
      <c r="DJ393" s="325" t="str">
        <f t="shared" si="1424"/>
        <v/>
      </c>
      <c r="DK393" s="324" t="str">
        <f t="shared" si="1425"/>
        <v/>
      </c>
      <c r="DL393" s="428">
        <f t="shared" si="1426"/>
        <v>0</v>
      </c>
      <c r="DM393" s="66">
        <f t="shared" si="1427"/>
        <v>0</v>
      </c>
      <c r="DN393" s="66">
        <f t="shared" si="1428"/>
        <v>0</v>
      </c>
      <c r="DO393" s="66">
        <f t="shared" si="142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403"/>
        <v/>
      </c>
      <c r="CA394" s="373" t="str">
        <f t="shared" si="1404"/>
        <v/>
      </c>
      <c r="CB394" s="373" t="str">
        <f t="shared" si="1405"/>
        <v/>
      </c>
      <c r="CC394" s="462" t="str">
        <f t="shared" si="1406"/>
        <v/>
      </c>
      <c r="CD394" s="1109" t="str">
        <f t="shared" si="1442"/>
        <v/>
      </c>
      <c r="CE394" s="1110" t="str">
        <f t="shared" si="1445"/>
        <v/>
      </c>
      <c r="CF394" s="1111" t="str">
        <f t="shared" si="1445"/>
        <v/>
      </c>
      <c r="CG394" s="1111" t="str">
        <f t="shared" si="1445"/>
        <v/>
      </c>
      <c r="CH394" s="1111" t="str">
        <f t="shared" si="1445"/>
        <v/>
      </c>
      <c r="CI394" s="1111" t="str">
        <f t="shared" si="1445"/>
        <v/>
      </c>
      <c r="CJ394" s="1111" t="str">
        <f t="shared" si="1445"/>
        <v/>
      </c>
      <c r="CK394" s="1112" t="str">
        <f t="shared" si="1445"/>
        <v/>
      </c>
      <c r="CL394" s="1112" t="str">
        <f t="shared" si="1445"/>
        <v/>
      </c>
      <c r="CM394" s="1112" t="str">
        <f t="shared" si="1445"/>
        <v/>
      </c>
      <c r="CN394" s="1111" t="str">
        <f t="shared" si="1445"/>
        <v/>
      </c>
      <c r="CO394" s="1111" t="str">
        <f t="shared" si="1445"/>
        <v/>
      </c>
      <c r="CP394" s="1111" t="str">
        <f t="shared" si="1445"/>
        <v/>
      </c>
      <c r="CQ394" s="1111" t="str">
        <f t="shared" si="1445"/>
        <v/>
      </c>
      <c r="CR394" s="1111" t="str">
        <f t="shared" si="1445"/>
        <v/>
      </c>
      <c r="CS394" s="1110" t="str">
        <f t="shared" si="1445"/>
        <v/>
      </c>
      <c r="CT394" s="1113" t="str">
        <f t="shared" si="1445"/>
        <v/>
      </c>
      <c r="CU394" s="324" t="str">
        <f t="shared" si="1409"/>
        <v/>
      </c>
      <c r="CV394" s="325" t="str">
        <f t="shared" si="1410"/>
        <v/>
      </c>
      <c r="CW394" s="326" t="str">
        <f t="shared" si="1411"/>
        <v/>
      </c>
      <c r="CX394" s="326" t="str">
        <f t="shared" si="1412"/>
        <v/>
      </c>
      <c r="CY394" s="326" t="str">
        <f t="shared" si="1413"/>
        <v/>
      </c>
      <c r="CZ394" s="326" t="str">
        <f t="shared" si="1414"/>
        <v/>
      </c>
      <c r="DA394" s="326" t="str">
        <f t="shared" si="1415"/>
        <v/>
      </c>
      <c r="DB394" s="327" t="str">
        <f t="shared" si="1416"/>
        <v/>
      </c>
      <c r="DC394" s="327" t="str">
        <f t="shared" si="1417"/>
        <v/>
      </c>
      <c r="DD394" s="327" t="str">
        <f t="shared" si="1418"/>
        <v/>
      </c>
      <c r="DE394" s="326" t="str">
        <f t="shared" si="1419"/>
        <v/>
      </c>
      <c r="DF394" s="326" t="str">
        <f t="shared" si="1420"/>
        <v/>
      </c>
      <c r="DG394" s="326" t="str">
        <f t="shared" si="1421"/>
        <v/>
      </c>
      <c r="DH394" s="326" t="str">
        <f t="shared" si="1422"/>
        <v/>
      </c>
      <c r="DI394" s="326" t="str">
        <f t="shared" si="1423"/>
        <v/>
      </c>
      <c r="DJ394" s="325" t="str">
        <f t="shared" si="1424"/>
        <v/>
      </c>
      <c r="DK394" s="324" t="str">
        <f t="shared" si="1425"/>
        <v/>
      </c>
      <c r="DL394" s="428">
        <f t="shared" si="1426"/>
        <v>0</v>
      </c>
      <c r="DM394" s="66">
        <f t="shared" si="1427"/>
        <v>0</v>
      </c>
      <c r="DN394" s="66">
        <f t="shared" si="1428"/>
        <v>0</v>
      </c>
      <c r="DO394" s="66">
        <f t="shared" si="142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403"/>
        <v/>
      </c>
      <c r="CA395" s="373" t="str">
        <f t="shared" si="1404"/>
        <v/>
      </c>
      <c r="CB395" s="373" t="str">
        <f t="shared" si="1405"/>
        <v/>
      </c>
      <c r="CC395" s="462" t="str">
        <f t="shared" si="1406"/>
        <v/>
      </c>
      <c r="CD395" s="1109" t="str">
        <f t="shared" si="1442"/>
        <v/>
      </c>
      <c r="CE395" s="1110" t="str">
        <f t="shared" si="1445"/>
        <v/>
      </c>
      <c r="CF395" s="1111" t="str">
        <f t="shared" si="1445"/>
        <v/>
      </c>
      <c r="CG395" s="1111" t="str">
        <f t="shared" si="1445"/>
        <v/>
      </c>
      <c r="CH395" s="1111" t="str">
        <f t="shared" si="1445"/>
        <v/>
      </c>
      <c r="CI395" s="1111" t="str">
        <f t="shared" si="1445"/>
        <v/>
      </c>
      <c r="CJ395" s="1111" t="str">
        <f t="shared" si="1445"/>
        <v/>
      </c>
      <c r="CK395" s="1112" t="str">
        <f t="shared" si="1445"/>
        <v/>
      </c>
      <c r="CL395" s="1112" t="str">
        <f t="shared" si="1445"/>
        <v/>
      </c>
      <c r="CM395" s="1112" t="str">
        <f t="shared" si="1445"/>
        <v/>
      </c>
      <c r="CN395" s="1111" t="str">
        <f t="shared" si="1445"/>
        <v/>
      </c>
      <c r="CO395" s="1111" t="str">
        <f t="shared" si="1445"/>
        <v/>
      </c>
      <c r="CP395" s="1111" t="str">
        <f t="shared" si="1445"/>
        <v/>
      </c>
      <c r="CQ395" s="1111" t="str">
        <f t="shared" si="1445"/>
        <v/>
      </c>
      <c r="CR395" s="1111" t="str">
        <f t="shared" si="1445"/>
        <v/>
      </c>
      <c r="CS395" s="1110" t="str">
        <f t="shared" si="1445"/>
        <v/>
      </c>
      <c r="CT395" s="1113" t="str">
        <f t="shared" si="1445"/>
        <v/>
      </c>
      <c r="CU395" s="324" t="str">
        <f t="shared" si="1409"/>
        <v/>
      </c>
      <c r="CV395" s="325" t="str">
        <f t="shared" si="1410"/>
        <v/>
      </c>
      <c r="CW395" s="326" t="str">
        <f t="shared" si="1411"/>
        <v/>
      </c>
      <c r="CX395" s="326" t="str">
        <f t="shared" si="1412"/>
        <v/>
      </c>
      <c r="CY395" s="326" t="str">
        <f t="shared" si="1413"/>
        <v/>
      </c>
      <c r="CZ395" s="326" t="str">
        <f t="shared" si="1414"/>
        <v/>
      </c>
      <c r="DA395" s="326" t="str">
        <f t="shared" si="1415"/>
        <v/>
      </c>
      <c r="DB395" s="327" t="str">
        <f t="shared" si="1416"/>
        <v/>
      </c>
      <c r="DC395" s="327" t="str">
        <f t="shared" si="1417"/>
        <v/>
      </c>
      <c r="DD395" s="327" t="str">
        <f t="shared" si="1418"/>
        <v/>
      </c>
      <c r="DE395" s="326" t="str">
        <f t="shared" si="1419"/>
        <v/>
      </c>
      <c r="DF395" s="326" t="str">
        <f t="shared" si="1420"/>
        <v/>
      </c>
      <c r="DG395" s="326" t="str">
        <f t="shared" si="1421"/>
        <v/>
      </c>
      <c r="DH395" s="326" t="str">
        <f t="shared" si="1422"/>
        <v/>
      </c>
      <c r="DI395" s="326" t="str">
        <f t="shared" si="1423"/>
        <v/>
      </c>
      <c r="DJ395" s="325" t="str">
        <f t="shared" si="1424"/>
        <v/>
      </c>
      <c r="DK395" s="324" t="str">
        <f t="shared" si="1425"/>
        <v/>
      </c>
      <c r="DL395" s="428">
        <f t="shared" si="1426"/>
        <v>0</v>
      </c>
      <c r="DM395" s="66">
        <f t="shared" si="1427"/>
        <v>0</v>
      </c>
      <c r="DN395" s="66">
        <f t="shared" si="1428"/>
        <v>0</v>
      </c>
      <c r="DO395" s="66">
        <f t="shared" si="142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450">IF(B394="","",B394*B395)</f>
        <v/>
      </c>
      <c r="C396" s="405" t="str">
        <f t="shared" si="1450"/>
        <v/>
      </c>
      <c r="D396" s="405" t="str">
        <f t="shared" si="1450"/>
        <v/>
      </c>
      <c r="E396" s="405" t="str">
        <f t="shared" si="1450"/>
        <v/>
      </c>
      <c r="F396" s="405" t="str">
        <f t="shared" si="1450"/>
        <v/>
      </c>
      <c r="G396" s="405" t="str">
        <f t="shared" si="1450"/>
        <v/>
      </c>
      <c r="H396" s="405" t="str">
        <f t="shared" si="1450"/>
        <v/>
      </c>
      <c r="I396" s="405" t="str">
        <f t="shared" si="1450"/>
        <v/>
      </c>
      <c r="J396" s="405" t="str">
        <f t="shared" si="1450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451">IF(T394="","",T394*T395)</f>
        <v/>
      </c>
      <c r="U396" s="405" t="str">
        <f t="shared" si="1451"/>
        <v/>
      </c>
      <c r="V396" s="405" t="str">
        <f t="shared" si="1451"/>
        <v/>
      </c>
      <c r="W396" s="405" t="str">
        <f t="shared" si="1451"/>
        <v/>
      </c>
      <c r="X396" s="405" t="str">
        <f t="shared" si="1451"/>
        <v/>
      </c>
      <c r="Y396" s="405" t="str">
        <f t="shared" si="1451"/>
        <v/>
      </c>
      <c r="Z396" s="405" t="str">
        <f t="shared" si="1451"/>
        <v/>
      </c>
      <c r="AA396" s="405" t="str">
        <f t="shared" si="1451"/>
        <v/>
      </c>
      <c r="AB396" s="405" t="str">
        <f t="shared" si="1451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452">IF(AL394="","",AL394*AL395)</f>
        <v/>
      </c>
      <c r="AM396" s="405" t="str">
        <f t="shared" si="1452"/>
        <v/>
      </c>
      <c r="AN396" s="405" t="str">
        <f t="shared" si="1452"/>
        <v/>
      </c>
      <c r="AO396" s="405" t="str">
        <f t="shared" si="1452"/>
        <v/>
      </c>
      <c r="AP396" s="405" t="str">
        <f t="shared" si="1452"/>
        <v/>
      </c>
      <c r="AQ396" s="405" t="str">
        <f t="shared" si="1452"/>
        <v/>
      </c>
      <c r="AR396" s="405" t="str">
        <f t="shared" si="1452"/>
        <v/>
      </c>
      <c r="AS396" s="405" t="str">
        <f t="shared" si="1452"/>
        <v/>
      </c>
      <c r="AT396" s="405" t="str">
        <f t="shared" si="1452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453">IF(BD394="","",BD394*BD395)</f>
        <v/>
      </c>
      <c r="BE396" s="405" t="str">
        <f t="shared" si="1453"/>
        <v/>
      </c>
      <c r="BF396" s="405" t="str">
        <f t="shared" si="1453"/>
        <v/>
      </c>
      <c r="BG396" s="405" t="str">
        <f t="shared" si="1453"/>
        <v/>
      </c>
      <c r="BH396" s="405" t="str">
        <f t="shared" si="1453"/>
        <v/>
      </c>
      <c r="BI396" s="405" t="str">
        <f t="shared" si="1453"/>
        <v/>
      </c>
      <c r="BJ396" s="405" t="str">
        <f t="shared" si="1453"/>
        <v/>
      </c>
      <c r="BK396" s="405" t="str">
        <f t="shared" si="1453"/>
        <v/>
      </c>
      <c r="BL396" s="405" t="str">
        <f t="shared" si="1453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403"/>
        <v/>
      </c>
      <c r="CA396" s="373" t="str">
        <f t="shared" si="1404"/>
        <v/>
      </c>
      <c r="CB396" s="373" t="str">
        <f t="shared" si="1405"/>
        <v/>
      </c>
      <c r="CC396" s="462" t="str">
        <f t="shared" si="1406"/>
        <v/>
      </c>
      <c r="CD396" s="1109" t="str">
        <f t="shared" si="1442"/>
        <v/>
      </c>
      <c r="CE396" s="1110" t="str">
        <f t="shared" si="1445"/>
        <v/>
      </c>
      <c r="CF396" s="1111" t="str">
        <f t="shared" si="1445"/>
        <v/>
      </c>
      <c r="CG396" s="1111" t="str">
        <f t="shared" si="1445"/>
        <v/>
      </c>
      <c r="CH396" s="1111" t="str">
        <f t="shared" si="1445"/>
        <v/>
      </c>
      <c r="CI396" s="1111" t="str">
        <f t="shared" si="1445"/>
        <v/>
      </c>
      <c r="CJ396" s="1111" t="str">
        <f t="shared" si="1445"/>
        <v/>
      </c>
      <c r="CK396" s="1112" t="str">
        <f t="shared" si="1445"/>
        <v/>
      </c>
      <c r="CL396" s="1112" t="str">
        <f t="shared" si="1445"/>
        <v/>
      </c>
      <c r="CM396" s="1112" t="str">
        <f t="shared" si="1445"/>
        <v/>
      </c>
      <c r="CN396" s="1111" t="str">
        <f t="shared" si="1445"/>
        <v/>
      </c>
      <c r="CO396" s="1111" t="str">
        <f t="shared" si="1445"/>
        <v/>
      </c>
      <c r="CP396" s="1111" t="str">
        <f t="shared" si="1445"/>
        <v/>
      </c>
      <c r="CQ396" s="1111" t="str">
        <f t="shared" si="1445"/>
        <v/>
      </c>
      <c r="CR396" s="1111" t="str">
        <f t="shared" si="1445"/>
        <v/>
      </c>
      <c r="CS396" s="1110" t="str">
        <f t="shared" si="1445"/>
        <v/>
      </c>
      <c r="CT396" s="1113" t="str">
        <f t="shared" si="1445"/>
        <v/>
      </c>
      <c r="CU396" s="324" t="str">
        <f t="shared" si="1409"/>
        <v/>
      </c>
      <c r="CV396" s="325" t="str">
        <f t="shared" si="1410"/>
        <v/>
      </c>
      <c r="CW396" s="326" t="str">
        <f t="shared" si="1411"/>
        <v/>
      </c>
      <c r="CX396" s="326" t="str">
        <f t="shared" si="1412"/>
        <v/>
      </c>
      <c r="CY396" s="326" t="str">
        <f t="shared" si="1413"/>
        <v/>
      </c>
      <c r="CZ396" s="326" t="str">
        <f t="shared" si="1414"/>
        <v/>
      </c>
      <c r="DA396" s="326" t="str">
        <f t="shared" si="1415"/>
        <v/>
      </c>
      <c r="DB396" s="327" t="str">
        <f t="shared" si="1416"/>
        <v/>
      </c>
      <c r="DC396" s="327" t="str">
        <f t="shared" si="1417"/>
        <v/>
      </c>
      <c r="DD396" s="327" t="str">
        <f t="shared" si="1418"/>
        <v/>
      </c>
      <c r="DE396" s="326" t="str">
        <f t="shared" si="1419"/>
        <v/>
      </c>
      <c r="DF396" s="326" t="str">
        <f t="shared" si="1420"/>
        <v/>
      </c>
      <c r="DG396" s="326" t="str">
        <f t="shared" si="1421"/>
        <v/>
      </c>
      <c r="DH396" s="326" t="str">
        <f t="shared" si="1422"/>
        <v/>
      </c>
      <c r="DI396" s="326" t="str">
        <f t="shared" si="1423"/>
        <v/>
      </c>
      <c r="DJ396" s="325" t="str">
        <f t="shared" si="1424"/>
        <v/>
      </c>
      <c r="DK396" s="324" t="str">
        <f t="shared" si="1425"/>
        <v/>
      </c>
      <c r="DL396" s="428">
        <f t="shared" si="1426"/>
        <v>0</v>
      </c>
      <c r="DM396" s="66">
        <f t="shared" si="1427"/>
        <v>0</v>
      </c>
      <c r="DN396" s="66">
        <f t="shared" si="1428"/>
        <v>0</v>
      </c>
      <c r="DO396" s="66">
        <f t="shared" si="142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403"/>
        <v/>
      </c>
      <c r="CA397" s="373" t="str">
        <f t="shared" si="1404"/>
        <v/>
      </c>
      <c r="CB397" s="373" t="str">
        <f t="shared" si="1405"/>
        <v/>
      </c>
      <c r="CC397" s="462" t="str">
        <f t="shared" si="1406"/>
        <v/>
      </c>
      <c r="CD397" s="1109" t="str">
        <f t="shared" si="1442"/>
        <v/>
      </c>
      <c r="CE397" s="1110" t="str">
        <f t="shared" si="1445"/>
        <v/>
      </c>
      <c r="CF397" s="1111" t="str">
        <f t="shared" si="1445"/>
        <v/>
      </c>
      <c r="CG397" s="1111" t="str">
        <f t="shared" si="1445"/>
        <v/>
      </c>
      <c r="CH397" s="1111" t="str">
        <f t="shared" si="1445"/>
        <v/>
      </c>
      <c r="CI397" s="1111" t="str">
        <f t="shared" si="1445"/>
        <v/>
      </c>
      <c r="CJ397" s="1111" t="str">
        <f t="shared" si="1445"/>
        <v/>
      </c>
      <c r="CK397" s="1112" t="str">
        <f t="shared" si="1445"/>
        <v/>
      </c>
      <c r="CL397" s="1112" t="str">
        <f t="shared" si="1445"/>
        <v/>
      </c>
      <c r="CM397" s="1112" t="str">
        <f t="shared" si="1445"/>
        <v/>
      </c>
      <c r="CN397" s="1111" t="str">
        <f t="shared" si="1445"/>
        <v/>
      </c>
      <c r="CO397" s="1111" t="str">
        <f t="shared" si="1445"/>
        <v/>
      </c>
      <c r="CP397" s="1111" t="str">
        <f t="shared" si="1445"/>
        <v/>
      </c>
      <c r="CQ397" s="1111" t="str">
        <f t="shared" si="1445"/>
        <v/>
      </c>
      <c r="CR397" s="1111" t="str">
        <f t="shared" si="1445"/>
        <v/>
      </c>
      <c r="CS397" s="1110" t="str">
        <f t="shared" si="1445"/>
        <v/>
      </c>
      <c r="CT397" s="1113" t="str">
        <f t="shared" si="1445"/>
        <v/>
      </c>
      <c r="CU397" s="324" t="str">
        <f t="shared" si="1409"/>
        <v/>
      </c>
      <c r="CV397" s="325" t="str">
        <f t="shared" si="1410"/>
        <v/>
      </c>
      <c r="CW397" s="326" t="str">
        <f t="shared" si="1411"/>
        <v/>
      </c>
      <c r="CX397" s="326" t="str">
        <f t="shared" si="1412"/>
        <v/>
      </c>
      <c r="CY397" s="326" t="str">
        <f t="shared" si="1413"/>
        <v/>
      </c>
      <c r="CZ397" s="326" t="str">
        <f t="shared" si="1414"/>
        <v/>
      </c>
      <c r="DA397" s="326" t="str">
        <f t="shared" si="1415"/>
        <v/>
      </c>
      <c r="DB397" s="327" t="str">
        <f t="shared" si="1416"/>
        <v/>
      </c>
      <c r="DC397" s="327" t="str">
        <f t="shared" si="1417"/>
        <v/>
      </c>
      <c r="DD397" s="327" t="str">
        <f t="shared" si="1418"/>
        <v/>
      </c>
      <c r="DE397" s="326" t="str">
        <f t="shared" si="1419"/>
        <v/>
      </c>
      <c r="DF397" s="326" t="str">
        <f t="shared" si="1420"/>
        <v/>
      </c>
      <c r="DG397" s="326" t="str">
        <f t="shared" si="1421"/>
        <v/>
      </c>
      <c r="DH397" s="326" t="str">
        <f t="shared" si="1422"/>
        <v/>
      </c>
      <c r="DI397" s="326" t="str">
        <f t="shared" si="1423"/>
        <v/>
      </c>
      <c r="DJ397" s="325" t="str">
        <f t="shared" si="1424"/>
        <v/>
      </c>
      <c r="DK397" s="324" t="str">
        <f t="shared" si="1425"/>
        <v/>
      </c>
      <c r="DL397" s="428">
        <f t="shared" si="1426"/>
        <v>0</v>
      </c>
      <c r="DM397" s="66">
        <f t="shared" si="1427"/>
        <v>0</v>
      </c>
      <c r="DN397" s="66">
        <f t="shared" si="1428"/>
        <v>0</v>
      </c>
      <c r="DO397" s="66">
        <f t="shared" si="142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403"/>
        <v/>
      </c>
      <c r="CA398" s="373" t="str">
        <f t="shared" si="1404"/>
        <v/>
      </c>
      <c r="CB398" s="373" t="str">
        <f t="shared" si="1405"/>
        <v/>
      </c>
      <c r="CC398" s="462" t="str">
        <f t="shared" si="1406"/>
        <v/>
      </c>
      <c r="CD398" s="1109" t="str">
        <f t="shared" si="1442"/>
        <v/>
      </c>
      <c r="CE398" s="1110" t="str">
        <f t="shared" si="1445"/>
        <v/>
      </c>
      <c r="CF398" s="1111" t="str">
        <f t="shared" si="1445"/>
        <v/>
      </c>
      <c r="CG398" s="1111" t="str">
        <f t="shared" si="1445"/>
        <v/>
      </c>
      <c r="CH398" s="1111" t="str">
        <f t="shared" si="1445"/>
        <v/>
      </c>
      <c r="CI398" s="1111" t="str">
        <f t="shared" si="1445"/>
        <v/>
      </c>
      <c r="CJ398" s="1111" t="str">
        <f t="shared" si="1445"/>
        <v/>
      </c>
      <c r="CK398" s="1112" t="str">
        <f t="shared" si="1445"/>
        <v/>
      </c>
      <c r="CL398" s="1112" t="str">
        <f t="shared" si="1445"/>
        <v/>
      </c>
      <c r="CM398" s="1112" t="str">
        <f t="shared" si="1445"/>
        <v/>
      </c>
      <c r="CN398" s="1111" t="str">
        <f t="shared" si="1445"/>
        <v/>
      </c>
      <c r="CO398" s="1111" t="str">
        <f t="shared" si="1445"/>
        <v/>
      </c>
      <c r="CP398" s="1111" t="str">
        <f t="shared" si="1445"/>
        <v/>
      </c>
      <c r="CQ398" s="1111" t="str">
        <f t="shared" si="1445"/>
        <v/>
      </c>
      <c r="CR398" s="1111" t="str">
        <f t="shared" si="1445"/>
        <v/>
      </c>
      <c r="CS398" s="1110" t="str">
        <f t="shared" si="1445"/>
        <v/>
      </c>
      <c r="CT398" s="1113" t="str">
        <f t="shared" si="1445"/>
        <v/>
      </c>
      <c r="CU398" s="324" t="str">
        <f t="shared" si="1409"/>
        <v/>
      </c>
      <c r="CV398" s="325" t="str">
        <f t="shared" si="1410"/>
        <v/>
      </c>
      <c r="CW398" s="326" t="str">
        <f t="shared" si="1411"/>
        <v/>
      </c>
      <c r="CX398" s="326" t="str">
        <f t="shared" si="1412"/>
        <v/>
      </c>
      <c r="CY398" s="326" t="str">
        <f t="shared" si="1413"/>
        <v/>
      </c>
      <c r="CZ398" s="326" t="str">
        <f t="shared" si="1414"/>
        <v/>
      </c>
      <c r="DA398" s="326" t="str">
        <f t="shared" si="1415"/>
        <v/>
      </c>
      <c r="DB398" s="327" t="str">
        <f t="shared" si="1416"/>
        <v/>
      </c>
      <c r="DC398" s="327" t="str">
        <f t="shared" si="1417"/>
        <v/>
      </c>
      <c r="DD398" s="327" t="str">
        <f t="shared" si="1418"/>
        <v/>
      </c>
      <c r="DE398" s="326" t="str">
        <f t="shared" si="1419"/>
        <v/>
      </c>
      <c r="DF398" s="326" t="str">
        <f t="shared" si="1420"/>
        <v/>
      </c>
      <c r="DG398" s="326" t="str">
        <f t="shared" si="1421"/>
        <v/>
      </c>
      <c r="DH398" s="326" t="str">
        <f t="shared" si="1422"/>
        <v/>
      </c>
      <c r="DI398" s="326" t="str">
        <f t="shared" si="1423"/>
        <v/>
      </c>
      <c r="DJ398" s="325" t="str">
        <f t="shared" si="1424"/>
        <v/>
      </c>
      <c r="DK398" s="324" t="str">
        <f t="shared" si="1425"/>
        <v/>
      </c>
      <c r="DL398" s="428">
        <f t="shared" si="1426"/>
        <v>0</v>
      </c>
      <c r="DM398" s="66">
        <f t="shared" si="1427"/>
        <v>0</v>
      </c>
      <c r="DN398" s="66">
        <f t="shared" si="1428"/>
        <v>0</v>
      </c>
      <c r="DO398" s="66">
        <f t="shared" si="142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454">IF(B397="","",B397*B398)</f>
        <v/>
      </c>
      <c r="C399" s="405" t="str">
        <f t="shared" si="1454"/>
        <v/>
      </c>
      <c r="D399" s="405" t="str">
        <f t="shared" si="1454"/>
        <v/>
      </c>
      <c r="E399" s="405" t="str">
        <f t="shared" si="1454"/>
        <v/>
      </c>
      <c r="F399" s="405" t="str">
        <f t="shared" si="1454"/>
        <v/>
      </c>
      <c r="G399" s="405" t="str">
        <f t="shared" si="1454"/>
        <v/>
      </c>
      <c r="H399" s="405" t="str">
        <f t="shared" si="1454"/>
        <v/>
      </c>
      <c r="I399" s="405" t="str">
        <f t="shared" si="1454"/>
        <v/>
      </c>
      <c r="J399" s="405" t="str">
        <f t="shared" si="1454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455">IF(T397="","",T397*T398)</f>
        <v/>
      </c>
      <c r="U399" s="405" t="str">
        <f t="shared" si="1455"/>
        <v/>
      </c>
      <c r="V399" s="405" t="str">
        <f t="shared" si="1455"/>
        <v/>
      </c>
      <c r="W399" s="405" t="str">
        <f t="shared" si="1455"/>
        <v/>
      </c>
      <c r="X399" s="405" t="str">
        <f t="shared" si="1455"/>
        <v/>
      </c>
      <c r="Y399" s="405" t="str">
        <f t="shared" si="1455"/>
        <v/>
      </c>
      <c r="Z399" s="405" t="str">
        <f t="shared" si="1455"/>
        <v/>
      </c>
      <c r="AA399" s="405" t="str">
        <f t="shared" si="1455"/>
        <v/>
      </c>
      <c r="AB399" s="405" t="str">
        <f t="shared" si="1455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456">IF(AL397="","",AL397*AL398)</f>
        <v/>
      </c>
      <c r="AM399" s="405" t="str">
        <f t="shared" si="1456"/>
        <v/>
      </c>
      <c r="AN399" s="405" t="str">
        <f t="shared" si="1456"/>
        <v/>
      </c>
      <c r="AO399" s="405" t="str">
        <f t="shared" si="1456"/>
        <v/>
      </c>
      <c r="AP399" s="405" t="str">
        <f t="shared" si="1456"/>
        <v/>
      </c>
      <c r="AQ399" s="405" t="str">
        <f t="shared" si="1456"/>
        <v/>
      </c>
      <c r="AR399" s="405" t="str">
        <f t="shared" si="1456"/>
        <v/>
      </c>
      <c r="AS399" s="405" t="str">
        <f t="shared" si="1456"/>
        <v/>
      </c>
      <c r="AT399" s="405" t="str">
        <f t="shared" si="1456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457">IF(BD397="","",BD397*BD398)</f>
        <v/>
      </c>
      <c r="BE399" s="405" t="str">
        <f t="shared" si="1457"/>
        <v/>
      </c>
      <c r="BF399" s="405" t="str">
        <f t="shared" si="1457"/>
        <v/>
      </c>
      <c r="BG399" s="405" t="str">
        <f t="shared" si="1457"/>
        <v/>
      </c>
      <c r="BH399" s="405" t="str">
        <f t="shared" si="1457"/>
        <v/>
      </c>
      <c r="BI399" s="405" t="str">
        <f t="shared" si="1457"/>
        <v/>
      </c>
      <c r="BJ399" s="405" t="str">
        <f t="shared" si="1457"/>
        <v/>
      </c>
      <c r="BK399" s="405" t="str">
        <f t="shared" si="1457"/>
        <v/>
      </c>
      <c r="BL399" s="405" t="str">
        <f t="shared" si="1457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403"/>
        <v/>
      </c>
      <c r="CA399" s="373" t="str">
        <f t="shared" si="1404"/>
        <v/>
      </c>
      <c r="CB399" s="373" t="str">
        <f t="shared" si="1405"/>
        <v/>
      </c>
      <c r="CC399" s="462" t="str">
        <f t="shared" si="1406"/>
        <v/>
      </c>
      <c r="CD399" s="1109" t="str">
        <f t="shared" si="1442"/>
        <v/>
      </c>
      <c r="CE399" s="1110" t="str">
        <f t="shared" si="1445"/>
        <v/>
      </c>
      <c r="CF399" s="1111" t="str">
        <f t="shared" si="1445"/>
        <v/>
      </c>
      <c r="CG399" s="1111" t="str">
        <f t="shared" si="1445"/>
        <v/>
      </c>
      <c r="CH399" s="1111" t="str">
        <f t="shared" si="1445"/>
        <v/>
      </c>
      <c r="CI399" s="1111" t="str">
        <f t="shared" si="1445"/>
        <v/>
      </c>
      <c r="CJ399" s="1111" t="str">
        <f t="shared" si="1445"/>
        <v/>
      </c>
      <c r="CK399" s="1112" t="str">
        <f t="shared" si="1445"/>
        <v/>
      </c>
      <c r="CL399" s="1112" t="str">
        <f t="shared" si="1445"/>
        <v/>
      </c>
      <c r="CM399" s="1112" t="str">
        <f t="shared" si="1445"/>
        <v/>
      </c>
      <c r="CN399" s="1111" t="str">
        <f t="shared" si="1445"/>
        <v/>
      </c>
      <c r="CO399" s="1111" t="str">
        <f t="shared" si="1445"/>
        <v/>
      </c>
      <c r="CP399" s="1111" t="str">
        <f t="shared" si="1445"/>
        <v/>
      </c>
      <c r="CQ399" s="1111" t="str">
        <f t="shared" si="1445"/>
        <v/>
      </c>
      <c r="CR399" s="1111" t="str">
        <f t="shared" si="1445"/>
        <v/>
      </c>
      <c r="CS399" s="1110" t="str">
        <f t="shared" si="1445"/>
        <v/>
      </c>
      <c r="CT399" s="1113" t="str">
        <f t="shared" si="1445"/>
        <v/>
      </c>
      <c r="CU399" s="324" t="str">
        <f t="shared" si="1409"/>
        <v/>
      </c>
      <c r="CV399" s="325" t="str">
        <f t="shared" si="1410"/>
        <v/>
      </c>
      <c r="CW399" s="326" t="str">
        <f t="shared" si="1411"/>
        <v/>
      </c>
      <c r="CX399" s="326" t="str">
        <f t="shared" si="1412"/>
        <v/>
      </c>
      <c r="CY399" s="326" t="str">
        <f t="shared" si="1413"/>
        <v/>
      </c>
      <c r="CZ399" s="326" t="str">
        <f t="shared" si="1414"/>
        <v/>
      </c>
      <c r="DA399" s="326" t="str">
        <f t="shared" si="1415"/>
        <v/>
      </c>
      <c r="DB399" s="327" t="str">
        <f t="shared" si="1416"/>
        <v/>
      </c>
      <c r="DC399" s="327" t="str">
        <f t="shared" si="1417"/>
        <v/>
      </c>
      <c r="DD399" s="327" t="str">
        <f t="shared" si="1418"/>
        <v/>
      </c>
      <c r="DE399" s="326" t="str">
        <f t="shared" si="1419"/>
        <v/>
      </c>
      <c r="DF399" s="326" t="str">
        <f t="shared" si="1420"/>
        <v/>
      </c>
      <c r="DG399" s="326" t="str">
        <f t="shared" si="1421"/>
        <v/>
      </c>
      <c r="DH399" s="326" t="str">
        <f t="shared" si="1422"/>
        <v/>
      </c>
      <c r="DI399" s="326" t="str">
        <f t="shared" si="1423"/>
        <v/>
      </c>
      <c r="DJ399" s="325" t="str">
        <f t="shared" si="1424"/>
        <v/>
      </c>
      <c r="DK399" s="324" t="str">
        <f t="shared" si="1425"/>
        <v/>
      </c>
      <c r="DL399" s="428">
        <f t="shared" si="1426"/>
        <v>0</v>
      </c>
      <c r="DM399" s="66">
        <f t="shared" si="1427"/>
        <v>0</v>
      </c>
      <c r="DN399" s="66">
        <f t="shared" si="1428"/>
        <v>0</v>
      </c>
      <c r="DO399" s="66">
        <f t="shared" si="142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403"/>
        <v/>
      </c>
      <c r="CA400" s="373" t="str">
        <f t="shared" si="1404"/>
        <v/>
      </c>
      <c r="CB400" s="373" t="str">
        <f t="shared" si="1405"/>
        <v/>
      </c>
      <c r="CC400" s="462" t="str">
        <f t="shared" si="1406"/>
        <v/>
      </c>
      <c r="CD400" s="1109" t="str">
        <f t="shared" si="1442"/>
        <v/>
      </c>
      <c r="CE400" s="1110" t="str">
        <f t="shared" si="1445"/>
        <v/>
      </c>
      <c r="CF400" s="1111" t="str">
        <f t="shared" si="1445"/>
        <v/>
      </c>
      <c r="CG400" s="1111" t="str">
        <f t="shared" si="1445"/>
        <v/>
      </c>
      <c r="CH400" s="1111" t="str">
        <f t="shared" si="1445"/>
        <v/>
      </c>
      <c r="CI400" s="1111" t="str">
        <f t="shared" si="1445"/>
        <v/>
      </c>
      <c r="CJ400" s="1111" t="str">
        <f t="shared" si="1445"/>
        <v/>
      </c>
      <c r="CK400" s="1112" t="str">
        <f t="shared" si="1445"/>
        <v/>
      </c>
      <c r="CL400" s="1112" t="str">
        <f t="shared" si="1445"/>
        <v/>
      </c>
      <c r="CM400" s="1112" t="str">
        <f t="shared" si="1445"/>
        <v/>
      </c>
      <c r="CN400" s="1111" t="str">
        <f t="shared" si="1445"/>
        <v/>
      </c>
      <c r="CO400" s="1111" t="str">
        <f t="shared" si="1445"/>
        <v/>
      </c>
      <c r="CP400" s="1111" t="str">
        <f t="shared" si="1445"/>
        <v/>
      </c>
      <c r="CQ400" s="1111" t="str">
        <f t="shared" si="1445"/>
        <v/>
      </c>
      <c r="CR400" s="1111" t="str">
        <f t="shared" si="1445"/>
        <v/>
      </c>
      <c r="CS400" s="1110" t="str">
        <f t="shared" si="1445"/>
        <v/>
      </c>
      <c r="CT400" s="1113" t="str">
        <f t="shared" si="1445"/>
        <v/>
      </c>
      <c r="CU400" s="324" t="str">
        <f t="shared" si="1409"/>
        <v/>
      </c>
      <c r="CV400" s="325" t="str">
        <f t="shared" si="1410"/>
        <v/>
      </c>
      <c r="CW400" s="326" t="str">
        <f t="shared" si="1411"/>
        <v/>
      </c>
      <c r="CX400" s="326" t="str">
        <f t="shared" si="1412"/>
        <v/>
      </c>
      <c r="CY400" s="326" t="str">
        <f t="shared" si="1413"/>
        <v/>
      </c>
      <c r="CZ400" s="326" t="str">
        <f t="shared" si="1414"/>
        <v/>
      </c>
      <c r="DA400" s="326" t="str">
        <f t="shared" si="1415"/>
        <v/>
      </c>
      <c r="DB400" s="327" t="str">
        <f t="shared" si="1416"/>
        <v/>
      </c>
      <c r="DC400" s="327" t="str">
        <f t="shared" si="1417"/>
        <v/>
      </c>
      <c r="DD400" s="327" t="str">
        <f t="shared" si="1418"/>
        <v/>
      </c>
      <c r="DE400" s="326" t="str">
        <f t="shared" si="1419"/>
        <v/>
      </c>
      <c r="DF400" s="326" t="str">
        <f t="shared" si="1420"/>
        <v/>
      </c>
      <c r="DG400" s="326" t="str">
        <f t="shared" si="1421"/>
        <v/>
      </c>
      <c r="DH400" s="326" t="str">
        <f t="shared" si="1422"/>
        <v/>
      </c>
      <c r="DI400" s="326" t="str">
        <f t="shared" si="1423"/>
        <v/>
      </c>
      <c r="DJ400" s="325" t="str">
        <f t="shared" si="1424"/>
        <v/>
      </c>
      <c r="DK400" s="324" t="str">
        <f t="shared" si="1425"/>
        <v/>
      </c>
      <c r="DL400" s="428">
        <f t="shared" si="1426"/>
        <v>0</v>
      </c>
      <c r="DM400" s="66">
        <f t="shared" si="1427"/>
        <v>0</v>
      </c>
      <c r="DN400" s="66">
        <f t="shared" si="1428"/>
        <v>0</v>
      </c>
      <c r="DO400" s="66">
        <f t="shared" si="142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403"/>
        <v/>
      </c>
      <c r="CA401" s="373" t="str">
        <f t="shared" si="1404"/>
        <v/>
      </c>
      <c r="CB401" s="373" t="str">
        <f t="shared" si="1405"/>
        <v/>
      </c>
      <c r="CC401" s="462" t="str">
        <f t="shared" si="1406"/>
        <v/>
      </c>
      <c r="CD401" s="1109" t="str">
        <f t="shared" si="1442"/>
        <v/>
      </c>
      <c r="CE401" s="1110" t="str">
        <f t="shared" si="1445"/>
        <v/>
      </c>
      <c r="CF401" s="1111" t="str">
        <f t="shared" si="1445"/>
        <v/>
      </c>
      <c r="CG401" s="1111" t="str">
        <f t="shared" si="1445"/>
        <v/>
      </c>
      <c r="CH401" s="1111" t="str">
        <f t="shared" si="1445"/>
        <v/>
      </c>
      <c r="CI401" s="1111" t="str">
        <f t="shared" si="1445"/>
        <v/>
      </c>
      <c r="CJ401" s="1111" t="str">
        <f t="shared" si="1445"/>
        <v/>
      </c>
      <c r="CK401" s="1112" t="str">
        <f t="shared" si="1445"/>
        <v/>
      </c>
      <c r="CL401" s="1112" t="str">
        <f t="shared" si="1445"/>
        <v/>
      </c>
      <c r="CM401" s="1112" t="str">
        <f t="shared" si="1445"/>
        <v/>
      </c>
      <c r="CN401" s="1111" t="str">
        <f t="shared" si="1445"/>
        <v/>
      </c>
      <c r="CO401" s="1111" t="str">
        <f t="shared" si="1445"/>
        <v/>
      </c>
      <c r="CP401" s="1111" t="str">
        <f t="shared" si="1445"/>
        <v/>
      </c>
      <c r="CQ401" s="1111" t="str">
        <f t="shared" si="1445"/>
        <v/>
      </c>
      <c r="CR401" s="1111" t="str">
        <f t="shared" si="1445"/>
        <v/>
      </c>
      <c r="CS401" s="1110" t="str">
        <f t="shared" si="1445"/>
        <v/>
      </c>
      <c r="CT401" s="1113" t="str">
        <f t="shared" si="1445"/>
        <v/>
      </c>
      <c r="CU401" s="324" t="str">
        <f t="shared" si="1409"/>
        <v/>
      </c>
      <c r="CV401" s="325" t="str">
        <f t="shared" si="1410"/>
        <v/>
      </c>
      <c r="CW401" s="326" t="str">
        <f t="shared" si="1411"/>
        <v/>
      </c>
      <c r="CX401" s="326" t="str">
        <f t="shared" si="1412"/>
        <v/>
      </c>
      <c r="CY401" s="326" t="str">
        <f t="shared" si="1413"/>
        <v/>
      </c>
      <c r="CZ401" s="326" t="str">
        <f t="shared" si="1414"/>
        <v/>
      </c>
      <c r="DA401" s="326" t="str">
        <f t="shared" si="1415"/>
        <v/>
      </c>
      <c r="DB401" s="327" t="str">
        <f t="shared" si="1416"/>
        <v/>
      </c>
      <c r="DC401" s="327" t="str">
        <f t="shared" si="1417"/>
        <v/>
      </c>
      <c r="DD401" s="327" t="str">
        <f t="shared" si="1418"/>
        <v/>
      </c>
      <c r="DE401" s="326" t="str">
        <f t="shared" si="1419"/>
        <v/>
      </c>
      <c r="DF401" s="326" t="str">
        <f t="shared" si="1420"/>
        <v/>
      </c>
      <c r="DG401" s="326" t="str">
        <f t="shared" si="1421"/>
        <v/>
      </c>
      <c r="DH401" s="326" t="str">
        <f t="shared" si="1422"/>
        <v/>
      </c>
      <c r="DI401" s="326" t="str">
        <f t="shared" si="1423"/>
        <v/>
      </c>
      <c r="DJ401" s="325" t="str">
        <f t="shared" si="1424"/>
        <v/>
      </c>
      <c r="DK401" s="324" t="str">
        <f t="shared" si="1425"/>
        <v/>
      </c>
      <c r="DL401" s="428">
        <f t="shared" si="1426"/>
        <v>0</v>
      </c>
      <c r="DM401" s="66">
        <f t="shared" si="1427"/>
        <v>0</v>
      </c>
      <c r="DN401" s="66">
        <f t="shared" si="1428"/>
        <v>0</v>
      </c>
      <c r="DO401" s="66">
        <f t="shared" si="142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458">IF(B400="","",B400*B401)</f>
        <v/>
      </c>
      <c r="C402" s="405" t="str">
        <f t="shared" si="1458"/>
        <v/>
      </c>
      <c r="D402" s="405" t="str">
        <f t="shared" si="1458"/>
        <v/>
      </c>
      <c r="E402" s="405" t="str">
        <f t="shared" si="1458"/>
        <v/>
      </c>
      <c r="F402" s="405" t="str">
        <f t="shared" si="1458"/>
        <v/>
      </c>
      <c r="G402" s="405" t="str">
        <f t="shared" si="1458"/>
        <v/>
      </c>
      <c r="H402" s="405" t="str">
        <f t="shared" si="1458"/>
        <v/>
      </c>
      <c r="I402" s="405" t="str">
        <f t="shared" si="1458"/>
        <v/>
      </c>
      <c r="J402" s="405" t="str">
        <f t="shared" si="1458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459">IF(T400="","",T400*T401)</f>
        <v/>
      </c>
      <c r="U402" s="405" t="str">
        <f t="shared" si="1459"/>
        <v/>
      </c>
      <c r="V402" s="405" t="str">
        <f t="shared" si="1459"/>
        <v/>
      </c>
      <c r="W402" s="405" t="str">
        <f t="shared" si="1459"/>
        <v/>
      </c>
      <c r="X402" s="405" t="str">
        <f t="shared" si="1459"/>
        <v/>
      </c>
      <c r="Y402" s="405" t="str">
        <f t="shared" si="1459"/>
        <v/>
      </c>
      <c r="Z402" s="405" t="str">
        <f t="shared" si="1459"/>
        <v/>
      </c>
      <c r="AA402" s="405" t="str">
        <f t="shared" si="1459"/>
        <v/>
      </c>
      <c r="AB402" s="405" t="str">
        <f t="shared" si="1459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460">IF(AL400="","",AL400*AL401)</f>
        <v/>
      </c>
      <c r="AM402" s="405" t="str">
        <f t="shared" si="1460"/>
        <v/>
      </c>
      <c r="AN402" s="405" t="str">
        <f t="shared" si="1460"/>
        <v/>
      </c>
      <c r="AO402" s="405" t="str">
        <f t="shared" si="1460"/>
        <v/>
      </c>
      <c r="AP402" s="405" t="str">
        <f t="shared" si="1460"/>
        <v/>
      </c>
      <c r="AQ402" s="405" t="str">
        <f t="shared" si="1460"/>
        <v/>
      </c>
      <c r="AR402" s="405" t="str">
        <f t="shared" si="1460"/>
        <v/>
      </c>
      <c r="AS402" s="405" t="str">
        <f t="shared" si="1460"/>
        <v/>
      </c>
      <c r="AT402" s="405" t="str">
        <f t="shared" si="1460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461">IF(BD400="","",BD400*BD401)</f>
        <v/>
      </c>
      <c r="BE402" s="405" t="str">
        <f t="shared" si="1461"/>
        <v/>
      </c>
      <c r="BF402" s="405" t="str">
        <f t="shared" si="1461"/>
        <v/>
      </c>
      <c r="BG402" s="405" t="str">
        <f t="shared" si="1461"/>
        <v/>
      </c>
      <c r="BH402" s="405" t="str">
        <f t="shared" si="1461"/>
        <v/>
      </c>
      <c r="BI402" s="405" t="str">
        <f t="shared" si="1461"/>
        <v/>
      </c>
      <c r="BJ402" s="405" t="str">
        <f t="shared" si="1461"/>
        <v/>
      </c>
      <c r="BK402" s="405" t="str">
        <f t="shared" si="1461"/>
        <v/>
      </c>
      <c r="BL402" s="405" t="str">
        <f t="shared" si="1461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403"/>
        <v/>
      </c>
      <c r="CA402" s="373" t="str">
        <f t="shared" si="1404"/>
        <v/>
      </c>
      <c r="CB402" s="373" t="str">
        <f t="shared" si="1405"/>
        <v/>
      </c>
      <c r="CC402" s="462" t="str">
        <f t="shared" si="1406"/>
        <v/>
      </c>
      <c r="CD402" s="1109" t="str">
        <f t="shared" si="1442"/>
        <v/>
      </c>
      <c r="CE402" s="1110" t="str">
        <f t="shared" si="1445"/>
        <v/>
      </c>
      <c r="CF402" s="1111" t="str">
        <f t="shared" si="1445"/>
        <v/>
      </c>
      <c r="CG402" s="1111" t="str">
        <f t="shared" si="1445"/>
        <v/>
      </c>
      <c r="CH402" s="1111" t="str">
        <f t="shared" si="1445"/>
        <v/>
      </c>
      <c r="CI402" s="1111" t="str">
        <f t="shared" si="1445"/>
        <v/>
      </c>
      <c r="CJ402" s="1111" t="str">
        <f t="shared" si="1445"/>
        <v/>
      </c>
      <c r="CK402" s="1112" t="str">
        <f t="shared" si="1445"/>
        <v/>
      </c>
      <c r="CL402" s="1112" t="str">
        <f t="shared" si="1445"/>
        <v/>
      </c>
      <c r="CM402" s="1112" t="str">
        <f t="shared" si="1445"/>
        <v/>
      </c>
      <c r="CN402" s="1111" t="str">
        <f t="shared" si="1445"/>
        <v/>
      </c>
      <c r="CO402" s="1111" t="str">
        <f t="shared" si="1445"/>
        <v/>
      </c>
      <c r="CP402" s="1111" t="str">
        <f t="shared" si="1445"/>
        <v/>
      </c>
      <c r="CQ402" s="1111" t="str">
        <f t="shared" si="1445"/>
        <v/>
      </c>
      <c r="CR402" s="1111" t="str">
        <f t="shared" si="1445"/>
        <v/>
      </c>
      <c r="CS402" s="1110" t="str">
        <f t="shared" si="1445"/>
        <v/>
      </c>
      <c r="CT402" s="1113" t="str">
        <f t="shared" si="1445"/>
        <v/>
      </c>
      <c r="CU402" s="324" t="str">
        <f t="shared" si="1409"/>
        <v/>
      </c>
      <c r="CV402" s="325" t="str">
        <f t="shared" si="1410"/>
        <v/>
      </c>
      <c r="CW402" s="326" t="str">
        <f t="shared" si="1411"/>
        <v/>
      </c>
      <c r="CX402" s="326" t="str">
        <f t="shared" si="1412"/>
        <v/>
      </c>
      <c r="CY402" s="326" t="str">
        <f t="shared" si="1413"/>
        <v/>
      </c>
      <c r="CZ402" s="326" t="str">
        <f t="shared" si="1414"/>
        <v/>
      </c>
      <c r="DA402" s="326" t="str">
        <f t="shared" si="1415"/>
        <v/>
      </c>
      <c r="DB402" s="327" t="str">
        <f t="shared" si="1416"/>
        <v/>
      </c>
      <c r="DC402" s="327" t="str">
        <f t="shared" si="1417"/>
        <v/>
      </c>
      <c r="DD402" s="327" t="str">
        <f t="shared" si="1418"/>
        <v/>
      </c>
      <c r="DE402" s="326" t="str">
        <f t="shared" si="1419"/>
        <v/>
      </c>
      <c r="DF402" s="326" t="str">
        <f t="shared" si="1420"/>
        <v/>
      </c>
      <c r="DG402" s="326" t="str">
        <f t="shared" si="1421"/>
        <v/>
      </c>
      <c r="DH402" s="326" t="str">
        <f t="shared" si="1422"/>
        <v/>
      </c>
      <c r="DI402" s="326" t="str">
        <f t="shared" si="1423"/>
        <v/>
      </c>
      <c r="DJ402" s="325" t="str">
        <f t="shared" si="1424"/>
        <v/>
      </c>
      <c r="DK402" s="324" t="str">
        <f t="shared" si="1425"/>
        <v/>
      </c>
      <c r="DL402" s="428">
        <f t="shared" si="1426"/>
        <v>0</v>
      </c>
      <c r="DM402" s="66">
        <f t="shared" si="1427"/>
        <v>0</v>
      </c>
      <c r="DN402" s="66">
        <f t="shared" si="1428"/>
        <v>0</v>
      </c>
      <c r="DO402" s="66">
        <f t="shared" si="142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403"/>
        <v/>
      </c>
      <c r="CA403" s="373" t="str">
        <f t="shared" si="1404"/>
        <v/>
      </c>
      <c r="CB403" s="373" t="str">
        <f t="shared" si="1405"/>
        <v/>
      </c>
      <c r="CC403" s="462" t="str">
        <f t="shared" si="1406"/>
        <v/>
      </c>
      <c r="CD403" s="1109" t="str">
        <f t="shared" si="1442"/>
        <v/>
      </c>
      <c r="CE403" s="1110" t="str">
        <f t="shared" si="1445"/>
        <v/>
      </c>
      <c r="CF403" s="1111" t="str">
        <f t="shared" si="1445"/>
        <v/>
      </c>
      <c r="CG403" s="1111" t="str">
        <f t="shared" si="1445"/>
        <v/>
      </c>
      <c r="CH403" s="1111" t="str">
        <f t="shared" si="1445"/>
        <v/>
      </c>
      <c r="CI403" s="1111" t="str">
        <f t="shared" si="1445"/>
        <v/>
      </c>
      <c r="CJ403" s="1111" t="str">
        <f t="shared" si="1445"/>
        <v/>
      </c>
      <c r="CK403" s="1112" t="str">
        <f t="shared" si="1445"/>
        <v/>
      </c>
      <c r="CL403" s="1112" t="str">
        <f t="shared" si="1445"/>
        <v/>
      </c>
      <c r="CM403" s="1112" t="str">
        <f t="shared" si="1445"/>
        <v/>
      </c>
      <c r="CN403" s="1111" t="str">
        <f t="shared" si="1445"/>
        <v/>
      </c>
      <c r="CO403" s="1111" t="str">
        <f t="shared" si="1445"/>
        <v/>
      </c>
      <c r="CP403" s="1111" t="str">
        <f t="shared" si="1445"/>
        <v/>
      </c>
      <c r="CQ403" s="1111" t="str">
        <f t="shared" si="1445"/>
        <v/>
      </c>
      <c r="CR403" s="1111" t="str">
        <f t="shared" si="1445"/>
        <v/>
      </c>
      <c r="CS403" s="1110" t="str">
        <f t="shared" si="1445"/>
        <v/>
      </c>
      <c r="CT403" s="1113" t="str">
        <f t="shared" si="1445"/>
        <v/>
      </c>
      <c r="CU403" s="324" t="str">
        <f t="shared" si="1409"/>
        <v/>
      </c>
      <c r="CV403" s="325" t="str">
        <f t="shared" si="1410"/>
        <v/>
      </c>
      <c r="CW403" s="326" t="str">
        <f t="shared" si="1411"/>
        <v/>
      </c>
      <c r="CX403" s="326" t="str">
        <f t="shared" si="1412"/>
        <v/>
      </c>
      <c r="CY403" s="326" t="str">
        <f t="shared" si="1413"/>
        <v/>
      </c>
      <c r="CZ403" s="326" t="str">
        <f t="shared" si="1414"/>
        <v/>
      </c>
      <c r="DA403" s="326" t="str">
        <f t="shared" si="1415"/>
        <v/>
      </c>
      <c r="DB403" s="327" t="str">
        <f t="shared" si="1416"/>
        <v/>
      </c>
      <c r="DC403" s="327" t="str">
        <f t="shared" si="1417"/>
        <v/>
      </c>
      <c r="DD403" s="327" t="str">
        <f t="shared" si="1418"/>
        <v/>
      </c>
      <c r="DE403" s="326" t="str">
        <f t="shared" si="1419"/>
        <v/>
      </c>
      <c r="DF403" s="326" t="str">
        <f t="shared" si="1420"/>
        <v/>
      </c>
      <c r="DG403" s="326" t="str">
        <f t="shared" si="1421"/>
        <v/>
      </c>
      <c r="DH403" s="326" t="str">
        <f t="shared" si="1422"/>
        <v/>
      </c>
      <c r="DI403" s="326" t="str">
        <f t="shared" si="1423"/>
        <v/>
      </c>
      <c r="DJ403" s="325" t="str">
        <f t="shared" si="1424"/>
        <v/>
      </c>
      <c r="DK403" s="324" t="str">
        <f t="shared" si="1425"/>
        <v/>
      </c>
      <c r="DL403" s="428">
        <f t="shared" si="1426"/>
        <v>0</v>
      </c>
      <c r="DM403" s="66">
        <f t="shared" si="1427"/>
        <v>0</v>
      </c>
      <c r="DN403" s="66">
        <f t="shared" si="1428"/>
        <v>0</v>
      </c>
      <c r="DO403" s="66">
        <f t="shared" si="142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403"/>
        <v/>
      </c>
      <c r="CA404" s="373" t="str">
        <f t="shared" si="1404"/>
        <v/>
      </c>
      <c r="CB404" s="373" t="str">
        <f t="shared" si="1405"/>
        <v/>
      </c>
      <c r="CC404" s="462" t="str">
        <f t="shared" si="1406"/>
        <v/>
      </c>
      <c r="CD404" s="1109" t="str">
        <f t="shared" si="1442"/>
        <v/>
      </c>
      <c r="CE404" s="1110" t="str">
        <f t="shared" si="1445"/>
        <v/>
      </c>
      <c r="CF404" s="1111" t="str">
        <f t="shared" si="1445"/>
        <v/>
      </c>
      <c r="CG404" s="1111" t="str">
        <f t="shared" si="1445"/>
        <v/>
      </c>
      <c r="CH404" s="1111" t="str">
        <f t="shared" si="1445"/>
        <v/>
      </c>
      <c r="CI404" s="1111" t="str">
        <f t="shared" si="1445"/>
        <v/>
      </c>
      <c r="CJ404" s="1111" t="str">
        <f t="shared" si="1445"/>
        <v/>
      </c>
      <c r="CK404" s="1112" t="str">
        <f t="shared" si="1445"/>
        <v/>
      </c>
      <c r="CL404" s="1112" t="str">
        <f t="shared" si="1445"/>
        <v/>
      </c>
      <c r="CM404" s="1112" t="str">
        <f t="shared" si="1445"/>
        <v/>
      </c>
      <c r="CN404" s="1111" t="str">
        <f t="shared" si="1445"/>
        <v/>
      </c>
      <c r="CO404" s="1111" t="str">
        <f t="shared" si="1445"/>
        <v/>
      </c>
      <c r="CP404" s="1111" t="str">
        <f t="shared" si="1445"/>
        <v/>
      </c>
      <c r="CQ404" s="1111" t="str">
        <f t="shared" si="1445"/>
        <v/>
      </c>
      <c r="CR404" s="1111" t="str">
        <f t="shared" si="1445"/>
        <v/>
      </c>
      <c r="CS404" s="1110" t="str">
        <f t="shared" si="1445"/>
        <v/>
      </c>
      <c r="CT404" s="1113" t="str">
        <f t="shared" si="1445"/>
        <v/>
      </c>
      <c r="CU404" s="324" t="str">
        <f t="shared" si="1409"/>
        <v/>
      </c>
      <c r="CV404" s="325" t="str">
        <f t="shared" si="1410"/>
        <v/>
      </c>
      <c r="CW404" s="326" t="str">
        <f t="shared" si="1411"/>
        <v/>
      </c>
      <c r="CX404" s="326" t="str">
        <f t="shared" si="1412"/>
        <v/>
      </c>
      <c r="CY404" s="326" t="str">
        <f t="shared" si="1413"/>
        <v/>
      </c>
      <c r="CZ404" s="326" t="str">
        <f t="shared" si="1414"/>
        <v/>
      </c>
      <c r="DA404" s="326" t="str">
        <f t="shared" si="1415"/>
        <v/>
      </c>
      <c r="DB404" s="327" t="str">
        <f t="shared" si="1416"/>
        <v/>
      </c>
      <c r="DC404" s="327" t="str">
        <f t="shared" si="1417"/>
        <v/>
      </c>
      <c r="DD404" s="327" t="str">
        <f t="shared" si="1418"/>
        <v/>
      </c>
      <c r="DE404" s="326" t="str">
        <f t="shared" si="1419"/>
        <v/>
      </c>
      <c r="DF404" s="326" t="str">
        <f t="shared" si="1420"/>
        <v/>
      </c>
      <c r="DG404" s="326" t="str">
        <f t="shared" si="1421"/>
        <v/>
      </c>
      <c r="DH404" s="326" t="str">
        <f t="shared" si="1422"/>
        <v/>
      </c>
      <c r="DI404" s="326" t="str">
        <f t="shared" si="1423"/>
        <v/>
      </c>
      <c r="DJ404" s="325" t="str">
        <f t="shared" si="1424"/>
        <v/>
      </c>
      <c r="DK404" s="324" t="str">
        <f t="shared" si="1425"/>
        <v/>
      </c>
      <c r="DL404" s="428">
        <f t="shared" si="1426"/>
        <v>0</v>
      </c>
      <c r="DM404" s="66">
        <f t="shared" si="1427"/>
        <v>0</v>
      </c>
      <c r="DN404" s="66">
        <f t="shared" si="1428"/>
        <v>0</v>
      </c>
      <c r="DO404" s="66">
        <f t="shared" si="142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462">IF(B403="","",B403*B404)</f>
        <v/>
      </c>
      <c r="C405" s="405" t="str">
        <f t="shared" si="1462"/>
        <v/>
      </c>
      <c r="D405" s="405" t="str">
        <f t="shared" si="1462"/>
        <v/>
      </c>
      <c r="E405" s="405" t="str">
        <f t="shared" si="1462"/>
        <v/>
      </c>
      <c r="F405" s="405" t="str">
        <f t="shared" si="1462"/>
        <v/>
      </c>
      <c r="G405" s="405" t="str">
        <f t="shared" si="1462"/>
        <v/>
      </c>
      <c r="H405" s="405" t="str">
        <f t="shared" si="1462"/>
        <v/>
      </c>
      <c r="I405" s="405" t="str">
        <f t="shared" si="1462"/>
        <v/>
      </c>
      <c r="J405" s="405" t="str">
        <f t="shared" si="1462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463">IF(T403="","",T403*T404)</f>
        <v/>
      </c>
      <c r="U405" s="405" t="str">
        <f t="shared" si="1463"/>
        <v/>
      </c>
      <c r="V405" s="405" t="str">
        <f t="shared" si="1463"/>
        <v/>
      </c>
      <c r="W405" s="405" t="str">
        <f t="shared" si="1463"/>
        <v/>
      </c>
      <c r="X405" s="405" t="str">
        <f t="shared" si="1463"/>
        <v/>
      </c>
      <c r="Y405" s="405" t="str">
        <f t="shared" si="1463"/>
        <v/>
      </c>
      <c r="Z405" s="405" t="str">
        <f t="shared" si="1463"/>
        <v/>
      </c>
      <c r="AA405" s="405" t="str">
        <f t="shared" si="1463"/>
        <v/>
      </c>
      <c r="AB405" s="405" t="str">
        <f t="shared" si="1463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464">IF(AL403="","",AL403*AL404)</f>
        <v/>
      </c>
      <c r="AM405" s="405" t="str">
        <f t="shared" si="1464"/>
        <v/>
      </c>
      <c r="AN405" s="405" t="str">
        <f t="shared" si="1464"/>
        <v/>
      </c>
      <c r="AO405" s="405" t="str">
        <f t="shared" si="1464"/>
        <v/>
      </c>
      <c r="AP405" s="405" t="str">
        <f t="shared" si="1464"/>
        <v/>
      </c>
      <c r="AQ405" s="405" t="str">
        <f t="shared" si="1464"/>
        <v/>
      </c>
      <c r="AR405" s="405" t="str">
        <f t="shared" si="1464"/>
        <v/>
      </c>
      <c r="AS405" s="405" t="str">
        <f t="shared" si="1464"/>
        <v/>
      </c>
      <c r="AT405" s="405" t="str">
        <f t="shared" si="1464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465">IF(BD403="","",BD403*BD404)</f>
        <v/>
      </c>
      <c r="BE405" s="405" t="str">
        <f t="shared" si="1465"/>
        <v/>
      </c>
      <c r="BF405" s="405" t="str">
        <f t="shared" si="1465"/>
        <v/>
      </c>
      <c r="BG405" s="405" t="str">
        <f t="shared" si="1465"/>
        <v/>
      </c>
      <c r="BH405" s="405" t="str">
        <f t="shared" si="1465"/>
        <v/>
      </c>
      <c r="BI405" s="405" t="str">
        <f t="shared" si="1465"/>
        <v/>
      </c>
      <c r="BJ405" s="405" t="str">
        <f t="shared" si="1465"/>
        <v/>
      </c>
      <c r="BK405" s="405" t="str">
        <f t="shared" si="1465"/>
        <v/>
      </c>
      <c r="BL405" s="405" t="str">
        <f t="shared" si="1465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403"/>
        <v/>
      </c>
      <c r="CA405" s="373" t="str">
        <f t="shared" si="1404"/>
        <v/>
      </c>
      <c r="CB405" s="373" t="str">
        <f t="shared" si="1405"/>
        <v/>
      </c>
      <c r="CC405" s="462" t="str">
        <f t="shared" si="1406"/>
        <v/>
      </c>
      <c r="CD405" s="1109" t="str">
        <f t="shared" si="1442"/>
        <v/>
      </c>
      <c r="CE405" s="1110" t="str">
        <f t="shared" si="1445"/>
        <v/>
      </c>
      <c r="CF405" s="1111" t="str">
        <f t="shared" si="1445"/>
        <v/>
      </c>
      <c r="CG405" s="1111" t="str">
        <f t="shared" si="1445"/>
        <v/>
      </c>
      <c r="CH405" s="1111" t="str">
        <f t="shared" si="1445"/>
        <v/>
      </c>
      <c r="CI405" s="1111" t="str">
        <f t="shared" si="1445"/>
        <v/>
      </c>
      <c r="CJ405" s="1111" t="str">
        <f t="shared" si="1445"/>
        <v/>
      </c>
      <c r="CK405" s="1112" t="str">
        <f t="shared" si="1445"/>
        <v/>
      </c>
      <c r="CL405" s="1112" t="str">
        <f t="shared" si="1445"/>
        <v/>
      </c>
      <c r="CM405" s="1112" t="str">
        <f t="shared" si="1445"/>
        <v/>
      </c>
      <c r="CN405" s="1111" t="str">
        <f t="shared" si="1445"/>
        <v/>
      </c>
      <c r="CO405" s="1111" t="str">
        <f t="shared" si="1445"/>
        <v/>
      </c>
      <c r="CP405" s="1111" t="str">
        <f t="shared" si="1445"/>
        <v/>
      </c>
      <c r="CQ405" s="1111" t="str">
        <f t="shared" si="1445"/>
        <v/>
      </c>
      <c r="CR405" s="1111" t="str">
        <f t="shared" si="1445"/>
        <v/>
      </c>
      <c r="CS405" s="1110" t="str">
        <f t="shared" si="1445"/>
        <v/>
      </c>
      <c r="CT405" s="1113" t="str">
        <f t="shared" si="1445"/>
        <v/>
      </c>
      <c r="CU405" s="324" t="str">
        <f t="shared" si="1409"/>
        <v/>
      </c>
      <c r="CV405" s="325" t="str">
        <f t="shared" si="1410"/>
        <v/>
      </c>
      <c r="CW405" s="326" t="str">
        <f t="shared" si="1411"/>
        <v/>
      </c>
      <c r="CX405" s="326" t="str">
        <f t="shared" si="1412"/>
        <v/>
      </c>
      <c r="CY405" s="326" t="str">
        <f t="shared" si="1413"/>
        <v/>
      </c>
      <c r="CZ405" s="326" t="str">
        <f t="shared" si="1414"/>
        <v/>
      </c>
      <c r="DA405" s="326" t="str">
        <f t="shared" si="1415"/>
        <v/>
      </c>
      <c r="DB405" s="327" t="str">
        <f t="shared" si="1416"/>
        <v/>
      </c>
      <c r="DC405" s="327" t="str">
        <f t="shared" si="1417"/>
        <v/>
      </c>
      <c r="DD405" s="327" t="str">
        <f t="shared" si="1418"/>
        <v/>
      </c>
      <c r="DE405" s="326" t="str">
        <f t="shared" si="1419"/>
        <v/>
      </c>
      <c r="DF405" s="326" t="str">
        <f t="shared" si="1420"/>
        <v/>
      </c>
      <c r="DG405" s="326" t="str">
        <f t="shared" si="1421"/>
        <v/>
      </c>
      <c r="DH405" s="326" t="str">
        <f t="shared" si="1422"/>
        <v/>
      </c>
      <c r="DI405" s="326" t="str">
        <f t="shared" si="1423"/>
        <v/>
      </c>
      <c r="DJ405" s="325" t="str">
        <f t="shared" si="1424"/>
        <v/>
      </c>
      <c r="DK405" s="324" t="str">
        <f t="shared" si="1425"/>
        <v/>
      </c>
      <c r="DL405" s="428">
        <f t="shared" si="1426"/>
        <v>0</v>
      </c>
      <c r="DM405" s="66">
        <f t="shared" si="1427"/>
        <v>0</v>
      </c>
      <c r="DN405" s="66">
        <f t="shared" si="1428"/>
        <v>0</v>
      </c>
      <c r="DO405" s="66">
        <f t="shared" si="142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403"/>
        <v/>
      </c>
      <c r="CA406" s="373" t="str">
        <f t="shared" si="1404"/>
        <v/>
      </c>
      <c r="CB406" s="373" t="str">
        <f t="shared" si="1405"/>
        <v/>
      </c>
      <c r="CC406" s="462" t="str">
        <f t="shared" si="1406"/>
        <v/>
      </c>
      <c r="CD406" s="1109" t="str">
        <f t="shared" si="1442"/>
        <v/>
      </c>
      <c r="CE406" s="1110" t="str">
        <f t="shared" si="1445"/>
        <v/>
      </c>
      <c r="CF406" s="1111" t="str">
        <f t="shared" si="1445"/>
        <v/>
      </c>
      <c r="CG406" s="1111" t="str">
        <f t="shared" si="1445"/>
        <v/>
      </c>
      <c r="CH406" s="1111" t="str">
        <f t="shared" si="1445"/>
        <v/>
      </c>
      <c r="CI406" s="1111" t="str">
        <f t="shared" si="1445"/>
        <v/>
      </c>
      <c r="CJ406" s="1111" t="str">
        <f t="shared" si="1445"/>
        <v/>
      </c>
      <c r="CK406" s="1112" t="str">
        <f t="shared" si="1445"/>
        <v/>
      </c>
      <c r="CL406" s="1112" t="str">
        <f t="shared" si="1445"/>
        <v/>
      </c>
      <c r="CM406" s="1112" t="str">
        <f t="shared" si="1445"/>
        <v/>
      </c>
      <c r="CN406" s="1111" t="str">
        <f t="shared" si="1445"/>
        <v/>
      </c>
      <c r="CO406" s="1111" t="str">
        <f t="shared" si="1445"/>
        <v/>
      </c>
      <c r="CP406" s="1111" t="str">
        <f t="shared" si="1445"/>
        <v/>
      </c>
      <c r="CQ406" s="1111" t="str">
        <f t="shared" si="1445"/>
        <v/>
      </c>
      <c r="CR406" s="1111" t="str">
        <f t="shared" si="1445"/>
        <v/>
      </c>
      <c r="CS406" s="1110" t="str">
        <f t="shared" si="1445"/>
        <v/>
      </c>
      <c r="CT406" s="1113" t="str">
        <f t="shared" si="1445"/>
        <v/>
      </c>
      <c r="CU406" s="324" t="str">
        <f t="shared" si="1409"/>
        <v/>
      </c>
      <c r="CV406" s="325" t="str">
        <f t="shared" si="1410"/>
        <v/>
      </c>
      <c r="CW406" s="326" t="str">
        <f t="shared" si="1411"/>
        <v/>
      </c>
      <c r="CX406" s="326" t="str">
        <f t="shared" si="1412"/>
        <v/>
      </c>
      <c r="CY406" s="326" t="str">
        <f t="shared" si="1413"/>
        <v/>
      </c>
      <c r="CZ406" s="326" t="str">
        <f t="shared" si="1414"/>
        <v/>
      </c>
      <c r="DA406" s="326" t="str">
        <f t="shared" si="1415"/>
        <v/>
      </c>
      <c r="DB406" s="327" t="str">
        <f t="shared" si="1416"/>
        <v/>
      </c>
      <c r="DC406" s="327" t="str">
        <f t="shared" si="1417"/>
        <v/>
      </c>
      <c r="DD406" s="327" t="str">
        <f t="shared" si="1418"/>
        <v/>
      </c>
      <c r="DE406" s="326" t="str">
        <f t="shared" si="1419"/>
        <v/>
      </c>
      <c r="DF406" s="326" t="str">
        <f t="shared" si="1420"/>
        <v/>
      </c>
      <c r="DG406" s="326" t="str">
        <f t="shared" si="1421"/>
        <v/>
      </c>
      <c r="DH406" s="326" t="str">
        <f t="shared" si="1422"/>
        <v/>
      </c>
      <c r="DI406" s="326" t="str">
        <f t="shared" si="1423"/>
        <v/>
      </c>
      <c r="DJ406" s="325" t="str">
        <f t="shared" si="1424"/>
        <v/>
      </c>
      <c r="DK406" s="324" t="str">
        <f t="shared" si="1425"/>
        <v/>
      </c>
      <c r="DL406" s="428">
        <f t="shared" si="1426"/>
        <v>0</v>
      </c>
      <c r="DM406" s="66">
        <f t="shared" si="1427"/>
        <v>0</v>
      </c>
      <c r="DN406" s="66">
        <f t="shared" si="1428"/>
        <v>0</v>
      </c>
      <c r="DO406" s="66">
        <f t="shared" si="142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403"/>
        <v/>
      </c>
      <c r="CA407" s="373" t="str">
        <f t="shared" si="1404"/>
        <v/>
      </c>
      <c r="CB407" s="373" t="str">
        <f t="shared" si="1405"/>
        <v/>
      </c>
      <c r="CC407" s="462" t="str">
        <f t="shared" si="1406"/>
        <v/>
      </c>
      <c r="CD407" s="1109" t="str">
        <f t="shared" si="1442"/>
        <v/>
      </c>
      <c r="CE407" s="1110" t="str">
        <f t="shared" si="1445"/>
        <v/>
      </c>
      <c r="CF407" s="1111" t="str">
        <f t="shared" si="1445"/>
        <v/>
      </c>
      <c r="CG407" s="1111" t="str">
        <f t="shared" si="1445"/>
        <v/>
      </c>
      <c r="CH407" s="1111" t="str">
        <f t="shared" si="1445"/>
        <v/>
      </c>
      <c r="CI407" s="1111" t="str">
        <f t="shared" si="1445"/>
        <v/>
      </c>
      <c r="CJ407" s="1111" t="str">
        <f t="shared" si="1445"/>
        <v/>
      </c>
      <c r="CK407" s="1112" t="str">
        <f t="shared" si="1445"/>
        <v/>
      </c>
      <c r="CL407" s="1112" t="str">
        <f t="shared" si="1445"/>
        <v/>
      </c>
      <c r="CM407" s="1112" t="str">
        <f t="shared" si="1445"/>
        <v/>
      </c>
      <c r="CN407" s="1111" t="str">
        <f t="shared" si="1445"/>
        <v/>
      </c>
      <c r="CO407" s="1111" t="str">
        <f t="shared" si="1445"/>
        <v/>
      </c>
      <c r="CP407" s="1111" t="str">
        <f t="shared" si="1445"/>
        <v/>
      </c>
      <c r="CQ407" s="1111" t="str">
        <f t="shared" si="1445"/>
        <v/>
      </c>
      <c r="CR407" s="1111" t="str">
        <f t="shared" si="1445"/>
        <v/>
      </c>
      <c r="CS407" s="1110" t="str">
        <f t="shared" ref="CE407:CT417" si="14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3" t="str">
        <f t="shared" si="1466"/>
        <v/>
      </c>
      <c r="CU407" s="324" t="str">
        <f t="shared" si="1409"/>
        <v/>
      </c>
      <c r="CV407" s="325" t="str">
        <f t="shared" si="1410"/>
        <v/>
      </c>
      <c r="CW407" s="326" t="str">
        <f t="shared" si="1411"/>
        <v/>
      </c>
      <c r="CX407" s="326" t="str">
        <f t="shared" si="1412"/>
        <v/>
      </c>
      <c r="CY407" s="326" t="str">
        <f t="shared" si="1413"/>
        <v/>
      </c>
      <c r="CZ407" s="326" t="str">
        <f t="shared" si="1414"/>
        <v/>
      </c>
      <c r="DA407" s="326" t="str">
        <f t="shared" si="1415"/>
        <v/>
      </c>
      <c r="DB407" s="327" t="str">
        <f t="shared" si="1416"/>
        <v/>
      </c>
      <c r="DC407" s="327" t="str">
        <f t="shared" si="1417"/>
        <v/>
      </c>
      <c r="DD407" s="327" t="str">
        <f t="shared" si="1418"/>
        <v/>
      </c>
      <c r="DE407" s="326" t="str">
        <f t="shared" si="1419"/>
        <v/>
      </c>
      <c r="DF407" s="326" t="str">
        <f t="shared" si="1420"/>
        <v/>
      </c>
      <c r="DG407" s="326" t="str">
        <f t="shared" si="1421"/>
        <v/>
      </c>
      <c r="DH407" s="326" t="str">
        <f t="shared" si="1422"/>
        <v/>
      </c>
      <c r="DI407" s="326" t="str">
        <f t="shared" si="1423"/>
        <v/>
      </c>
      <c r="DJ407" s="325" t="str">
        <f t="shared" si="1424"/>
        <v/>
      </c>
      <c r="DK407" s="324" t="str">
        <f t="shared" si="1425"/>
        <v/>
      </c>
      <c r="DL407" s="428">
        <f t="shared" si="1426"/>
        <v>0</v>
      </c>
      <c r="DM407" s="66">
        <f t="shared" si="1427"/>
        <v>0</v>
      </c>
      <c r="DN407" s="66">
        <f t="shared" si="1428"/>
        <v>0</v>
      </c>
      <c r="DO407" s="66">
        <f t="shared" si="142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467">IF(B406="","",B406*B407)</f>
        <v/>
      </c>
      <c r="C408" s="405" t="str">
        <f t="shared" si="1467"/>
        <v/>
      </c>
      <c r="D408" s="405" t="str">
        <f t="shared" si="1467"/>
        <v/>
      </c>
      <c r="E408" s="405" t="str">
        <f t="shared" si="1467"/>
        <v/>
      </c>
      <c r="F408" s="405" t="str">
        <f t="shared" si="1467"/>
        <v/>
      </c>
      <c r="G408" s="405" t="str">
        <f t="shared" si="1467"/>
        <v/>
      </c>
      <c r="H408" s="405" t="str">
        <f t="shared" si="1467"/>
        <v/>
      </c>
      <c r="I408" s="405" t="str">
        <f t="shared" si="1467"/>
        <v/>
      </c>
      <c r="J408" s="405" t="str">
        <f t="shared" si="1467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468">IF(T406="","",T406*T407)</f>
        <v/>
      </c>
      <c r="U408" s="405" t="str">
        <f t="shared" si="1468"/>
        <v/>
      </c>
      <c r="V408" s="405" t="str">
        <f t="shared" si="1468"/>
        <v/>
      </c>
      <c r="W408" s="405" t="str">
        <f t="shared" si="1468"/>
        <v/>
      </c>
      <c r="X408" s="405" t="str">
        <f t="shared" si="1468"/>
        <v/>
      </c>
      <c r="Y408" s="405" t="str">
        <f t="shared" si="1468"/>
        <v/>
      </c>
      <c r="Z408" s="405" t="str">
        <f t="shared" si="1468"/>
        <v/>
      </c>
      <c r="AA408" s="405" t="str">
        <f t="shared" si="1468"/>
        <v/>
      </c>
      <c r="AB408" s="405" t="str">
        <f t="shared" si="1468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469">IF(AL406="","",AL406*AL407)</f>
        <v/>
      </c>
      <c r="AM408" s="405" t="str">
        <f t="shared" si="1469"/>
        <v/>
      </c>
      <c r="AN408" s="405" t="str">
        <f t="shared" si="1469"/>
        <v/>
      </c>
      <c r="AO408" s="405" t="str">
        <f t="shared" si="1469"/>
        <v/>
      </c>
      <c r="AP408" s="405" t="str">
        <f t="shared" si="1469"/>
        <v/>
      </c>
      <c r="AQ408" s="405" t="str">
        <f t="shared" si="1469"/>
        <v/>
      </c>
      <c r="AR408" s="405" t="str">
        <f t="shared" si="1469"/>
        <v/>
      </c>
      <c r="AS408" s="405" t="str">
        <f t="shared" si="1469"/>
        <v/>
      </c>
      <c r="AT408" s="405" t="str">
        <f t="shared" si="1469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470">IF(BD406="","",BD406*BD407)</f>
        <v/>
      </c>
      <c r="BE408" s="405" t="str">
        <f t="shared" si="1470"/>
        <v/>
      </c>
      <c r="BF408" s="405" t="str">
        <f t="shared" si="1470"/>
        <v/>
      </c>
      <c r="BG408" s="405" t="str">
        <f t="shared" si="1470"/>
        <v/>
      </c>
      <c r="BH408" s="405" t="str">
        <f t="shared" si="1470"/>
        <v/>
      </c>
      <c r="BI408" s="405" t="str">
        <f t="shared" si="1470"/>
        <v/>
      </c>
      <c r="BJ408" s="405" t="str">
        <f t="shared" si="1470"/>
        <v/>
      </c>
      <c r="BK408" s="405" t="str">
        <f t="shared" si="1470"/>
        <v/>
      </c>
      <c r="BL408" s="405" t="str">
        <f t="shared" si="1470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403"/>
        <v/>
      </c>
      <c r="CA408" s="373" t="str">
        <f t="shared" si="1404"/>
        <v/>
      </c>
      <c r="CB408" s="373" t="str">
        <f t="shared" si="1405"/>
        <v/>
      </c>
      <c r="CC408" s="462" t="str">
        <f t="shared" si="1406"/>
        <v/>
      </c>
      <c r="CD408" s="1109" t="str">
        <f t="shared" si="1442"/>
        <v/>
      </c>
      <c r="CE408" s="1110" t="str">
        <f t="shared" si="1466"/>
        <v/>
      </c>
      <c r="CF408" s="1111" t="str">
        <f t="shared" si="1466"/>
        <v/>
      </c>
      <c r="CG408" s="1111" t="str">
        <f t="shared" si="1466"/>
        <v/>
      </c>
      <c r="CH408" s="1111" t="str">
        <f t="shared" si="1466"/>
        <v/>
      </c>
      <c r="CI408" s="1111" t="str">
        <f t="shared" si="1466"/>
        <v/>
      </c>
      <c r="CJ408" s="1111" t="str">
        <f t="shared" si="1466"/>
        <v/>
      </c>
      <c r="CK408" s="1112" t="str">
        <f t="shared" si="1466"/>
        <v/>
      </c>
      <c r="CL408" s="1112" t="str">
        <f t="shared" si="1466"/>
        <v/>
      </c>
      <c r="CM408" s="1112" t="str">
        <f t="shared" si="1466"/>
        <v/>
      </c>
      <c r="CN408" s="1111" t="str">
        <f t="shared" si="1466"/>
        <v/>
      </c>
      <c r="CO408" s="1111" t="str">
        <f t="shared" si="1466"/>
        <v/>
      </c>
      <c r="CP408" s="1111" t="str">
        <f t="shared" si="1466"/>
        <v/>
      </c>
      <c r="CQ408" s="1111" t="str">
        <f t="shared" si="1466"/>
        <v/>
      </c>
      <c r="CR408" s="1111" t="str">
        <f t="shared" si="1466"/>
        <v/>
      </c>
      <c r="CS408" s="1110" t="str">
        <f t="shared" si="1466"/>
        <v/>
      </c>
      <c r="CT408" s="1113" t="str">
        <f t="shared" si="1466"/>
        <v/>
      </c>
      <c r="CU408" s="324" t="str">
        <f t="shared" si="1409"/>
        <v/>
      </c>
      <c r="CV408" s="325" t="str">
        <f t="shared" si="1410"/>
        <v/>
      </c>
      <c r="CW408" s="326" t="str">
        <f t="shared" si="1411"/>
        <v/>
      </c>
      <c r="CX408" s="326" t="str">
        <f t="shared" si="1412"/>
        <v/>
      </c>
      <c r="CY408" s="326" t="str">
        <f t="shared" si="1413"/>
        <v/>
      </c>
      <c r="CZ408" s="326" t="str">
        <f t="shared" si="1414"/>
        <v/>
      </c>
      <c r="DA408" s="326" t="str">
        <f t="shared" si="1415"/>
        <v/>
      </c>
      <c r="DB408" s="327" t="str">
        <f t="shared" si="1416"/>
        <v/>
      </c>
      <c r="DC408" s="327" t="str">
        <f t="shared" si="1417"/>
        <v/>
      </c>
      <c r="DD408" s="327" t="str">
        <f t="shared" si="1418"/>
        <v/>
      </c>
      <c r="DE408" s="326" t="str">
        <f t="shared" si="1419"/>
        <v/>
      </c>
      <c r="DF408" s="326" t="str">
        <f t="shared" si="1420"/>
        <v/>
      </c>
      <c r="DG408" s="326" t="str">
        <f t="shared" si="1421"/>
        <v/>
      </c>
      <c r="DH408" s="326" t="str">
        <f t="shared" si="1422"/>
        <v/>
      </c>
      <c r="DI408" s="326" t="str">
        <f t="shared" si="1423"/>
        <v/>
      </c>
      <c r="DJ408" s="325" t="str">
        <f t="shared" si="1424"/>
        <v/>
      </c>
      <c r="DK408" s="324" t="str">
        <f t="shared" si="1425"/>
        <v/>
      </c>
      <c r="DL408" s="428">
        <f t="shared" si="1426"/>
        <v>0</v>
      </c>
      <c r="DM408" s="66">
        <f t="shared" si="1427"/>
        <v>0</v>
      </c>
      <c r="DN408" s="66">
        <f t="shared" si="1428"/>
        <v>0</v>
      </c>
      <c r="DO408" s="66">
        <f t="shared" si="142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403"/>
        <v/>
      </c>
      <c r="CA409" s="373" t="str">
        <f t="shared" si="1404"/>
        <v/>
      </c>
      <c r="CB409" s="373" t="str">
        <f t="shared" si="1405"/>
        <v/>
      </c>
      <c r="CC409" s="462" t="str">
        <f t="shared" si="1406"/>
        <v/>
      </c>
      <c r="CD409" s="1109" t="str">
        <f t="shared" si="1442"/>
        <v/>
      </c>
      <c r="CE409" s="1110" t="str">
        <f t="shared" si="1466"/>
        <v/>
      </c>
      <c r="CF409" s="1111" t="str">
        <f t="shared" si="1466"/>
        <v/>
      </c>
      <c r="CG409" s="1111" t="str">
        <f t="shared" si="1466"/>
        <v/>
      </c>
      <c r="CH409" s="1111" t="str">
        <f t="shared" si="1466"/>
        <v/>
      </c>
      <c r="CI409" s="1111" t="str">
        <f t="shared" si="1466"/>
        <v/>
      </c>
      <c r="CJ409" s="1111" t="str">
        <f t="shared" si="1466"/>
        <v/>
      </c>
      <c r="CK409" s="1112" t="str">
        <f t="shared" si="1466"/>
        <v/>
      </c>
      <c r="CL409" s="1112" t="str">
        <f t="shared" si="1466"/>
        <v/>
      </c>
      <c r="CM409" s="1112" t="str">
        <f t="shared" si="1466"/>
        <v/>
      </c>
      <c r="CN409" s="1111" t="str">
        <f t="shared" si="1466"/>
        <v/>
      </c>
      <c r="CO409" s="1111" t="str">
        <f t="shared" si="1466"/>
        <v/>
      </c>
      <c r="CP409" s="1111" t="str">
        <f t="shared" si="1466"/>
        <v/>
      </c>
      <c r="CQ409" s="1111" t="str">
        <f t="shared" si="1466"/>
        <v/>
      </c>
      <c r="CR409" s="1111" t="str">
        <f t="shared" si="1466"/>
        <v/>
      </c>
      <c r="CS409" s="1110" t="str">
        <f t="shared" si="1466"/>
        <v/>
      </c>
      <c r="CT409" s="1113" t="str">
        <f t="shared" si="1466"/>
        <v/>
      </c>
      <c r="CU409" s="324" t="str">
        <f t="shared" si="1409"/>
        <v/>
      </c>
      <c r="CV409" s="325" t="str">
        <f t="shared" si="1410"/>
        <v/>
      </c>
      <c r="CW409" s="326" t="str">
        <f t="shared" si="1411"/>
        <v/>
      </c>
      <c r="CX409" s="326" t="str">
        <f t="shared" si="1412"/>
        <v/>
      </c>
      <c r="CY409" s="326" t="str">
        <f t="shared" si="1413"/>
        <v/>
      </c>
      <c r="CZ409" s="326" t="str">
        <f t="shared" si="1414"/>
        <v/>
      </c>
      <c r="DA409" s="326" t="str">
        <f t="shared" si="1415"/>
        <v/>
      </c>
      <c r="DB409" s="327" t="str">
        <f t="shared" si="1416"/>
        <v/>
      </c>
      <c r="DC409" s="327" t="str">
        <f t="shared" si="1417"/>
        <v/>
      </c>
      <c r="DD409" s="327" t="str">
        <f t="shared" si="1418"/>
        <v/>
      </c>
      <c r="DE409" s="326" t="str">
        <f t="shared" si="1419"/>
        <v/>
      </c>
      <c r="DF409" s="326" t="str">
        <f t="shared" si="1420"/>
        <v/>
      </c>
      <c r="DG409" s="326" t="str">
        <f t="shared" si="1421"/>
        <v/>
      </c>
      <c r="DH409" s="326" t="str">
        <f t="shared" si="1422"/>
        <v/>
      </c>
      <c r="DI409" s="326" t="str">
        <f t="shared" si="1423"/>
        <v/>
      </c>
      <c r="DJ409" s="325" t="str">
        <f t="shared" si="1424"/>
        <v/>
      </c>
      <c r="DK409" s="324" t="str">
        <f t="shared" si="1425"/>
        <v/>
      </c>
      <c r="DL409" s="428">
        <f t="shared" si="1426"/>
        <v>0</v>
      </c>
      <c r="DM409" s="66">
        <f t="shared" si="1427"/>
        <v>0</v>
      </c>
      <c r="DN409" s="66">
        <f t="shared" si="1428"/>
        <v>0</v>
      </c>
      <c r="DO409" s="66">
        <f t="shared" si="142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403"/>
        <v/>
      </c>
      <c r="CA410" s="373" t="str">
        <f t="shared" si="1404"/>
        <v/>
      </c>
      <c r="CB410" s="373" t="str">
        <f t="shared" si="1405"/>
        <v/>
      </c>
      <c r="CC410" s="462" t="str">
        <f t="shared" si="1406"/>
        <v/>
      </c>
      <c r="CD410" s="1109" t="str">
        <f t="shared" si="1442"/>
        <v/>
      </c>
      <c r="CE410" s="1110" t="str">
        <f t="shared" si="1466"/>
        <v/>
      </c>
      <c r="CF410" s="1111" t="str">
        <f t="shared" si="1466"/>
        <v/>
      </c>
      <c r="CG410" s="1111" t="str">
        <f t="shared" si="1466"/>
        <v/>
      </c>
      <c r="CH410" s="1111" t="str">
        <f t="shared" si="1466"/>
        <v/>
      </c>
      <c r="CI410" s="1111" t="str">
        <f t="shared" si="1466"/>
        <v/>
      </c>
      <c r="CJ410" s="1111" t="str">
        <f t="shared" si="1466"/>
        <v/>
      </c>
      <c r="CK410" s="1112" t="str">
        <f t="shared" si="1466"/>
        <v/>
      </c>
      <c r="CL410" s="1112" t="str">
        <f t="shared" si="1466"/>
        <v/>
      </c>
      <c r="CM410" s="1112" t="str">
        <f t="shared" si="1466"/>
        <v/>
      </c>
      <c r="CN410" s="1111" t="str">
        <f t="shared" si="1466"/>
        <v/>
      </c>
      <c r="CO410" s="1111" t="str">
        <f t="shared" si="1466"/>
        <v/>
      </c>
      <c r="CP410" s="1111" t="str">
        <f t="shared" si="1466"/>
        <v/>
      </c>
      <c r="CQ410" s="1111" t="str">
        <f t="shared" si="1466"/>
        <v/>
      </c>
      <c r="CR410" s="1111" t="str">
        <f t="shared" si="1466"/>
        <v/>
      </c>
      <c r="CS410" s="1110" t="str">
        <f t="shared" si="1466"/>
        <v/>
      </c>
      <c r="CT410" s="1113" t="str">
        <f t="shared" si="1466"/>
        <v/>
      </c>
      <c r="CU410" s="324" t="str">
        <f t="shared" si="1409"/>
        <v/>
      </c>
      <c r="CV410" s="325" t="str">
        <f t="shared" si="1410"/>
        <v/>
      </c>
      <c r="CW410" s="326" t="str">
        <f t="shared" si="1411"/>
        <v/>
      </c>
      <c r="CX410" s="326" t="str">
        <f t="shared" si="1412"/>
        <v/>
      </c>
      <c r="CY410" s="326" t="str">
        <f t="shared" si="1413"/>
        <v/>
      </c>
      <c r="CZ410" s="326" t="str">
        <f t="shared" si="1414"/>
        <v/>
      </c>
      <c r="DA410" s="326" t="str">
        <f t="shared" si="1415"/>
        <v/>
      </c>
      <c r="DB410" s="327" t="str">
        <f t="shared" si="1416"/>
        <v/>
      </c>
      <c r="DC410" s="327" t="str">
        <f t="shared" si="1417"/>
        <v/>
      </c>
      <c r="DD410" s="327" t="str">
        <f t="shared" si="1418"/>
        <v/>
      </c>
      <c r="DE410" s="326" t="str">
        <f t="shared" si="1419"/>
        <v/>
      </c>
      <c r="DF410" s="326" t="str">
        <f t="shared" si="1420"/>
        <v/>
      </c>
      <c r="DG410" s="326" t="str">
        <f t="shared" si="1421"/>
        <v/>
      </c>
      <c r="DH410" s="326" t="str">
        <f t="shared" si="1422"/>
        <v/>
      </c>
      <c r="DI410" s="326" t="str">
        <f t="shared" si="1423"/>
        <v/>
      </c>
      <c r="DJ410" s="325" t="str">
        <f t="shared" si="1424"/>
        <v/>
      </c>
      <c r="DK410" s="324" t="str">
        <f t="shared" si="1425"/>
        <v/>
      </c>
      <c r="DL410" s="428">
        <f t="shared" si="1426"/>
        <v>0</v>
      </c>
      <c r="DM410" s="66">
        <f t="shared" si="1427"/>
        <v>0</v>
      </c>
      <c r="DN410" s="66">
        <f t="shared" si="1428"/>
        <v>0</v>
      </c>
      <c r="DO410" s="66">
        <f t="shared" si="142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471">IF(B409="","",B409*B410)</f>
        <v/>
      </c>
      <c r="C411" s="405" t="str">
        <f t="shared" si="1471"/>
        <v/>
      </c>
      <c r="D411" s="405" t="str">
        <f t="shared" si="1471"/>
        <v/>
      </c>
      <c r="E411" s="405" t="str">
        <f t="shared" si="1471"/>
        <v/>
      </c>
      <c r="F411" s="405" t="str">
        <f t="shared" si="1471"/>
        <v/>
      </c>
      <c r="G411" s="405" t="str">
        <f t="shared" si="1471"/>
        <v/>
      </c>
      <c r="H411" s="405" t="str">
        <f t="shared" si="1471"/>
        <v/>
      </c>
      <c r="I411" s="405" t="str">
        <f t="shared" si="1471"/>
        <v/>
      </c>
      <c r="J411" s="405" t="str">
        <f t="shared" si="1471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472">IF(T409="","",T409*T410)</f>
        <v/>
      </c>
      <c r="U411" s="405" t="str">
        <f t="shared" si="1472"/>
        <v/>
      </c>
      <c r="V411" s="405" t="str">
        <f t="shared" si="1472"/>
        <v/>
      </c>
      <c r="W411" s="405" t="str">
        <f t="shared" si="1472"/>
        <v/>
      </c>
      <c r="X411" s="405" t="str">
        <f t="shared" si="1472"/>
        <v/>
      </c>
      <c r="Y411" s="405" t="str">
        <f t="shared" si="1472"/>
        <v/>
      </c>
      <c r="Z411" s="405" t="str">
        <f t="shared" si="1472"/>
        <v/>
      </c>
      <c r="AA411" s="405" t="str">
        <f t="shared" si="1472"/>
        <v/>
      </c>
      <c r="AB411" s="405" t="str">
        <f t="shared" si="1472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473">IF(AL409="","",AL409*AL410)</f>
        <v/>
      </c>
      <c r="AM411" s="405" t="str">
        <f t="shared" si="1473"/>
        <v/>
      </c>
      <c r="AN411" s="405" t="str">
        <f t="shared" si="1473"/>
        <v/>
      </c>
      <c r="AO411" s="405" t="str">
        <f t="shared" si="1473"/>
        <v/>
      </c>
      <c r="AP411" s="405" t="str">
        <f t="shared" si="1473"/>
        <v/>
      </c>
      <c r="AQ411" s="405" t="str">
        <f t="shared" si="1473"/>
        <v/>
      </c>
      <c r="AR411" s="405" t="str">
        <f t="shared" si="1473"/>
        <v/>
      </c>
      <c r="AS411" s="405" t="str">
        <f t="shared" si="1473"/>
        <v/>
      </c>
      <c r="AT411" s="405" t="str">
        <f t="shared" si="1473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474">IF(BD409="","",BD409*BD410)</f>
        <v/>
      </c>
      <c r="BE411" s="405" t="str">
        <f t="shared" si="1474"/>
        <v/>
      </c>
      <c r="BF411" s="405" t="str">
        <f t="shared" si="1474"/>
        <v/>
      </c>
      <c r="BG411" s="405" t="str">
        <f t="shared" si="1474"/>
        <v/>
      </c>
      <c r="BH411" s="405" t="str">
        <f t="shared" si="1474"/>
        <v/>
      </c>
      <c r="BI411" s="405" t="str">
        <f t="shared" si="1474"/>
        <v/>
      </c>
      <c r="BJ411" s="405" t="str">
        <f t="shared" si="1474"/>
        <v/>
      </c>
      <c r="BK411" s="405" t="str">
        <f t="shared" si="1474"/>
        <v/>
      </c>
      <c r="BL411" s="405" t="str">
        <f t="shared" si="1474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403"/>
        <v/>
      </c>
      <c r="CA411" s="373" t="str">
        <f t="shared" si="1404"/>
        <v/>
      </c>
      <c r="CB411" s="373" t="str">
        <f t="shared" si="1405"/>
        <v/>
      </c>
      <c r="CC411" s="462" t="str">
        <f t="shared" si="1406"/>
        <v/>
      </c>
      <c r="CD411" s="1109" t="str">
        <f t="shared" si="1442"/>
        <v/>
      </c>
      <c r="CE411" s="1110" t="str">
        <f t="shared" si="1466"/>
        <v/>
      </c>
      <c r="CF411" s="1111" t="str">
        <f t="shared" si="1466"/>
        <v/>
      </c>
      <c r="CG411" s="1111" t="str">
        <f t="shared" si="1466"/>
        <v/>
      </c>
      <c r="CH411" s="1111" t="str">
        <f t="shared" si="1466"/>
        <v/>
      </c>
      <c r="CI411" s="1111" t="str">
        <f t="shared" si="1466"/>
        <v/>
      </c>
      <c r="CJ411" s="1111" t="str">
        <f t="shared" si="1466"/>
        <v/>
      </c>
      <c r="CK411" s="1112" t="str">
        <f t="shared" si="1466"/>
        <v/>
      </c>
      <c r="CL411" s="1112" t="str">
        <f t="shared" si="1466"/>
        <v/>
      </c>
      <c r="CM411" s="1112" t="str">
        <f t="shared" si="1466"/>
        <v/>
      </c>
      <c r="CN411" s="1111" t="str">
        <f t="shared" si="1466"/>
        <v/>
      </c>
      <c r="CO411" s="1111" t="str">
        <f t="shared" si="1466"/>
        <v/>
      </c>
      <c r="CP411" s="1111" t="str">
        <f t="shared" si="1466"/>
        <v/>
      </c>
      <c r="CQ411" s="1111" t="str">
        <f t="shared" si="1466"/>
        <v/>
      </c>
      <c r="CR411" s="1111" t="str">
        <f t="shared" si="1466"/>
        <v/>
      </c>
      <c r="CS411" s="1110" t="str">
        <f t="shared" si="1466"/>
        <v/>
      </c>
      <c r="CT411" s="1113" t="str">
        <f t="shared" si="1466"/>
        <v/>
      </c>
      <c r="CU411" s="324" t="str">
        <f t="shared" si="1409"/>
        <v/>
      </c>
      <c r="CV411" s="325" t="str">
        <f t="shared" si="1410"/>
        <v/>
      </c>
      <c r="CW411" s="326" t="str">
        <f t="shared" si="1411"/>
        <v/>
      </c>
      <c r="CX411" s="326" t="str">
        <f t="shared" si="1412"/>
        <v/>
      </c>
      <c r="CY411" s="326" t="str">
        <f t="shared" si="1413"/>
        <v/>
      </c>
      <c r="CZ411" s="326" t="str">
        <f t="shared" si="1414"/>
        <v/>
      </c>
      <c r="DA411" s="326" t="str">
        <f t="shared" si="1415"/>
        <v/>
      </c>
      <c r="DB411" s="327" t="str">
        <f t="shared" si="1416"/>
        <v/>
      </c>
      <c r="DC411" s="327" t="str">
        <f t="shared" si="1417"/>
        <v/>
      </c>
      <c r="DD411" s="327" t="str">
        <f t="shared" si="1418"/>
        <v/>
      </c>
      <c r="DE411" s="326" t="str">
        <f t="shared" si="1419"/>
        <v/>
      </c>
      <c r="DF411" s="326" t="str">
        <f t="shared" si="1420"/>
        <v/>
      </c>
      <c r="DG411" s="326" t="str">
        <f t="shared" si="1421"/>
        <v/>
      </c>
      <c r="DH411" s="326" t="str">
        <f t="shared" si="1422"/>
        <v/>
      </c>
      <c r="DI411" s="326" t="str">
        <f t="shared" si="1423"/>
        <v/>
      </c>
      <c r="DJ411" s="325" t="str">
        <f t="shared" si="1424"/>
        <v/>
      </c>
      <c r="DK411" s="324" t="str">
        <f t="shared" si="1425"/>
        <v/>
      </c>
      <c r="DL411" s="428">
        <f t="shared" si="1426"/>
        <v>0</v>
      </c>
      <c r="DM411" s="66">
        <f t="shared" si="1427"/>
        <v>0</v>
      </c>
      <c r="DN411" s="66">
        <f t="shared" si="1428"/>
        <v>0</v>
      </c>
      <c r="DO411" s="66">
        <f t="shared" si="142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403"/>
        <v/>
      </c>
      <c r="CA412" s="373" t="str">
        <f t="shared" si="1404"/>
        <v/>
      </c>
      <c r="CB412" s="373" t="str">
        <f t="shared" si="1405"/>
        <v/>
      </c>
      <c r="CC412" s="462" t="str">
        <f t="shared" si="1406"/>
        <v/>
      </c>
      <c r="CD412" s="1109" t="str">
        <f t="shared" si="1442"/>
        <v/>
      </c>
      <c r="CE412" s="1110" t="str">
        <f t="shared" si="1466"/>
        <v/>
      </c>
      <c r="CF412" s="1111" t="str">
        <f t="shared" si="1466"/>
        <v/>
      </c>
      <c r="CG412" s="1111" t="str">
        <f t="shared" si="1466"/>
        <v/>
      </c>
      <c r="CH412" s="1111" t="str">
        <f t="shared" si="1466"/>
        <v/>
      </c>
      <c r="CI412" s="1111" t="str">
        <f t="shared" si="1466"/>
        <v/>
      </c>
      <c r="CJ412" s="1111" t="str">
        <f t="shared" si="1466"/>
        <v/>
      </c>
      <c r="CK412" s="1112" t="str">
        <f t="shared" si="1466"/>
        <v/>
      </c>
      <c r="CL412" s="1112" t="str">
        <f t="shared" si="1466"/>
        <v/>
      </c>
      <c r="CM412" s="1112" t="str">
        <f t="shared" si="1466"/>
        <v/>
      </c>
      <c r="CN412" s="1111" t="str">
        <f t="shared" si="1466"/>
        <v/>
      </c>
      <c r="CO412" s="1111" t="str">
        <f t="shared" si="1466"/>
        <v/>
      </c>
      <c r="CP412" s="1111" t="str">
        <f t="shared" si="1466"/>
        <v/>
      </c>
      <c r="CQ412" s="1111" t="str">
        <f t="shared" si="1466"/>
        <v/>
      </c>
      <c r="CR412" s="1111" t="str">
        <f t="shared" si="1466"/>
        <v/>
      </c>
      <c r="CS412" s="1110" t="str">
        <f t="shared" si="1466"/>
        <v/>
      </c>
      <c r="CT412" s="1113" t="str">
        <f t="shared" si="1466"/>
        <v/>
      </c>
      <c r="CU412" s="324" t="str">
        <f t="shared" si="1409"/>
        <v/>
      </c>
      <c r="CV412" s="325" t="str">
        <f t="shared" si="1410"/>
        <v/>
      </c>
      <c r="CW412" s="326" t="str">
        <f t="shared" si="1411"/>
        <v/>
      </c>
      <c r="CX412" s="326" t="str">
        <f t="shared" si="1412"/>
        <v/>
      </c>
      <c r="CY412" s="326" t="str">
        <f t="shared" si="1413"/>
        <v/>
      </c>
      <c r="CZ412" s="326" t="str">
        <f t="shared" si="1414"/>
        <v/>
      </c>
      <c r="DA412" s="326" t="str">
        <f t="shared" si="1415"/>
        <v/>
      </c>
      <c r="DB412" s="327" t="str">
        <f t="shared" si="1416"/>
        <v/>
      </c>
      <c r="DC412" s="327" t="str">
        <f t="shared" si="1417"/>
        <v/>
      </c>
      <c r="DD412" s="327" t="str">
        <f t="shared" si="1418"/>
        <v/>
      </c>
      <c r="DE412" s="326" t="str">
        <f t="shared" si="1419"/>
        <v/>
      </c>
      <c r="DF412" s="326" t="str">
        <f t="shared" si="1420"/>
        <v/>
      </c>
      <c r="DG412" s="326" t="str">
        <f t="shared" si="1421"/>
        <v/>
      </c>
      <c r="DH412" s="326" t="str">
        <f t="shared" si="1422"/>
        <v/>
      </c>
      <c r="DI412" s="326" t="str">
        <f t="shared" si="1423"/>
        <v/>
      </c>
      <c r="DJ412" s="325" t="str">
        <f t="shared" si="1424"/>
        <v/>
      </c>
      <c r="DK412" s="324" t="str">
        <f t="shared" si="1425"/>
        <v/>
      </c>
      <c r="DL412" s="428">
        <f t="shared" si="1426"/>
        <v>0</v>
      </c>
      <c r="DM412" s="66">
        <f t="shared" si="1427"/>
        <v>0</v>
      </c>
      <c r="DN412" s="66">
        <f t="shared" si="1428"/>
        <v>0</v>
      </c>
      <c r="DO412" s="66">
        <f t="shared" si="142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403"/>
        <v/>
      </c>
      <c r="CA413" s="373" t="str">
        <f t="shared" si="1404"/>
        <v/>
      </c>
      <c r="CB413" s="373" t="str">
        <f t="shared" si="1405"/>
        <v/>
      </c>
      <c r="CC413" s="462" t="str">
        <f t="shared" si="1406"/>
        <v/>
      </c>
      <c r="CD413" s="1109" t="str">
        <f t="shared" si="1442"/>
        <v/>
      </c>
      <c r="CE413" s="1110" t="str">
        <f t="shared" si="1466"/>
        <v/>
      </c>
      <c r="CF413" s="1111" t="str">
        <f t="shared" si="1466"/>
        <v/>
      </c>
      <c r="CG413" s="1111" t="str">
        <f t="shared" si="1466"/>
        <v/>
      </c>
      <c r="CH413" s="1111" t="str">
        <f t="shared" si="1466"/>
        <v/>
      </c>
      <c r="CI413" s="1111" t="str">
        <f t="shared" si="1466"/>
        <v/>
      </c>
      <c r="CJ413" s="1111" t="str">
        <f t="shared" si="1466"/>
        <v/>
      </c>
      <c r="CK413" s="1112" t="str">
        <f t="shared" si="1466"/>
        <v/>
      </c>
      <c r="CL413" s="1112" t="str">
        <f t="shared" si="1466"/>
        <v/>
      </c>
      <c r="CM413" s="1112" t="str">
        <f t="shared" si="1466"/>
        <v/>
      </c>
      <c r="CN413" s="1111" t="str">
        <f t="shared" si="1466"/>
        <v/>
      </c>
      <c r="CO413" s="1111" t="str">
        <f t="shared" si="1466"/>
        <v/>
      </c>
      <c r="CP413" s="1111" t="str">
        <f t="shared" si="1466"/>
        <v/>
      </c>
      <c r="CQ413" s="1111" t="str">
        <f t="shared" si="1466"/>
        <v/>
      </c>
      <c r="CR413" s="1111" t="str">
        <f t="shared" si="1466"/>
        <v/>
      </c>
      <c r="CS413" s="1110" t="str">
        <f t="shared" si="1466"/>
        <v/>
      </c>
      <c r="CT413" s="1113" t="str">
        <f t="shared" si="1466"/>
        <v/>
      </c>
      <c r="CU413" s="324" t="str">
        <f t="shared" si="1409"/>
        <v/>
      </c>
      <c r="CV413" s="325" t="str">
        <f t="shared" si="1410"/>
        <v/>
      </c>
      <c r="CW413" s="326" t="str">
        <f t="shared" si="1411"/>
        <v/>
      </c>
      <c r="CX413" s="326" t="str">
        <f t="shared" si="1412"/>
        <v/>
      </c>
      <c r="CY413" s="326" t="str">
        <f t="shared" si="1413"/>
        <v/>
      </c>
      <c r="CZ413" s="326" t="str">
        <f t="shared" si="1414"/>
        <v/>
      </c>
      <c r="DA413" s="326" t="str">
        <f t="shared" si="1415"/>
        <v/>
      </c>
      <c r="DB413" s="327" t="str">
        <f t="shared" si="1416"/>
        <v/>
      </c>
      <c r="DC413" s="327" t="str">
        <f t="shared" si="1417"/>
        <v/>
      </c>
      <c r="DD413" s="327" t="str">
        <f t="shared" si="1418"/>
        <v/>
      </c>
      <c r="DE413" s="326" t="str">
        <f t="shared" si="1419"/>
        <v/>
      </c>
      <c r="DF413" s="326" t="str">
        <f t="shared" si="1420"/>
        <v/>
      </c>
      <c r="DG413" s="326" t="str">
        <f t="shared" si="1421"/>
        <v/>
      </c>
      <c r="DH413" s="326" t="str">
        <f t="shared" si="1422"/>
        <v/>
      </c>
      <c r="DI413" s="326" t="str">
        <f t="shared" si="1423"/>
        <v/>
      </c>
      <c r="DJ413" s="325" t="str">
        <f t="shared" si="1424"/>
        <v/>
      </c>
      <c r="DK413" s="324" t="str">
        <f t="shared" si="1425"/>
        <v/>
      </c>
      <c r="DL413" s="428">
        <f t="shared" si="1426"/>
        <v>0</v>
      </c>
      <c r="DM413" s="66">
        <f t="shared" si="1427"/>
        <v>0</v>
      </c>
      <c r="DN413" s="66">
        <f t="shared" si="1428"/>
        <v>0</v>
      </c>
      <c r="DO413" s="66">
        <f t="shared" si="142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475">IF(B412="","",B412*B413)</f>
        <v/>
      </c>
      <c r="C414" s="405" t="str">
        <f t="shared" si="1475"/>
        <v/>
      </c>
      <c r="D414" s="405" t="str">
        <f t="shared" si="1475"/>
        <v/>
      </c>
      <c r="E414" s="405" t="str">
        <f t="shared" si="1475"/>
        <v/>
      </c>
      <c r="F414" s="405" t="str">
        <f t="shared" si="1475"/>
        <v/>
      </c>
      <c r="G414" s="405" t="str">
        <f t="shared" si="1475"/>
        <v/>
      </c>
      <c r="H414" s="405" t="str">
        <f t="shared" si="1475"/>
        <v/>
      </c>
      <c r="I414" s="405" t="str">
        <f t="shared" si="1475"/>
        <v/>
      </c>
      <c r="J414" s="405" t="str">
        <f t="shared" si="1475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476">IF(T412="","",T412*T413)</f>
        <v/>
      </c>
      <c r="U414" s="405" t="str">
        <f t="shared" si="1476"/>
        <v/>
      </c>
      <c r="V414" s="405" t="str">
        <f t="shared" si="1476"/>
        <v/>
      </c>
      <c r="W414" s="405" t="str">
        <f t="shared" si="1476"/>
        <v/>
      </c>
      <c r="X414" s="405" t="str">
        <f t="shared" si="1476"/>
        <v/>
      </c>
      <c r="Y414" s="405" t="str">
        <f t="shared" si="1476"/>
        <v/>
      </c>
      <c r="Z414" s="405" t="str">
        <f t="shared" si="1476"/>
        <v/>
      </c>
      <c r="AA414" s="405" t="str">
        <f t="shared" si="1476"/>
        <v/>
      </c>
      <c r="AB414" s="405" t="str">
        <f t="shared" si="1476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477">IF(AL412="","",AL412*AL413)</f>
        <v/>
      </c>
      <c r="AM414" s="405" t="str">
        <f t="shared" si="1477"/>
        <v/>
      </c>
      <c r="AN414" s="405" t="str">
        <f t="shared" si="1477"/>
        <v/>
      </c>
      <c r="AO414" s="405" t="str">
        <f t="shared" si="1477"/>
        <v/>
      </c>
      <c r="AP414" s="405" t="str">
        <f t="shared" si="1477"/>
        <v/>
      </c>
      <c r="AQ414" s="405" t="str">
        <f t="shared" si="1477"/>
        <v/>
      </c>
      <c r="AR414" s="405" t="str">
        <f t="shared" si="1477"/>
        <v/>
      </c>
      <c r="AS414" s="405" t="str">
        <f t="shared" si="1477"/>
        <v/>
      </c>
      <c r="AT414" s="405" t="str">
        <f t="shared" si="1477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478">IF(BD412="","",BD412*BD413)</f>
        <v/>
      </c>
      <c r="BE414" s="405" t="str">
        <f t="shared" si="1478"/>
        <v/>
      </c>
      <c r="BF414" s="405" t="str">
        <f t="shared" si="1478"/>
        <v/>
      </c>
      <c r="BG414" s="405" t="str">
        <f t="shared" si="1478"/>
        <v/>
      </c>
      <c r="BH414" s="405" t="str">
        <f t="shared" si="1478"/>
        <v/>
      </c>
      <c r="BI414" s="405" t="str">
        <f t="shared" si="1478"/>
        <v/>
      </c>
      <c r="BJ414" s="405" t="str">
        <f t="shared" si="1478"/>
        <v/>
      </c>
      <c r="BK414" s="405" t="str">
        <f t="shared" si="1478"/>
        <v/>
      </c>
      <c r="BL414" s="405" t="str">
        <f t="shared" si="1478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403"/>
        <v/>
      </c>
      <c r="CA414" s="373" t="str">
        <f t="shared" si="1404"/>
        <v/>
      </c>
      <c r="CB414" s="373" t="str">
        <f t="shared" si="1405"/>
        <v/>
      </c>
      <c r="CC414" s="462" t="str">
        <f t="shared" si="1406"/>
        <v/>
      </c>
      <c r="CD414" s="1109" t="str">
        <f t="shared" si="1442"/>
        <v/>
      </c>
      <c r="CE414" s="1110" t="str">
        <f t="shared" si="1466"/>
        <v/>
      </c>
      <c r="CF414" s="1111" t="str">
        <f t="shared" si="1466"/>
        <v/>
      </c>
      <c r="CG414" s="1111" t="str">
        <f t="shared" si="1466"/>
        <v/>
      </c>
      <c r="CH414" s="1111" t="str">
        <f t="shared" si="1466"/>
        <v/>
      </c>
      <c r="CI414" s="1111" t="str">
        <f t="shared" si="1466"/>
        <v/>
      </c>
      <c r="CJ414" s="1111" t="str">
        <f t="shared" si="1466"/>
        <v/>
      </c>
      <c r="CK414" s="1112" t="str">
        <f t="shared" si="1466"/>
        <v/>
      </c>
      <c r="CL414" s="1112" t="str">
        <f t="shared" si="1466"/>
        <v/>
      </c>
      <c r="CM414" s="1112" t="str">
        <f t="shared" si="1466"/>
        <v/>
      </c>
      <c r="CN414" s="1111" t="str">
        <f t="shared" si="1466"/>
        <v/>
      </c>
      <c r="CO414" s="1111" t="str">
        <f t="shared" si="1466"/>
        <v/>
      </c>
      <c r="CP414" s="1111" t="str">
        <f t="shared" si="1466"/>
        <v/>
      </c>
      <c r="CQ414" s="1111" t="str">
        <f t="shared" si="1466"/>
        <v/>
      </c>
      <c r="CR414" s="1111" t="str">
        <f t="shared" si="1466"/>
        <v/>
      </c>
      <c r="CS414" s="1110" t="str">
        <f t="shared" si="1466"/>
        <v/>
      </c>
      <c r="CT414" s="1113" t="str">
        <f t="shared" si="1466"/>
        <v/>
      </c>
      <c r="CU414" s="324" t="str">
        <f t="shared" si="1409"/>
        <v/>
      </c>
      <c r="CV414" s="325" t="str">
        <f t="shared" si="1410"/>
        <v/>
      </c>
      <c r="CW414" s="326" t="str">
        <f t="shared" si="1411"/>
        <v/>
      </c>
      <c r="CX414" s="326" t="str">
        <f t="shared" si="1412"/>
        <v/>
      </c>
      <c r="CY414" s="326" t="str">
        <f t="shared" si="1413"/>
        <v/>
      </c>
      <c r="CZ414" s="326" t="str">
        <f t="shared" si="1414"/>
        <v/>
      </c>
      <c r="DA414" s="326" t="str">
        <f t="shared" si="1415"/>
        <v/>
      </c>
      <c r="DB414" s="327" t="str">
        <f t="shared" si="1416"/>
        <v/>
      </c>
      <c r="DC414" s="327" t="str">
        <f t="shared" si="1417"/>
        <v/>
      </c>
      <c r="DD414" s="327" t="str">
        <f t="shared" si="1418"/>
        <v/>
      </c>
      <c r="DE414" s="326" t="str">
        <f t="shared" si="1419"/>
        <v/>
      </c>
      <c r="DF414" s="326" t="str">
        <f t="shared" si="1420"/>
        <v/>
      </c>
      <c r="DG414" s="326" t="str">
        <f t="shared" si="1421"/>
        <v/>
      </c>
      <c r="DH414" s="326" t="str">
        <f t="shared" si="1422"/>
        <v/>
      </c>
      <c r="DI414" s="326" t="str">
        <f t="shared" si="1423"/>
        <v/>
      </c>
      <c r="DJ414" s="325" t="str">
        <f t="shared" si="1424"/>
        <v/>
      </c>
      <c r="DK414" s="324" t="str">
        <f t="shared" si="1425"/>
        <v/>
      </c>
      <c r="DL414" s="428">
        <f t="shared" si="1426"/>
        <v>0</v>
      </c>
      <c r="DM414" s="66">
        <f t="shared" si="1427"/>
        <v>0</v>
      </c>
      <c r="DN414" s="66">
        <f t="shared" si="1428"/>
        <v>0</v>
      </c>
      <c r="DO414" s="66">
        <f t="shared" si="142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403"/>
        <v/>
      </c>
      <c r="CA415" s="373" t="str">
        <f t="shared" si="1404"/>
        <v/>
      </c>
      <c r="CB415" s="373" t="str">
        <f t="shared" si="1405"/>
        <v/>
      </c>
      <c r="CC415" s="462" t="str">
        <f t="shared" si="1406"/>
        <v/>
      </c>
      <c r="CD415" s="1109" t="str">
        <f t="shared" si="1442"/>
        <v/>
      </c>
      <c r="CE415" s="1110" t="str">
        <f t="shared" si="1466"/>
        <v/>
      </c>
      <c r="CF415" s="1111" t="str">
        <f t="shared" si="1466"/>
        <v/>
      </c>
      <c r="CG415" s="1111" t="str">
        <f t="shared" si="1466"/>
        <v/>
      </c>
      <c r="CH415" s="1111" t="str">
        <f t="shared" si="1466"/>
        <v/>
      </c>
      <c r="CI415" s="1111" t="str">
        <f t="shared" si="1466"/>
        <v/>
      </c>
      <c r="CJ415" s="1111" t="str">
        <f t="shared" si="1466"/>
        <v/>
      </c>
      <c r="CK415" s="1112" t="str">
        <f t="shared" si="1466"/>
        <v/>
      </c>
      <c r="CL415" s="1112" t="str">
        <f t="shared" si="1466"/>
        <v/>
      </c>
      <c r="CM415" s="1112" t="str">
        <f t="shared" si="1466"/>
        <v/>
      </c>
      <c r="CN415" s="1111" t="str">
        <f t="shared" si="1466"/>
        <v/>
      </c>
      <c r="CO415" s="1111" t="str">
        <f t="shared" si="1466"/>
        <v/>
      </c>
      <c r="CP415" s="1111" t="str">
        <f t="shared" si="1466"/>
        <v/>
      </c>
      <c r="CQ415" s="1111" t="str">
        <f t="shared" si="1466"/>
        <v/>
      </c>
      <c r="CR415" s="1111" t="str">
        <f t="shared" si="1466"/>
        <v/>
      </c>
      <c r="CS415" s="1110" t="str">
        <f t="shared" si="1466"/>
        <v/>
      </c>
      <c r="CT415" s="1113" t="str">
        <f t="shared" si="1466"/>
        <v/>
      </c>
      <c r="CU415" s="324" t="str">
        <f t="shared" si="1409"/>
        <v/>
      </c>
      <c r="CV415" s="325" t="str">
        <f t="shared" si="1410"/>
        <v/>
      </c>
      <c r="CW415" s="326" t="str">
        <f t="shared" si="1411"/>
        <v/>
      </c>
      <c r="CX415" s="326" t="str">
        <f t="shared" si="1412"/>
        <v/>
      </c>
      <c r="CY415" s="326" t="str">
        <f t="shared" si="1413"/>
        <v/>
      </c>
      <c r="CZ415" s="326" t="str">
        <f t="shared" si="1414"/>
        <v/>
      </c>
      <c r="DA415" s="326" t="str">
        <f t="shared" si="1415"/>
        <v/>
      </c>
      <c r="DB415" s="327" t="str">
        <f t="shared" si="1416"/>
        <v/>
      </c>
      <c r="DC415" s="327" t="str">
        <f t="shared" si="1417"/>
        <v/>
      </c>
      <c r="DD415" s="327" t="str">
        <f t="shared" si="1418"/>
        <v/>
      </c>
      <c r="DE415" s="326" t="str">
        <f t="shared" si="1419"/>
        <v/>
      </c>
      <c r="DF415" s="326" t="str">
        <f t="shared" si="1420"/>
        <v/>
      </c>
      <c r="DG415" s="326" t="str">
        <f t="shared" si="1421"/>
        <v/>
      </c>
      <c r="DH415" s="326" t="str">
        <f t="shared" si="1422"/>
        <v/>
      </c>
      <c r="DI415" s="326" t="str">
        <f t="shared" si="1423"/>
        <v/>
      </c>
      <c r="DJ415" s="325" t="str">
        <f t="shared" si="1424"/>
        <v/>
      </c>
      <c r="DK415" s="324" t="str">
        <f t="shared" si="1425"/>
        <v/>
      </c>
      <c r="DL415" s="428">
        <f t="shared" si="1426"/>
        <v>0</v>
      </c>
      <c r="DM415" s="66">
        <f t="shared" si="1427"/>
        <v>0</v>
      </c>
      <c r="DN415" s="66">
        <f t="shared" si="1428"/>
        <v>0</v>
      </c>
      <c r="DO415" s="66">
        <f t="shared" si="142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403"/>
        <v/>
      </c>
      <c r="CA416" s="373" t="str">
        <f t="shared" si="1404"/>
        <v/>
      </c>
      <c r="CB416" s="373" t="str">
        <f t="shared" si="1405"/>
        <v/>
      </c>
      <c r="CC416" s="462" t="str">
        <f t="shared" si="1406"/>
        <v/>
      </c>
      <c r="CD416" s="1109" t="str">
        <f t="shared" si="1442"/>
        <v/>
      </c>
      <c r="CE416" s="1110" t="str">
        <f t="shared" si="1466"/>
        <v/>
      </c>
      <c r="CF416" s="1111" t="str">
        <f t="shared" si="1466"/>
        <v/>
      </c>
      <c r="CG416" s="1111" t="str">
        <f t="shared" si="1466"/>
        <v/>
      </c>
      <c r="CH416" s="1111" t="str">
        <f t="shared" si="1466"/>
        <v/>
      </c>
      <c r="CI416" s="1111" t="str">
        <f t="shared" si="1466"/>
        <v/>
      </c>
      <c r="CJ416" s="1111" t="str">
        <f t="shared" si="1466"/>
        <v/>
      </c>
      <c r="CK416" s="1112" t="str">
        <f t="shared" si="1466"/>
        <v/>
      </c>
      <c r="CL416" s="1112" t="str">
        <f t="shared" si="1466"/>
        <v/>
      </c>
      <c r="CM416" s="1112" t="str">
        <f t="shared" si="1466"/>
        <v/>
      </c>
      <c r="CN416" s="1111" t="str">
        <f t="shared" si="1466"/>
        <v/>
      </c>
      <c r="CO416" s="1111" t="str">
        <f t="shared" si="1466"/>
        <v/>
      </c>
      <c r="CP416" s="1111" t="str">
        <f t="shared" si="1466"/>
        <v/>
      </c>
      <c r="CQ416" s="1111" t="str">
        <f t="shared" si="1466"/>
        <v/>
      </c>
      <c r="CR416" s="1111" t="str">
        <f t="shared" si="1466"/>
        <v/>
      </c>
      <c r="CS416" s="1110" t="str">
        <f t="shared" si="1466"/>
        <v/>
      </c>
      <c r="CT416" s="1113" t="str">
        <f t="shared" si="1466"/>
        <v/>
      </c>
      <c r="CU416" s="324" t="str">
        <f t="shared" si="1409"/>
        <v/>
      </c>
      <c r="CV416" s="325" t="str">
        <f t="shared" si="1410"/>
        <v/>
      </c>
      <c r="CW416" s="326" t="str">
        <f t="shared" si="1411"/>
        <v/>
      </c>
      <c r="CX416" s="326" t="str">
        <f t="shared" si="1412"/>
        <v/>
      </c>
      <c r="CY416" s="326" t="str">
        <f t="shared" si="1413"/>
        <v/>
      </c>
      <c r="CZ416" s="326" t="str">
        <f t="shared" si="1414"/>
        <v/>
      </c>
      <c r="DA416" s="326" t="str">
        <f t="shared" si="1415"/>
        <v/>
      </c>
      <c r="DB416" s="327" t="str">
        <f t="shared" si="1416"/>
        <v/>
      </c>
      <c r="DC416" s="327" t="str">
        <f t="shared" si="1417"/>
        <v/>
      </c>
      <c r="DD416" s="327" t="str">
        <f t="shared" si="1418"/>
        <v/>
      </c>
      <c r="DE416" s="326" t="str">
        <f t="shared" si="1419"/>
        <v/>
      </c>
      <c r="DF416" s="326" t="str">
        <f t="shared" si="1420"/>
        <v/>
      </c>
      <c r="DG416" s="326" t="str">
        <f t="shared" si="1421"/>
        <v/>
      </c>
      <c r="DH416" s="326" t="str">
        <f t="shared" si="1422"/>
        <v/>
      </c>
      <c r="DI416" s="326" t="str">
        <f t="shared" si="1423"/>
        <v/>
      </c>
      <c r="DJ416" s="325" t="str">
        <f t="shared" si="1424"/>
        <v/>
      </c>
      <c r="DK416" s="324" t="str">
        <f t="shared" si="1425"/>
        <v/>
      </c>
      <c r="DL416" s="428">
        <f t="shared" si="1426"/>
        <v>0</v>
      </c>
      <c r="DM416" s="66">
        <f t="shared" si="1427"/>
        <v>0</v>
      </c>
      <c r="DN416" s="66">
        <f t="shared" si="1428"/>
        <v>0</v>
      </c>
      <c r="DO416" s="66">
        <f t="shared" si="142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479">IF(B415="","",B415*B416)</f>
        <v/>
      </c>
      <c r="C417" s="405" t="str">
        <f t="shared" si="1479"/>
        <v/>
      </c>
      <c r="D417" s="405" t="str">
        <f t="shared" si="1479"/>
        <v/>
      </c>
      <c r="E417" s="405" t="str">
        <f t="shared" si="1479"/>
        <v/>
      </c>
      <c r="F417" s="405" t="str">
        <f t="shared" si="1479"/>
        <v/>
      </c>
      <c r="G417" s="405" t="str">
        <f t="shared" si="1479"/>
        <v/>
      </c>
      <c r="H417" s="405" t="str">
        <f t="shared" si="1479"/>
        <v/>
      </c>
      <c r="I417" s="405" t="str">
        <f t="shared" si="1479"/>
        <v/>
      </c>
      <c r="J417" s="405" t="str">
        <f t="shared" si="1479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480">IF(T415="","",T415*T416)</f>
        <v/>
      </c>
      <c r="U417" s="405" t="str">
        <f t="shared" si="1480"/>
        <v/>
      </c>
      <c r="V417" s="405" t="str">
        <f t="shared" si="1480"/>
        <v/>
      </c>
      <c r="W417" s="405" t="str">
        <f t="shared" si="1480"/>
        <v/>
      </c>
      <c r="X417" s="405" t="str">
        <f t="shared" si="1480"/>
        <v/>
      </c>
      <c r="Y417" s="405" t="str">
        <f t="shared" si="1480"/>
        <v/>
      </c>
      <c r="Z417" s="405" t="str">
        <f t="shared" si="1480"/>
        <v/>
      </c>
      <c r="AA417" s="405" t="str">
        <f t="shared" si="1480"/>
        <v/>
      </c>
      <c r="AB417" s="405" t="str">
        <f t="shared" si="1480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481">IF(AL415="","",AL415*AL416)</f>
        <v/>
      </c>
      <c r="AM417" s="405" t="str">
        <f t="shared" si="1481"/>
        <v/>
      </c>
      <c r="AN417" s="405" t="str">
        <f t="shared" si="1481"/>
        <v/>
      </c>
      <c r="AO417" s="405" t="str">
        <f t="shared" si="1481"/>
        <v/>
      </c>
      <c r="AP417" s="405" t="str">
        <f t="shared" si="1481"/>
        <v/>
      </c>
      <c r="AQ417" s="405" t="str">
        <f t="shared" si="1481"/>
        <v/>
      </c>
      <c r="AR417" s="405" t="str">
        <f t="shared" si="1481"/>
        <v/>
      </c>
      <c r="AS417" s="405" t="str">
        <f t="shared" si="1481"/>
        <v/>
      </c>
      <c r="AT417" s="405" t="str">
        <f t="shared" si="1481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482">IF(BD415="","",BD415*BD416)</f>
        <v/>
      </c>
      <c r="BE417" s="405" t="str">
        <f t="shared" si="1482"/>
        <v/>
      </c>
      <c r="BF417" s="405" t="str">
        <f t="shared" si="1482"/>
        <v/>
      </c>
      <c r="BG417" s="405" t="str">
        <f t="shared" si="1482"/>
        <v/>
      </c>
      <c r="BH417" s="405" t="str">
        <f t="shared" si="1482"/>
        <v/>
      </c>
      <c r="BI417" s="405" t="str">
        <f t="shared" si="1482"/>
        <v/>
      </c>
      <c r="BJ417" s="405" t="str">
        <f t="shared" si="1482"/>
        <v/>
      </c>
      <c r="BK417" s="405" t="str">
        <f t="shared" si="1482"/>
        <v/>
      </c>
      <c r="BL417" s="405" t="str">
        <f t="shared" si="1482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403"/>
        <v/>
      </c>
      <c r="CA417" s="373" t="str">
        <f t="shared" si="1404"/>
        <v/>
      </c>
      <c r="CB417" s="373" t="str">
        <f t="shared" si="1405"/>
        <v/>
      </c>
      <c r="CC417" s="462" t="str">
        <f t="shared" si="1406"/>
        <v/>
      </c>
      <c r="CD417" s="1109" t="str">
        <f t="shared" si="1442"/>
        <v/>
      </c>
      <c r="CE417" s="1110" t="str">
        <f t="shared" si="1466"/>
        <v/>
      </c>
      <c r="CF417" s="1111" t="str">
        <f t="shared" si="1466"/>
        <v/>
      </c>
      <c r="CG417" s="1111" t="str">
        <f t="shared" si="1466"/>
        <v/>
      </c>
      <c r="CH417" s="1111" t="str">
        <f t="shared" si="1466"/>
        <v/>
      </c>
      <c r="CI417" s="1111" t="str">
        <f t="shared" si="1466"/>
        <v/>
      </c>
      <c r="CJ417" s="1111" t="str">
        <f t="shared" si="1466"/>
        <v/>
      </c>
      <c r="CK417" s="1112" t="str">
        <f t="shared" si="1466"/>
        <v/>
      </c>
      <c r="CL417" s="1112" t="str">
        <f t="shared" si="1466"/>
        <v/>
      </c>
      <c r="CM417" s="1112" t="str">
        <f t="shared" si="1466"/>
        <v/>
      </c>
      <c r="CN417" s="1111" t="str">
        <f t="shared" si="1466"/>
        <v/>
      </c>
      <c r="CO417" s="1111" t="str">
        <f t="shared" si="1466"/>
        <v/>
      </c>
      <c r="CP417" s="1111" t="str">
        <f t="shared" si="1466"/>
        <v/>
      </c>
      <c r="CQ417" s="1111" t="str">
        <f t="shared" si="1466"/>
        <v/>
      </c>
      <c r="CR417" s="1111" t="str">
        <f t="shared" si="1466"/>
        <v/>
      </c>
      <c r="CS417" s="1110" t="str">
        <f t="shared" si="1466"/>
        <v/>
      </c>
      <c r="CT417" s="1113" t="str">
        <f t="shared" si="1466"/>
        <v/>
      </c>
      <c r="CU417" s="324" t="str">
        <f t="shared" si="1409"/>
        <v/>
      </c>
      <c r="CV417" s="325" t="str">
        <f t="shared" si="1410"/>
        <v/>
      </c>
      <c r="CW417" s="326" t="str">
        <f t="shared" si="1411"/>
        <v/>
      </c>
      <c r="CX417" s="326" t="str">
        <f t="shared" si="1412"/>
        <v/>
      </c>
      <c r="CY417" s="326" t="str">
        <f t="shared" si="1413"/>
        <v/>
      </c>
      <c r="CZ417" s="326" t="str">
        <f t="shared" si="1414"/>
        <v/>
      </c>
      <c r="DA417" s="326" t="str">
        <f t="shared" si="1415"/>
        <v/>
      </c>
      <c r="DB417" s="327" t="str">
        <f t="shared" si="1416"/>
        <v/>
      </c>
      <c r="DC417" s="327" t="str">
        <f t="shared" si="1417"/>
        <v/>
      </c>
      <c r="DD417" s="327" t="str">
        <f t="shared" si="1418"/>
        <v/>
      </c>
      <c r="DE417" s="326" t="str">
        <f t="shared" si="1419"/>
        <v/>
      </c>
      <c r="DF417" s="326" t="str">
        <f t="shared" si="1420"/>
        <v/>
      </c>
      <c r="DG417" s="326" t="str">
        <f t="shared" si="1421"/>
        <v/>
      </c>
      <c r="DH417" s="326" t="str">
        <f t="shared" si="1422"/>
        <v/>
      </c>
      <c r="DI417" s="326" t="str">
        <f t="shared" si="1423"/>
        <v/>
      </c>
      <c r="DJ417" s="325" t="str">
        <f t="shared" si="1424"/>
        <v/>
      </c>
      <c r="DK417" s="324" t="str">
        <f t="shared" si="1425"/>
        <v/>
      </c>
      <c r="DL417" s="428">
        <f t="shared" si="1426"/>
        <v>0</v>
      </c>
      <c r="DM417" s="66">
        <f t="shared" si="1427"/>
        <v>0</v>
      </c>
      <c r="DN417" s="66">
        <f t="shared" si="1428"/>
        <v>0</v>
      </c>
      <c r="DO417" s="66">
        <f t="shared" si="142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2"/>
      <c r="CE418" s="1153"/>
      <c r="CF418" s="1153"/>
      <c r="CG418" s="1153"/>
      <c r="CH418" s="1153"/>
      <c r="CI418" s="1153"/>
      <c r="CJ418" s="1153"/>
      <c r="CK418" s="1153"/>
      <c r="CL418" s="1153"/>
      <c r="CM418" s="1153"/>
      <c r="CN418" s="1153"/>
      <c r="CO418" s="1153"/>
      <c r="CP418" s="1153"/>
      <c r="CQ418" s="1153"/>
      <c r="CR418" s="1153"/>
      <c r="CS418" s="1153"/>
      <c r="CT418" s="1135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9" t="str">
        <f t="shared" ref="CD419:CS419" si="14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0" t="str">
        <f t="shared" si="1483"/>
        <v/>
      </c>
      <c r="CF419" s="1111" t="str">
        <f t="shared" si="1483"/>
        <v/>
      </c>
      <c r="CG419" s="1111" t="str">
        <f t="shared" si="1483"/>
        <v/>
      </c>
      <c r="CH419" s="1111" t="str">
        <f t="shared" si="1483"/>
        <v/>
      </c>
      <c r="CI419" s="1111" t="str">
        <f t="shared" si="1483"/>
        <v/>
      </c>
      <c r="CJ419" s="1111" t="str">
        <f t="shared" si="1483"/>
        <v/>
      </c>
      <c r="CK419" s="1112" t="str">
        <f t="shared" si="1483"/>
        <v/>
      </c>
      <c r="CL419" s="1112" t="str">
        <f t="shared" si="1483"/>
        <v/>
      </c>
      <c r="CM419" s="1112" t="str">
        <f t="shared" si="1483"/>
        <v/>
      </c>
      <c r="CN419" s="1111" t="str">
        <f t="shared" si="1483"/>
        <v/>
      </c>
      <c r="CO419" s="1111" t="str">
        <f t="shared" si="1483"/>
        <v/>
      </c>
      <c r="CP419" s="1111" t="str">
        <f t="shared" si="1483"/>
        <v/>
      </c>
      <c r="CQ419" s="1111" t="str">
        <f t="shared" si="1483"/>
        <v/>
      </c>
      <c r="CR419" s="1111" t="str">
        <f t="shared" si="1483"/>
        <v/>
      </c>
      <c r="CS419" s="1110" t="str">
        <f t="shared" si="1483"/>
        <v/>
      </c>
      <c r="CT419" s="1113" t="str">
        <f t="shared" ref="CE419:CT421" si="14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85"/>
        <v/>
      </c>
      <c r="CW419" s="326" t="str">
        <f t="shared" si="1485"/>
        <v/>
      </c>
      <c r="CX419" s="326" t="str">
        <f t="shared" si="1485"/>
        <v/>
      </c>
      <c r="CY419" s="326" t="str">
        <f t="shared" si="1485"/>
        <v/>
      </c>
      <c r="CZ419" s="326" t="str">
        <f t="shared" si="1485"/>
        <v/>
      </c>
      <c r="DA419" s="326" t="str">
        <f t="shared" si="1485"/>
        <v/>
      </c>
      <c r="DB419" s="327" t="str">
        <f t="shared" si="1485"/>
        <v/>
      </c>
      <c r="DC419" s="327" t="str">
        <f t="shared" si="1485"/>
        <v/>
      </c>
      <c r="DD419" s="327" t="str">
        <f t="shared" si="1485"/>
        <v/>
      </c>
      <c r="DE419" s="326" t="str">
        <f t="shared" ref="DE419:DK421" si="14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86"/>
        <v/>
      </c>
      <c r="DG419" s="326" t="str">
        <f t="shared" si="1486"/>
        <v/>
      </c>
      <c r="DH419" s="326" t="str">
        <f t="shared" si="1486"/>
        <v/>
      </c>
      <c r="DI419" s="326" t="str">
        <f t="shared" si="1486"/>
        <v/>
      </c>
      <c r="DJ419" s="325" t="str">
        <f t="shared" si="1486"/>
        <v/>
      </c>
      <c r="DK419" s="324" t="str">
        <f t="shared" si="1486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484"/>
        <v/>
      </c>
      <c r="CF420" s="1111" t="str">
        <f t="shared" si="1484"/>
        <v/>
      </c>
      <c r="CG420" s="1111" t="str">
        <f t="shared" si="1484"/>
        <v/>
      </c>
      <c r="CH420" s="1111" t="str">
        <f t="shared" si="1484"/>
        <v/>
      </c>
      <c r="CI420" s="1111" t="str">
        <f t="shared" si="1484"/>
        <v/>
      </c>
      <c r="CJ420" s="1111" t="str">
        <f t="shared" si="1484"/>
        <v/>
      </c>
      <c r="CK420" s="1112" t="str">
        <f t="shared" si="1484"/>
        <v/>
      </c>
      <c r="CL420" s="1112" t="str">
        <f t="shared" si="1484"/>
        <v/>
      </c>
      <c r="CM420" s="1112" t="str">
        <f t="shared" si="1484"/>
        <v/>
      </c>
      <c r="CN420" s="1111" t="str">
        <f t="shared" si="1484"/>
        <v/>
      </c>
      <c r="CO420" s="1111" t="str">
        <f t="shared" si="1484"/>
        <v/>
      </c>
      <c r="CP420" s="1111" t="str">
        <f t="shared" si="1484"/>
        <v/>
      </c>
      <c r="CQ420" s="1111" t="str">
        <f t="shared" si="1484"/>
        <v/>
      </c>
      <c r="CR420" s="1111" t="str">
        <f t="shared" si="1484"/>
        <v/>
      </c>
      <c r="CS420" s="1110" t="str">
        <f t="shared" si="1484"/>
        <v/>
      </c>
      <c r="CT420" s="1113" t="str">
        <f t="shared" si="1484"/>
        <v/>
      </c>
      <c r="CU420" s="324" t="str">
        <f t="shared" si="1485"/>
        <v/>
      </c>
      <c r="CV420" s="325" t="str">
        <f t="shared" si="1485"/>
        <v/>
      </c>
      <c r="CW420" s="326" t="str">
        <f t="shared" si="1485"/>
        <v/>
      </c>
      <c r="CX420" s="326" t="str">
        <f t="shared" si="1485"/>
        <v/>
      </c>
      <c r="CY420" s="326" t="str">
        <f t="shared" si="1485"/>
        <v/>
      </c>
      <c r="CZ420" s="326" t="str">
        <f t="shared" si="1485"/>
        <v/>
      </c>
      <c r="DA420" s="326" t="str">
        <f t="shared" si="1485"/>
        <v/>
      </c>
      <c r="DB420" s="327" t="str">
        <f t="shared" si="1485"/>
        <v/>
      </c>
      <c r="DC420" s="327" t="str">
        <f t="shared" si="1485"/>
        <v/>
      </c>
      <c r="DD420" s="327" t="str">
        <f t="shared" si="1485"/>
        <v/>
      </c>
      <c r="DE420" s="326" t="str">
        <f t="shared" si="1486"/>
        <v/>
      </c>
      <c r="DF420" s="326" t="str">
        <f t="shared" si="1486"/>
        <v/>
      </c>
      <c r="DG420" s="326" t="str">
        <f t="shared" si="1486"/>
        <v/>
      </c>
      <c r="DH420" s="326" t="str">
        <f t="shared" si="1486"/>
        <v/>
      </c>
      <c r="DI420" s="326" t="str">
        <f t="shared" si="1486"/>
        <v/>
      </c>
      <c r="DJ420" s="325" t="str">
        <f t="shared" si="1486"/>
        <v/>
      </c>
      <c r="DK420" s="324" t="str">
        <f t="shared" si="1486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487">IF(B419="","",B419*B420)</f>
        <v/>
      </c>
      <c r="C421" s="405" t="str">
        <f t="shared" si="1487"/>
        <v/>
      </c>
      <c r="D421" s="405" t="str">
        <f t="shared" si="1487"/>
        <v/>
      </c>
      <c r="E421" s="405" t="str">
        <f t="shared" si="1487"/>
        <v/>
      </c>
      <c r="F421" s="405" t="str">
        <f t="shared" si="1487"/>
        <v/>
      </c>
      <c r="G421" s="405" t="str">
        <f t="shared" si="1487"/>
        <v/>
      </c>
      <c r="H421" s="405" t="str">
        <f t="shared" si="1487"/>
        <v/>
      </c>
      <c r="I421" s="405" t="str">
        <f t="shared" si="1487"/>
        <v/>
      </c>
      <c r="J421" s="405" t="str">
        <f t="shared" si="1487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488">IF(T419="","",T419*T420)</f>
        <v/>
      </c>
      <c r="U421" s="405" t="str">
        <f t="shared" si="1488"/>
        <v/>
      </c>
      <c r="V421" s="405" t="str">
        <f t="shared" si="1488"/>
        <v/>
      </c>
      <c r="W421" s="405" t="str">
        <f t="shared" si="1488"/>
        <v/>
      </c>
      <c r="X421" s="405" t="str">
        <f t="shared" si="1488"/>
        <v/>
      </c>
      <c r="Y421" s="405" t="str">
        <f t="shared" si="1488"/>
        <v/>
      </c>
      <c r="Z421" s="405" t="str">
        <f t="shared" si="1488"/>
        <v/>
      </c>
      <c r="AA421" s="405" t="str">
        <f t="shared" si="1488"/>
        <v/>
      </c>
      <c r="AB421" s="405" t="str">
        <f t="shared" si="1488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489">IF(AL419="","",AL419*AL420)</f>
        <v/>
      </c>
      <c r="AM421" s="405" t="str">
        <f t="shared" si="1489"/>
        <v/>
      </c>
      <c r="AN421" s="405" t="str">
        <f t="shared" si="1489"/>
        <v/>
      </c>
      <c r="AO421" s="405" t="str">
        <f t="shared" si="1489"/>
        <v/>
      </c>
      <c r="AP421" s="405" t="str">
        <f t="shared" si="1489"/>
        <v/>
      </c>
      <c r="AQ421" s="405" t="str">
        <f t="shared" si="1489"/>
        <v/>
      </c>
      <c r="AR421" s="405" t="str">
        <f t="shared" si="1489"/>
        <v/>
      </c>
      <c r="AS421" s="405" t="str">
        <f t="shared" si="1489"/>
        <v/>
      </c>
      <c r="AT421" s="405" t="str">
        <f t="shared" si="1489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490">IF(BD419="","",BD419*BD420)</f>
        <v/>
      </c>
      <c r="BE421" s="405" t="str">
        <f t="shared" si="1490"/>
        <v/>
      </c>
      <c r="BF421" s="405" t="str">
        <f t="shared" si="1490"/>
        <v/>
      </c>
      <c r="BG421" s="405" t="str">
        <f t="shared" si="1490"/>
        <v/>
      </c>
      <c r="BH421" s="405" t="str">
        <f t="shared" si="1490"/>
        <v/>
      </c>
      <c r="BI421" s="405" t="str">
        <f t="shared" si="1490"/>
        <v/>
      </c>
      <c r="BJ421" s="405" t="str">
        <f t="shared" si="1490"/>
        <v/>
      </c>
      <c r="BK421" s="405" t="str">
        <f t="shared" si="1490"/>
        <v/>
      </c>
      <c r="BL421" s="405" t="str">
        <f t="shared" si="1490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si="1484"/>
        <v/>
      </c>
      <c r="CF421" s="1111" t="str">
        <f t="shared" si="1484"/>
        <v/>
      </c>
      <c r="CG421" s="1111" t="str">
        <f t="shared" si="1484"/>
        <v/>
      </c>
      <c r="CH421" s="1111" t="str">
        <f t="shared" si="1484"/>
        <v/>
      </c>
      <c r="CI421" s="1111" t="str">
        <f t="shared" si="1484"/>
        <v/>
      </c>
      <c r="CJ421" s="1111" t="str">
        <f t="shared" si="1484"/>
        <v/>
      </c>
      <c r="CK421" s="1112" t="str">
        <f t="shared" si="1484"/>
        <v/>
      </c>
      <c r="CL421" s="1112" t="str">
        <f t="shared" si="1484"/>
        <v/>
      </c>
      <c r="CM421" s="1112" t="str">
        <f t="shared" si="1484"/>
        <v/>
      </c>
      <c r="CN421" s="1111" t="str">
        <f t="shared" si="1484"/>
        <v/>
      </c>
      <c r="CO421" s="1111" t="str">
        <f t="shared" si="1484"/>
        <v/>
      </c>
      <c r="CP421" s="1111" t="str">
        <f t="shared" si="1484"/>
        <v/>
      </c>
      <c r="CQ421" s="1111" t="str">
        <f t="shared" si="1484"/>
        <v/>
      </c>
      <c r="CR421" s="1111" t="str">
        <f t="shared" si="1484"/>
        <v/>
      </c>
      <c r="CS421" s="1110" t="str">
        <f t="shared" si="1484"/>
        <v/>
      </c>
      <c r="CT421" s="1113" t="str">
        <f t="shared" si="1484"/>
        <v/>
      </c>
      <c r="CU421" s="324" t="str">
        <f t="shared" si="1485"/>
        <v/>
      </c>
      <c r="CV421" s="325" t="str">
        <f t="shared" si="1485"/>
        <v/>
      </c>
      <c r="CW421" s="326" t="str">
        <f t="shared" si="1485"/>
        <v/>
      </c>
      <c r="CX421" s="326" t="str">
        <f t="shared" si="1485"/>
        <v/>
      </c>
      <c r="CY421" s="326" t="str">
        <f t="shared" si="1485"/>
        <v/>
      </c>
      <c r="CZ421" s="326" t="str">
        <f t="shared" si="1485"/>
        <v/>
      </c>
      <c r="DA421" s="326" t="str">
        <f t="shared" si="1485"/>
        <v/>
      </c>
      <c r="DB421" s="327" t="str">
        <f t="shared" si="1485"/>
        <v/>
      </c>
      <c r="DC421" s="327" t="str">
        <f t="shared" si="1485"/>
        <v/>
      </c>
      <c r="DD421" s="327" t="str">
        <f t="shared" si="1485"/>
        <v/>
      </c>
      <c r="DE421" s="326" t="str">
        <f t="shared" si="1486"/>
        <v/>
      </c>
      <c r="DF421" s="326" t="str">
        <f t="shared" si="1486"/>
        <v/>
      </c>
      <c r="DG421" s="326" t="str">
        <f t="shared" si="1486"/>
        <v/>
      </c>
      <c r="DH421" s="326" t="str">
        <f t="shared" si="1486"/>
        <v/>
      </c>
      <c r="DI421" s="326" t="str">
        <f t="shared" si="1486"/>
        <v/>
      </c>
      <c r="DJ421" s="325" t="str">
        <f t="shared" si="1486"/>
        <v/>
      </c>
      <c r="DK421" s="324" t="str">
        <f t="shared" si="1486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2"/>
      <c r="CE422" s="1153"/>
      <c r="CF422" s="1153"/>
      <c r="CG422" s="1153"/>
      <c r="CH422" s="1153"/>
      <c r="CI422" s="1153"/>
      <c r="CJ422" s="1153"/>
      <c r="CK422" s="1153"/>
      <c r="CL422" s="1153"/>
      <c r="CM422" s="1153"/>
      <c r="CN422" s="1153"/>
      <c r="CO422" s="1153"/>
      <c r="CP422" s="1153"/>
      <c r="CQ422" s="1153"/>
      <c r="CR422" s="1153"/>
      <c r="CS422" s="1153"/>
      <c r="CT422" s="1135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0" t="str">
        <f t="shared" ref="CE423:CT425" si="14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1" t="str">
        <f t="shared" si="1491"/>
        <v/>
      </c>
      <c r="CG423" s="1111" t="str">
        <f t="shared" si="1491"/>
        <v/>
      </c>
      <c r="CH423" s="1111" t="str">
        <f t="shared" si="1491"/>
        <v/>
      </c>
      <c r="CI423" s="1111" t="str">
        <f t="shared" si="1491"/>
        <v/>
      </c>
      <c r="CJ423" s="1111" t="str">
        <f t="shared" si="1491"/>
        <v/>
      </c>
      <c r="CK423" s="1112" t="str">
        <f t="shared" si="1491"/>
        <v/>
      </c>
      <c r="CL423" s="1112" t="str">
        <f t="shared" si="1491"/>
        <v/>
      </c>
      <c r="CM423" s="1112" t="str">
        <f t="shared" si="1491"/>
        <v/>
      </c>
      <c r="CN423" s="1111" t="str">
        <f t="shared" si="1491"/>
        <v/>
      </c>
      <c r="CO423" s="1111" t="str">
        <f t="shared" si="1491"/>
        <v/>
      </c>
      <c r="CP423" s="1111" t="str">
        <f t="shared" si="1491"/>
        <v/>
      </c>
      <c r="CQ423" s="1111" t="str">
        <f t="shared" si="1491"/>
        <v/>
      </c>
      <c r="CR423" s="1111" t="str">
        <f t="shared" si="1491"/>
        <v/>
      </c>
      <c r="CS423" s="1110" t="str">
        <f t="shared" si="1491"/>
        <v/>
      </c>
      <c r="CT423" s="1113" t="str">
        <f t="shared" si="1491"/>
        <v/>
      </c>
      <c r="CU423" s="324" t="str">
        <f t="shared" ref="CU423:DD425" si="14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92"/>
        <v/>
      </c>
      <c r="CW423" s="326" t="str">
        <f t="shared" si="1492"/>
        <v/>
      </c>
      <c r="CX423" s="326" t="str">
        <f t="shared" si="1492"/>
        <v/>
      </c>
      <c r="CY423" s="326" t="str">
        <f t="shared" si="1492"/>
        <v/>
      </c>
      <c r="CZ423" s="326" t="str">
        <f t="shared" si="1492"/>
        <v/>
      </c>
      <c r="DA423" s="326" t="str">
        <f t="shared" si="1492"/>
        <v/>
      </c>
      <c r="DB423" s="327" t="str">
        <f t="shared" si="1492"/>
        <v/>
      </c>
      <c r="DC423" s="327" t="str">
        <f t="shared" si="1492"/>
        <v/>
      </c>
      <c r="DD423" s="327" t="str">
        <f t="shared" si="1492"/>
        <v/>
      </c>
      <c r="DE423" s="326" t="str">
        <f t="shared" ref="DE423:DK425" si="14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93"/>
        <v/>
      </c>
      <c r="DG423" s="326" t="str">
        <f t="shared" si="1493"/>
        <v/>
      </c>
      <c r="DH423" s="326" t="str">
        <f t="shared" si="1493"/>
        <v/>
      </c>
      <c r="DI423" s="326" t="str">
        <f t="shared" si="1493"/>
        <v/>
      </c>
      <c r="DJ423" s="325" t="str">
        <f t="shared" si="1493"/>
        <v/>
      </c>
      <c r="DK423" s="324" t="str">
        <f t="shared" si="1493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si="1491"/>
        <v/>
      </c>
      <c r="CF424" s="1111" t="str">
        <f t="shared" si="1491"/>
        <v/>
      </c>
      <c r="CG424" s="1111" t="str">
        <f t="shared" si="1491"/>
        <v/>
      </c>
      <c r="CH424" s="1111" t="str">
        <f t="shared" si="1491"/>
        <v/>
      </c>
      <c r="CI424" s="1111" t="str">
        <f t="shared" si="1491"/>
        <v/>
      </c>
      <c r="CJ424" s="1111" t="str">
        <f t="shared" si="1491"/>
        <v/>
      </c>
      <c r="CK424" s="1112" t="str">
        <f t="shared" si="1491"/>
        <v/>
      </c>
      <c r="CL424" s="1112" t="str">
        <f t="shared" si="1491"/>
        <v/>
      </c>
      <c r="CM424" s="1112" t="str">
        <f t="shared" si="1491"/>
        <v/>
      </c>
      <c r="CN424" s="1111" t="str">
        <f t="shared" si="1491"/>
        <v/>
      </c>
      <c r="CO424" s="1111" t="str">
        <f t="shared" si="1491"/>
        <v/>
      </c>
      <c r="CP424" s="1111" t="str">
        <f t="shared" si="1491"/>
        <v/>
      </c>
      <c r="CQ424" s="1111" t="str">
        <f t="shared" si="1491"/>
        <v/>
      </c>
      <c r="CR424" s="1111" t="str">
        <f t="shared" si="1491"/>
        <v/>
      </c>
      <c r="CS424" s="1110" t="str">
        <f t="shared" si="1491"/>
        <v/>
      </c>
      <c r="CT424" s="1113" t="str">
        <f t="shared" si="1491"/>
        <v/>
      </c>
      <c r="CU424" s="324" t="str">
        <f t="shared" si="1492"/>
        <v/>
      </c>
      <c r="CV424" s="325" t="str">
        <f t="shared" si="1492"/>
        <v/>
      </c>
      <c r="CW424" s="326" t="str">
        <f t="shared" si="1492"/>
        <v/>
      </c>
      <c r="CX424" s="326" t="str">
        <f t="shared" si="1492"/>
        <v/>
      </c>
      <c r="CY424" s="326" t="str">
        <f t="shared" si="1492"/>
        <v/>
      </c>
      <c r="CZ424" s="326" t="str">
        <f t="shared" si="1492"/>
        <v/>
      </c>
      <c r="DA424" s="326" t="str">
        <f t="shared" si="1492"/>
        <v/>
      </c>
      <c r="DB424" s="327" t="str">
        <f t="shared" si="1492"/>
        <v/>
      </c>
      <c r="DC424" s="327" t="str">
        <f t="shared" si="1492"/>
        <v/>
      </c>
      <c r="DD424" s="327" t="str">
        <f t="shared" si="1492"/>
        <v/>
      </c>
      <c r="DE424" s="326" t="str">
        <f t="shared" si="1493"/>
        <v/>
      </c>
      <c r="DF424" s="326" t="str">
        <f t="shared" si="1493"/>
        <v/>
      </c>
      <c r="DG424" s="326" t="str">
        <f t="shared" si="1493"/>
        <v/>
      </c>
      <c r="DH424" s="326" t="str">
        <f t="shared" si="1493"/>
        <v/>
      </c>
      <c r="DI424" s="326" t="str">
        <f t="shared" si="1493"/>
        <v/>
      </c>
      <c r="DJ424" s="325" t="str">
        <f t="shared" si="1493"/>
        <v/>
      </c>
      <c r="DK424" s="324" t="str">
        <f t="shared" si="1493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494">IF(B423="","",B423*B424)</f>
        <v/>
      </c>
      <c r="C425" s="405" t="str">
        <f t="shared" si="1494"/>
        <v/>
      </c>
      <c r="D425" s="405" t="str">
        <f t="shared" si="1494"/>
        <v/>
      </c>
      <c r="E425" s="405" t="str">
        <f t="shared" si="1494"/>
        <v/>
      </c>
      <c r="F425" s="405" t="str">
        <f t="shared" si="1494"/>
        <v/>
      </c>
      <c r="G425" s="405" t="str">
        <f t="shared" si="1494"/>
        <v/>
      </c>
      <c r="H425" s="405" t="str">
        <f t="shared" si="1494"/>
        <v/>
      </c>
      <c r="I425" s="405" t="str">
        <f t="shared" si="1494"/>
        <v/>
      </c>
      <c r="J425" s="405" t="str">
        <f t="shared" si="1494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495">IF(T423="","",T423*T424)</f>
        <v/>
      </c>
      <c r="U425" s="405" t="str">
        <f t="shared" si="1495"/>
        <v/>
      </c>
      <c r="V425" s="405" t="str">
        <f t="shared" si="1495"/>
        <v/>
      </c>
      <c r="W425" s="405" t="str">
        <f t="shared" si="1495"/>
        <v/>
      </c>
      <c r="X425" s="405" t="str">
        <f t="shared" si="1495"/>
        <v/>
      </c>
      <c r="Y425" s="405" t="str">
        <f t="shared" si="1495"/>
        <v/>
      </c>
      <c r="Z425" s="405" t="str">
        <f t="shared" si="1495"/>
        <v/>
      </c>
      <c r="AA425" s="405" t="str">
        <f t="shared" si="1495"/>
        <v/>
      </c>
      <c r="AB425" s="405" t="str">
        <f t="shared" si="1495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496">IF(AL423="","",AL423*AL424)</f>
        <v/>
      </c>
      <c r="AM425" s="405" t="str">
        <f t="shared" si="1496"/>
        <v/>
      </c>
      <c r="AN425" s="405" t="str">
        <f t="shared" si="1496"/>
        <v/>
      </c>
      <c r="AO425" s="405" t="str">
        <f t="shared" si="1496"/>
        <v/>
      </c>
      <c r="AP425" s="405" t="str">
        <f t="shared" si="1496"/>
        <v/>
      </c>
      <c r="AQ425" s="405" t="str">
        <f t="shared" si="1496"/>
        <v/>
      </c>
      <c r="AR425" s="405" t="str">
        <f t="shared" si="1496"/>
        <v/>
      </c>
      <c r="AS425" s="405" t="str">
        <f t="shared" si="1496"/>
        <v/>
      </c>
      <c r="AT425" s="405" t="str">
        <f t="shared" si="1496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497">IF(BD423="","",BD423*BD424)</f>
        <v/>
      </c>
      <c r="BE425" s="405" t="str">
        <f t="shared" si="1497"/>
        <v/>
      </c>
      <c r="BF425" s="405" t="str">
        <f t="shared" si="1497"/>
        <v/>
      </c>
      <c r="BG425" s="405" t="str">
        <f t="shared" si="1497"/>
        <v/>
      </c>
      <c r="BH425" s="405" t="str">
        <f t="shared" si="1497"/>
        <v/>
      </c>
      <c r="BI425" s="405" t="str">
        <f t="shared" si="1497"/>
        <v/>
      </c>
      <c r="BJ425" s="405" t="str">
        <f t="shared" si="1497"/>
        <v/>
      </c>
      <c r="BK425" s="405" t="str">
        <f t="shared" si="1497"/>
        <v/>
      </c>
      <c r="BL425" s="405" t="str">
        <f t="shared" si="1497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491"/>
        <v/>
      </c>
      <c r="CF425" s="1111" t="str">
        <f t="shared" si="1491"/>
        <v/>
      </c>
      <c r="CG425" s="1111" t="str">
        <f t="shared" si="1491"/>
        <v/>
      </c>
      <c r="CH425" s="1111" t="str">
        <f t="shared" si="1491"/>
        <v/>
      </c>
      <c r="CI425" s="1111" t="str">
        <f t="shared" si="1491"/>
        <v/>
      </c>
      <c r="CJ425" s="1111" t="str">
        <f t="shared" si="1491"/>
        <v/>
      </c>
      <c r="CK425" s="1112" t="str">
        <f t="shared" si="1491"/>
        <v/>
      </c>
      <c r="CL425" s="1112" t="str">
        <f t="shared" si="1491"/>
        <v/>
      </c>
      <c r="CM425" s="1112" t="str">
        <f t="shared" si="1491"/>
        <v/>
      </c>
      <c r="CN425" s="1111" t="str">
        <f t="shared" si="1491"/>
        <v/>
      </c>
      <c r="CO425" s="1111" t="str">
        <f t="shared" si="1491"/>
        <v/>
      </c>
      <c r="CP425" s="1111" t="str">
        <f t="shared" si="1491"/>
        <v/>
      </c>
      <c r="CQ425" s="1111" t="str">
        <f t="shared" si="1491"/>
        <v/>
      </c>
      <c r="CR425" s="1111" t="str">
        <f t="shared" si="1491"/>
        <v/>
      </c>
      <c r="CS425" s="1110" t="str">
        <f t="shared" si="1491"/>
        <v/>
      </c>
      <c r="CT425" s="1113" t="str">
        <f t="shared" si="1491"/>
        <v/>
      </c>
      <c r="CU425" s="324" t="str">
        <f t="shared" si="1492"/>
        <v/>
      </c>
      <c r="CV425" s="325" t="str">
        <f t="shared" si="1492"/>
        <v/>
      </c>
      <c r="CW425" s="326" t="str">
        <f t="shared" si="1492"/>
        <v/>
      </c>
      <c r="CX425" s="326" t="str">
        <f t="shared" si="1492"/>
        <v/>
      </c>
      <c r="CY425" s="326" t="str">
        <f t="shared" si="1492"/>
        <v/>
      </c>
      <c r="CZ425" s="326" t="str">
        <f t="shared" si="1492"/>
        <v/>
      </c>
      <c r="DA425" s="326" t="str">
        <f t="shared" si="1492"/>
        <v/>
      </c>
      <c r="DB425" s="327" t="str">
        <f t="shared" si="1492"/>
        <v/>
      </c>
      <c r="DC425" s="327" t="str">
        <f t="shared" si="1492"/>
        <v/>
      </c>
      <c r="DD425" s="327" t="str">
        <f t="shared" si="1492"/>
        <v/>
      </c>
      <c r="DE425" s="326" t="str">
        <f t="shared" si="1493"/>
        <v/>
      </c>
      <c r="DF425" s="326" t="str">
        <f t="shared" si="1493"/>
        <v/>
      </c>
      <c r="DG425" s="326" t="str">
        <f t="shared" si="1493"/>
        <v/>
      </c>
      <c r="DH425" s="326" t="str">
        <f t="shared" si="1493"/>
        <v/>
      </c>
      <c r="DI425" s="326" t="str">
        <f t="shared" si="1493"/>
        <v/>
      </c>
      <c r="DJ425" s="325" t="str">
        <f t="shared" si="1493"/>
        <v/>
      </c>
      <c r="DK425" s="324" t="str">
        <f t="shared" si="1493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4"/>
      <c r="CE426" s="1134"/>
      <c r="CF426" s="1134"/>
      <c r="CG426" s="1134"/>
      <c r="CH426" s="1134"/>
      <c r="CI426" s="1134"/>
      <c r="CJ426" s="1134"/>
      <c r="CK426" s="1134"/>
      <c r="CL426" s="1134"/>
      <c r="CM426" s="1134"/>
      <c r="CN426" s="1134"/>
      <c r="CO426" s="1134"/>
      <c r="CP426" s="1134"/>
      <c r="CQ426" s="1134"/>
      <c r="CR426" s="1134"/>
      <c r="CS426" s="1134"/>
      <c r="CT426" s="1135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4"/>
      <c r="CE427" s="1154"/>
      <c r="CF427" s="1154"/>
      <c r="CG427" s="1154"/>
      <c r="CH427" s="1154"/>
      <c r="CI427" s="1154"/>
      <c r="CJ427" s="1154"/>
      <c r="CK427" s="1154"/>
      <c r="CL427" s="1154"/>
      <c r="CM427" s="1154"/>
      <c r="CN427" s="1154"/>
      <c r="CO427" s="1154"/>
      <c r="CP427" s="1154"/>
      <c r="CQ427" s="1154"/>
      <c r="CR427" s="1154"/>
      <c r="CS427" s="1154"/>
      <c r="CT427" s="1155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4"/>
      <c r="CE428" s="1134"/>
      <c r="CF428" s="1134"/>
      <c r="CG428" s="1134"/>
      <c r="CH428" s="1134"/>
      <c r="CI428" s="1134"/>
      <c r="CJ428" s="1134"/>
      <c r="CK428" s="1134"/>
      <c r="CL428" s="1134"/>
      <c r="CM428" s="1134"/>
      <c r="CN428" s="1134"/>
      <c r="CO428" s="1134"/>
      <c r="CP428" s="1134"/>
      <c r="CQ428" s="1134"/>
      <c r="CR428" s="1134"/>
      <c r="CS428" s="1134"/>
      <c r="CT428" s="1135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498">IF(DL429&lt;3,"",(SUM(B429:R429)-MIN(B429:R429)-MAX(B429:R429))/(DL429-2))</f>
        <v/>
      </c>
      <c r="CA429" s="373" t="str">
        <f t="shared" ref="CA429:CA437" si="1499">IF(DM429&lt;3,"",(SUM(T429:AJ429)-MIN(T429:AJ429)-MAX(T429:AJ429))/(DM429-2))</f>
        <v/>
      </c>
      <c r="CB429" s="373" t="str">
        <f t="shared" ref="CB429:CB437" si="1500">IF(DN429&lt;3,"",(SUM(AL429:BB429)-MIN(AL429:BB429)-MAX(AL429:BB429))/(DN429-2))</f>
        <v/>
      </c>
      <c r="CC429" s="462" t="str">
        <f t="shared" ref="CC429:CC437" si="1501">IF(DO429&lt;3,"",(SUM(BD429:BT429)-MIN(BD429:BT429)-MAX(BD429:BT429))/(DO429-2))</f>
        <v/>
      </c>
      <c r="CD429" s="1109" t="str">
        <f t="shared" ref="CD429:CD435" si="15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0" t="str">
        <f t="shared" ref="CE429:CE435" si="15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1" t="str">
        <f t="shared" ref="CF429:CF435" si="15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1" t="str">
        <f t="shared" ref="CG429:CG435" si="15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1" t="str">
        <f t="shared" ref="CH429:CH435" si="15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1" t="str">
        <f t="shared" ref="CI429:CI435" si="15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1" t="str">
        <f t="shared" ref="CJ429:CJ435" si="15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2" t="str">
        <f t="shared" ref="CK429:CK435" si="15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2" t="str">
        <f t="shared" ref="CL429:CL435" si="15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2" t="str">
        <f t="shared" ref="CM429:CM435" si="15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1" t="str">
        <f t="shared" ref="CN429:CN435" si="15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1" t="str">
        <f t="shared" ref="CO429:CO435" si="15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1" t="str">
        <f t="shared" ref="CP429:CP435" si="15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1" t="str">
        <f t="shared" ref="CQ429:CQ435" si="15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1" t="str">
        <f t="shared" ref="CR429:CR435" si="15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0" t="str">
        <f t="shared" ref="CS429:CS435" si="15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3" t="str">
        <f t="shared" ref="CT429:CT435" si="15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536">IF(B427="","",B427*B429)</f>
        <v/>
      </c>
      <c r="C430" s="405" t="str">
        <f t="shared" si="1536"/>
        <v/>
      </c>
      <c r="D430" s="405" t="str">
        <f t="shared" si="1536"/>
        <v/>
      </c>
      <c r="E430" s="405" t="str">
        <f t="shared" si="1536"/>
        <v/>
      </c>
      <c r="F430" s="405" t="str">
        <f t="shared" si="1536"/>
        <v/>
      </c>
      <c r="G430" s="405" t="str">
        <f t="shared" si="1536"/>
        <v/>
      </c>
      <c r="H430" s="405" t="str">
        <f t="shared" si="1536"/>
        <v/>
      </c>
      <c r="I430" s="405" t="str">
        <f t="shared" si="1536"/>
        <v/>
      </c>
      <c r="J430" s="405" t="str">
        <f t="shared" si="1536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537">IF(T427="","",T427*T429)</f>
        <v/>
      </c>
      <c r="U430" s="405" t="str">
        <f t="shared" si="1537"/>
        <v/>
      </c>
      <c r="V430" s="405" t="str">
        <f t="shared" si="1537"/>
        <v/>
      </c>
      <c r="W430" s="405" t="str">
        <f t="shared" si="1537"/>
        <v/>
      </c>
      <c r="X430" s="405" t="str">
        <f t="shared" si="1537"/>
        <v/>
      </c>
      <c r="Y430" s="405" t="str">
        <f t="shared" si="1537"/>
        <v/>
      </c>
      <c r="Z430" s="405" t="str">
        <f t="shared" si="1537"/>
        <v/>
      </c>
      <c r="AA430" s="405" t="str">
        <f t="shared" si="1537"/>
        <v/>
      </c>
      <c r="AB430" s="405" t="str">
        <f t="shared" si="1537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538">IF(AL427="","",AL427*AL429)</f>
        <v/>
      </c>
      <c r="AM430" s="405" t="str">
        <f t="shared" si="1538"/>
        <v/>
      </c>
      <c r="AN430" s="405" t="str">
        <f t="shared" si="1538"/>
        <v/>
      </c>
      <c r="AO430" s="405" t="str">
        <f t="shared" si="1538"/>
        <v/>
      </c>
      <c r="AP430" s="405" t="str">
        <f t="shared" si="1538"/>
        <v/>
      </c>
      <c r="AQ430" s="405" t="str">
        <f t="shared" si="1538"/>
        <v/>
      </c>
      <c r="AR430" s="405" t="str">
        <f t="shared" si="1538"/>
        <v/>
      </c>
      <c r="AS430" s="405" t="str">
        <f t="shared" si="1538"/>
        <v/>
      </c>
      <c r="AT430" s="405" t="str">
        <f t="shared" si="1538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498"/>
        <v/>
      </c>
      <c r="CA430" s="373" t="str">
        <f t="shared" si="1499"/>
        <v/>
      </c>
      <c r="CB430" s="373" t="str">
        <f t="shared" si="1500"/>
        <v/>
      </c>
      <c r="CC430" s="462" t="str">
        <f t="shared" si="1501"/>
        <v/>
      </c>
      <c r="CD430" s="1109" t="str">
        <f t="shared" si="1502"/>
        <v/>
      </c>
      <c r="CE430" s="1110" t="str">
        <f t="shared" si="1503"/>
        <v/>
      </c>
      <c r="CF430" s="1111" t="str">
        <f t="shared" si="1504"/>
        <v/>
      </c>
      <c r="CG430" s="1111" t="str">
        <f t="shared" si="1505"/>
        <v/>
      </c>
      <c r="CH430" s="1111" t="str">
        <f t="shared" si="1506"/>
        <v/>
      </c>
      <c r="CI430" s="1111" t="str">
        <f t="shared" si="1507"/>
        <v/>
      </c>
      <c r="CJ430" s="1111" t="str">
        <f t="shared" si="1508"/>
        <v/>
      </c>
      <c r="CK430" s="1112" t="str">
        <f t="shared" si="1509"/>
        <v/>
      </c>
      <c r="CL430" s="1112" t="str">
        <f t="shared" si="1510"/>
        <v/>
      </c>
      <c r="CM430" s="1112" t="str">
        <f t="shared" si="1511"/>
        <v/>
      </c>
      <c r="CN430" s="1111" t="str">
        <f t="shared" si="1512"/>
        <v/>
      </c>
      <c r="CO430" s="1111" t="str">
        <f t="shared" si="1513"/>
        <v/>
      </c>
      <c r="CP430" s="1111" t="str">
        <f t="shared" si="1514"/>
        <v/>
      </c>
      <c r="CQ430" s="1111" t="str">
        <f t="shared" si="1515"/>
        <v/>
      </c>
      <c r="CR430" s="1111" t="str">
        <f t="shared" si="1516"/>
        <v/>
      </c>
      <c r="CS430" s="1110" t="str">
        <f t="shared" si="1517"/>
        <v/>
      </c>
      <c r="CT430" s="1113" t="str">
        <f t="shared" si="1518"/>
        <v/>
      </c>
      <c r="CU430" s="324" t="str">
        <f t="shared" si="1519"/>
        <v/>
      </c>
      <c r="CV430" s="325" t="str">
        <f t="shared" si="1520"/>
        <v/>
      </c>
      <c r="CW430" s="326" t="str">
        <f t="shared" si="1521"/>
        <v/>
      </c>
      <c r="CX430" s="326" t="str">
        <f t="shared" si="1522"/>
        <v/>
      </c>
      <c r="CY430" s="326" t="str">
        <f t="shared" si="1523"/>
        <v/>
      </c>
      <c r="CZ430" s="326" t="str">
        <f t="shared" si="1524"/>
        <v/>
      </c>
      <c r="DA430" s="326" t="str">
        <f t="shared" si="1525"/>
        <v/>
      </c>
      <c r="DB430" s="327" t="str">
        <f t="shared" si="1526"/>
        <v/>
      </c>
      <c r="DC430" s="327" t="str">
        <f t="shared" si="1527"/>
        <v/>
      </c>
      <c r="DD430" s="327" t="str">
        <f t="shared" si="1528"/>
        <v/>
      </c>
      <c r="DE430" s="326" t="str">
        <f t="shared" si="1529"/>
        <v/>
      </c>
      <c r="DF430" s="326" t="str">
        <f t="shared" si="1530"/>
        <v/>
      </c>
      <c r="DG430" s="326" t="str">
        <f t="shared" si="1531"/>
        <v/>
      </c>
      <c r="DH430" s="326" t="str">
        <f t="shared" si="1532"/>
        <v/>
      </c>
      <c r="DI430" s="326" t="str">
        <f t="shared" si="1533"/>
        <v/>
      </c>
      <c r="DJ430" s="325" t="str">
        <f t="shared" si="1534"/>
        <v/>
      </c>
      <c r="DK430" s="324" t="str">
        <f t="shared" si="1535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498"/>
        <v/>
      </c>
      <c r="CA431" s="373" t="str">
        <f t="shared" si="1499"/>
        <v/>
      </c>
      <c r="CB431" s="373" t="str">
        <f t="shared" si="1500"/>
        <v/>
      </c>
      <c r="CC431" s="462" t="str">
        <f t="shared" si="1501"/>
        <v/>
      </c>
      <c r="CD431" s="1109" t="str">
        <f t="shared" si="1502"/>
        <v/>
      </c>
      <c r="CE431" s="1110" t="str">
        <f t="shared" si="1503"/>
        <v/>
      </c>
      <c r="CF431" s="1111" t="str">
        <f t="shared" si="1504"/>
        <v/>
      </c>
      <c r="CG431" s="1111" t="str">
        <f t="shared" si="1505"/>
        <v/>
      </c>
      <c r="CH431" s="1111" t="str">
        <f t="shared" si="1506"/>
        <v/>
      </c>
      <c r="CI431" s="1111" t="str">
        <f t="shared" si="1507"/>
        <v/>
      </c>
      <c r="CJ431" s="1111" t="str">
        <f t="shared" si="1508"/>
        <v/>
      </c>
      <c r="CK431" s="1112" t="str">
        <f t="shared" si="1509"/>
        <v/>
      </c>
      <c r="CL431" s="1112" t="str">
        <f t="shared" si="1510"/>
        <v/>
      </c>
      <c r="CM431" s="1112" t="str">
        <f t="shared" si="1511"/>
        <v/>
      </c>
      <c r="CN431" s="1111" t="str">
        <f t="shared" si="1512"/>
        <v/>
      </c>
      <c r="CO431" s="1111" t="str">
        <f t="shared" si="1513"/>
        <v/>
      </c>
      <c r="CP431" s="1111" t="str">
        <f t="shared" si="1514"/>
        <v/>
      </c>
      <c r="CQ431" s="1111" t="str">
        <f t="shared" si="1515"/>
        <v/>
      </c>
      <c r="CR431" s="1111" t="str">
        <f t="shared" si="1516"/>
        <v/>
      </c>
      <c r="CS431" s="1110" t="str">
        <f t="shared" si="1517"/>
        <v/>
      </c>
      <c r="CT431" s="1113" t="str">
        <f t="shared" si="1518"/>
        <v/>
      </c>
      <c r="CU431" s="324" t="str">
        <f t="shared" si="1519"/>
        <v/>
      </c>
      <c r="CV431" s="325" t="str">
        <f t="shared" si="1520"/>
        <v/>
      </c>
      <c r="CW431" s="326" t="str">
        <f t="shared" si="1521"/>
        <v/>
      </c>
      <c r="CX431" s="326" t="str">
        <f t="shared" si="1522"/>
        <v/>
      </c>
      <c r="CY431" s="326" t="str">
        <f t="shared" si="1523"/>
        <v/>
      </c>
      <c r="CZ431" s="326" t="str">
        <f t="shared" si="1524"/>
        <v/>
      </c>
      <c r="DA431" s="326" t="str">
        <f t="shared" si="1525"/>
        <v/>
      </c>
      <c r="DB431" s="327" t="str">
        <f t="shared" si="1526"/>
        <v/>
      </c>
      <c r="DC431" s="327" t="str">
        <f t="shared" si="1527"/>
        <v/>
      </c>
      <c r="DD431" s="327" t="str">
        <f t="shared" si="1528"/>
        <v/>
      </c>
      <c r="DE431" s="326" t="str">
        <f t="shared" si="1529"/>
        <v/>
      </c>
      <c r="DF431" s="326" t="str">
        <f t="shared" si="1530"/>
        <v/>
      </c>
      <c r="DG431" s="326" t="str">
        <f t="shared" si="1531"/>
        <v/>
      </c>
      <c r="DH431" s="326" t="str">
        <f t="shared" si="1532"/>
        <v/>
      </c>
      <c r="DI431" s="326" t="str">
        <f t="shared" si="1533"/>
        <v/>
      </c>
      <c r="DJ431" s="325" t="str">
        <f t="shared" si="1534"/>
        <v/>
      </c>
      <c r="DK431" s="324" t="str">
        <f t="shared" si="1535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498"/>
        <v/>
      </c>
      <c r="CA432" s="373" t="str">
        <f t="shared" si="1499"/>
        <v/>
      </c>
      <c r="CB432" s="373" t="str">
        <f t="shared" si="1500"/>
        <v/>
      </c>
      <c r="CC432" s="462" t="str">
        <f t="shared" si="1501"/>
        <v/>
      </c>
      <c r="CD432" s="1109" t="str">
        <f t="shared" si="1502"/>
        <v/>
      </c>
      <c r="CE432" s="1110" t="str">
        <f t="shared" si="1503"/>
        <v/>
      </c>
      <c r="CF432" s="1111" t="str">
        <f t="shared" si="1504"/>
        <v/>
      </c>
      <c r="CG432" s="1111" t="str">
        <f t="shared" si="1505"/>
        <v/>
      </c>
      <c r="CH432" s="1111" t="str">
        <f t="shared" si="1506"/>
        <v/>
      </c>
      <c r="CI432" s="1111" t="str">
        <f t="shared" si="1507"/>
        <v/>
      </c>
      <c r="CJ432" s="1111" t="str">
        <f t="shared" si="1508"/>
        <v/>
      </c>
      <c r="CK432" s="1112" t="str">
        <f t="shared" si="1509"/>
        <v/>
      </c>
      <c r="CL432" s="1112" t="str">
        <f t="shared" si="1510"/>
        <v/>
      </c>
      <c r="CM432" s="1112" t="str">
        <f t="shared" si="1511"/>
        <v/>
      </c>
      <c r="CN432" s="1111" t="str">
        <f t="shared" si="1512"/>
        <v/>
      </c>
      <c r="CO432" s="1111" t="str">
        <f t="shared" si="1513"/>
        <v/>
      </c>
      <c r="CP432" s="1111" t="str">
        <f t="shared" si="1514"/>
        <v/>
      </c>
      <c r="CQ432" s="1111" t="str">
        <f t="shared" si="1515"/>
        <v/>
      </c>
      <c r="CR432" s="1111" t="str">
        <f t="shared" si="1516"/>
        <v/>
      </c>
      <c r="CS432" s="1110" t="str">
        <f t="shared" si="1517"/>
        <v/>
      </c>
      <c r="CT432" s="1113" t="str">
        <f t="shared" si="1518"/>
        <v/>
      </c>
      <c r="CU432" s="324" t="str">
        <f t="shared" si="1519"/>
        <v/>
      </c>
      <c r="CV432" s="325" t="str">
        <f t="shared" si="1520"/>
        <v/>
      </c>
      <c r="CW432" s="326" t="str">
        <f t="shared" si="1521"/>
        <v/>
      </c>
      <c r="CX432" s="326" t="str">
        <f t="shared" si="1522"/>
        <v/>
      </c>
      <c r="CY432" s="326" t="str">
        <f t="shared" si="1523"/>
        <v/>
      </c>
      <c r="CZ432" s="326" t="str">
        <f t="shared" si="1524"/>
        <v/>
      </c>
      <c r="DA432" s="326" t="str">
        <f t="shared" si="1525"/>
        <v/>
      </c>
      <c r="DB432" s="327" t="str">
        <f t="shared" si="1526"/>
        <v/>
      </c>
      <c r="DC432" s="327" t="str">
        <f t="shared" si="1527"/>
        <v/>
      </c>
      <c r="DD432" s="327" t="str">
        <f t="shared" si="1528"/>
        <v/>
      </c>
      <c r="DE432" s="326" t="str">
        <f t="shared" si="1529"/>
        <v/>
      </c>
      <c r="DF432" s="326" t="str">
        <f t="shared" si="1530"/>
        <v/>
      </c>
      <c r="DG432" s="326" t="str">
        <f t="shared" si="1531"/>
        <v/>
      </c>
      <c r="DH432" s="326" t="str">
        <f t="shared" si="1532"/>
        <v/>
      </c>
      <c r="DI432" s="326" t="str">
        <f t="shared" si="1533"/>
        <v/>
      </c>
      <c r="DJ432" s="325" t="str">
        <f t="shared" si="1534"/>
        <v/>
      </c>
      <c r="DK432" s="324" t="str">
        <f t="shared" si="1535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498"/>
        <v/>
      </c>
      <c r="CA433" s="373" t="str">
        <f t="shared" si="1499"/>
        <v/>
      </c>
      <c r="CB433" s="373" t="str">
        <f t="shared" si="1500"/>
        <v/>
      </c>
      <c r="CC433" s="462" t="str">
        <f t="shared" si="1501"/>
        <v/>
      </c>
      <c r="CD433" s="1109" t="str">
        <f t="shared" si="1502"/>
        <v/>
      </c>
      <c r="CE433" s="1110" t="str">
        <f t="shared" si="1503"/>
        <v/>
      </c>
      <c r="CF433" s="1111" t="str">
        <f t="shared" si="1504"/>
        <v/>
      </c>
      <c r="CG433" s="1111" t="str">
        <f t="shared" si="1505"/>
        <v/>
      </c>
      <c r="CH433" s="1111" t="str">
        <f t="shared" si="1506"/>
        <v/>
      </c>
      <c r="CI433" s="1111" t="str">
        <f t="shared" si="1507"/>
        <v/>
      </c>
      <c r="CJ433" s="1111" t="str">
        <f t="shared" si="1508"/>
        <v/>
      </c>
      <c r="CK433" s="1112" t="str">
        <f t="shared" si="1509"/>
        <v/>
      </c>
      <c r="CL433" s="1112" t="str">
        <f t="shared" si="1510"/>
        <v/>
      </c>
      <c r="CM433" s="1112" t="str">
        <f t="shared" si="1511"/>
        <v/>
      </c>
      <c r="CN433" s="1111" t="str">
        <f t="shared" si="1512"/>
        <v/>
      </c>
      <c r="CO433" s="1111" t="str">
        <f t="shared" si="1513"/>
        <v/>
      </c>
      <c r="CP433" s="1111" t="str">
        <f t="shared" si="1514"/>
        <v/>
      </c>
      <c r="CQ433" s="1111" t="str">
        <f t="shared" si="1515"/>
        <v/>
      </c>
      <c r="CR433" s="1111" t="str">
        <f t="shared" si="1516"/>
        <v/>
      </c>
      <c r="CS433" s="1110" t="str">
        <f t="shared" si="1517"/>
        <v/>
      </c>
      <c r="CT433" s="1113" t="str">
        <f t="shared" si="1518"/>
        <v/>
      </c>
      <c r="CU433" s="324" t="str">
        <f t="shared" si="1519"/>
        <v/>
      </c>
      <c r="CV433" s="325" t="str">
        <f t="shared" si="1520"/>
        <v/>
      </c>
      <c r="CW433" s="326" t="str">
        <f t="shared" si="1521"/>
        <v/>
      </c>
      <c r="CX433" s="326" t="str">
        <f t="shared" si="1522"/>
        <v/>
      </c>
      <c r="CY433" s="326" t="str">
        <f t="shared" si="1523"/>
        <v/>
      </c>
      <c r="CZ433" s="326" t="str">
        <f t="shared" si="1524"/>
        <v/>
      </c>
      <c r="DA433" s="326" t="str">
        <f t="shared" si="1525"/>
        <v/>
      </c>
      <c r="DB433" s="327" t="str">
        <f t="shared" si="1526"/>
        <v/>
      </c>
      <c r="DC433" s="327" t="str">
        <f t="shared" si="1527"/>
        <v/>
      </c>
      <c r="DD433" s="327" t="str">
        <f t="shared" si="1528"/>
        <v/>
      </c>
      <c r="DE433" s="326" t="str">
        <f t="shared" si="1529"/>
        <v/>
      </c>
      <c r="DF433" s="326" t="str">
        <f t="shared" si="1530"/>
        <v/>
      </c>
      <c r="DG433" s="326" t="str">
        <f t="shared" si="1531"/>
        <v/>
      </c>
      <c r="DH433" s="326" t="str">
        <f t="shared" si="1532"/>
        <v/>
      </c>
      <c r="DI433" s="326" t="str">
        <f t="shared" si="1533"/>
        <v/>
      </c>
      <c r="DJ433" s="325" t="str">
        <f t="shared" si="1534"/>
        <v/>
      </c>
      <c r="DK433" s="324" t="str">
        <f t="shared" si="1535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498"/>
        <v>0</v>
      </c>
      <c r="CA434" s="373">
        <f t="shared" si="1499"/>
        <v>0</v>
      </c>
      <c r="CB434" s="373">
        <f t="shared" si="1500"/>
        <v>0</v>
      </c>
      <c r="CC434" s="462">
        <f t="shared" si="1501"/>
        <v>0</v>
      </c>
      <c r="CD434" s="1109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0" t="str">
        <f t="shared" ref="CE434:CT434" si="15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1" t="str">
        <f t="shared" si="1539"/>
        <v/>
      </c>
      <c r="CG434" s="1111" t="str">
        <f t="shared" si="1539"/>
        <v/>
      </c>
      <c r="CH434" s="1111">
        <f t="shared" si="1539"/>
        <v>0</v>
      </c>
      <c r="CI434" s="1111">
        <f t="shared" si="1539"/>
        <v>0</v>
      </c>
      <c r="CJ434" s="1111">
        <f t="shared" si="1539"/>
        <v>0</v>
      </c>
      <c r="CK434" s="1112">
        <f t="shared" si="1539"/>
        <v>0</v>
      </c>
      <c r="CL434" s="1112">
        <f t="shared" si="1539"/>
        <v>0</v>
      </c>
      <c r="CM434" s="1112">
        <f t="shared" si="1539"/>
        <v>0</v>
      </c>
      <c r="CN434" s="1111">
        <f t="shared" si="1539"/>
        <v>0</v>
      </c>
      <c r="CO434" s="1111">
        <f t="shared" si="1539"/>
        <v>0</v>
      </c>
      <c r="CP434" s="1111">
        <f t="shared" si="1539"/>
        <v>0</v>
      </c>
      <c r="CQ434" s="1111" t="str">
        <f t="shared" si="1539"/>
        <v/>
      </c>
      <c r="CR434" s="1111" t="str">
        <f t="shared" si="1539"/>
        <v/>
      </c>
      <c r="CS434" s="1110" t="str">
        <f t="shared" si="1539"/>
        <v/>
      </c>
      <c r="CT434" s="1113" t="str">
        <f t="shared" si="1539"/>
        <v/>
      </c>
      <c r="CU434" s="324" t="str">
        <f t="shared" si="1519"/>
        <v/>
      </c>
      <c r="CV434" s="325" t="str">
        <f t="shared" si="1520"/>
        <v/>
      </c>
      <c r="CW434" s="326" t="str">
        <f t="shared" si="1521"/>
        <v/>
      </c>
      <c r="CX434" s="326" t="str">
        <f t="shared" si="1522"/>
        <v/>
      </c>
      <c r="CY434" s="326">
        <f t="shared" si="1523"/>
        <v>0</v>
      </c>
      <c r="CZ434" s="326">
        <f t="shared" si="1524"/>
        <v>0</v>
      </c>
      <c r="DA434" s="326">
        <f t="shared" si="1525"/>
        <v>0</v>
      </c>
      <c r="DB434" s="327">
        <f t="shared" si="1526"/>
        <v>0</v>
      </c>
      <c r="DC434" s="327">
        <f t="shared" si="1527"/>
        <v>0</v>
      </c>
      <c r="DD434" s="327">
        <f t="shared" si="1528"/>
        <v>0</v>
      </c>
      <c r="DE434" s="326">
        <f t="shared" si="1529"/>
        <v>0</v>
      </c>
      <c r="DF434" s="326">
        <f t="shared" si="1530"/>
        <v>0</v>
      </c>
      <c r="DG434" s="326">
        <f t="shared" si="1531"/>
        <v>0</v>
      </c>
      <c r="DH434" s="326" t="str">
        <f t="shared" si="1532"/>
        <v/>
      </c>
      <c r="DI434" s="326" t="str">
        <f t="shared" si="1533"/>
        <v/>
      </c>
      <c r="DJ434" s="325" t="str">
        <f t="shared" si="1534"/>
        <v/>
      </c>
      <c r="DK434" s="324" t="str">
        <f t="shared" si="1535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498"/>
        <v/>
      </c>
      <c r="CA435" s="373" t="str">
        <f t="shared" si="1499"/>
        <v/>
      </c>
      <c r="CB435" s="373" t="str">
        <f t="shared" si="1500"/>
        <v/>
      </c>
      <c r="CC435" s="462" t="str">
        <f t="shared" si="1501"/>
        <v/>
      </c>
      <c r="CD435" s="1109" t="str">
        <f t="shared" si="1502"/>
        <v/>
      </c>
      <c r="CE435" s="1110" t="str">
        <f t="shared" si="1503"/>
        <v/>
      </c>
      <c r="CF435" s="1111" t="str">
        <f t="shared" si="1504"/>
        <v/>
      </c>
      <c r="CG435" s="1111" t="str">
        <f t="shared" si="1505"/>
        <v/>
      </c>
      <c r="CH435" s="1111" t="str">
        <f t="shared" si="1506"/>
        <v/>
      </c>
      <c r="CI435" s="1111" t="str">
        <f t="shared" si="1507"/>
        <v/>
      </c>
      <c r="CJ435" s="1111" t="str">
        <f t="shared" si="1508"/>
        <v/>
      </c>
      <c r="CK435" s="1112" t="str">
        <f t="shared" si="1509"/>
        <v/>
      </c>
      <c r="CL435" s="1112" t="str">
        <f t="shared" si="1510"/>
        <v/>
      </c>
      <c r="CM435" s="1112" t="str">
        <f t="shared" si="1511"/>
        <v/>
      </c>
      <c r="CN435" s="1111" t="str">
        <f t="shared" si="1512"/>
        <v/>
      </c>
      <c r="CO435" s="1111" t="str">
        <f t="shared" si="1513"/>
        <v/>
      </c>
      <c r="CP435" s="1111" t="str">
        <f t="shared" si="1514"/>
        <v/>
      </c>
      <c r="CQ435" s="1111" t="str">
        <f t="shared" si="1515"/>
        <v/>
      </c>
      <c r="CR435" s="1111" t="str">
        <f t="shared" si="1516"/>
        <v/>
      </c>
      <c r="CS435" s="1110" t="str">
        <f t="shared" si="1517"/>
        <v/>
      </c>
      <c r="CT435" s="1113" t="str">
        <f t="shared" si="1518"/>
        <v/>
      </c>
      <c r="CU435" s="324" t="str">
        <f t="shared" si="1519"/>
        <v/>
      </c>
      <c r="CV435" s="325" t="str">
        <f t="shared" si="1520"/>
        <v/>
      </c>
      <c r="CW435" s="326" t="str">
        <f t="shared" si="1521"/>
        <v/>
      </c>
      <c r="CX435" s="326" t="str">
        <f t="shared" si="1522"/>
        <v/>
      </c>
      <c r="CY435" s="326" t="str">
        <f t="shared" si="1523"/>
        <v/>
      </c>
      <c r="CZ435" s="326" t="str">
        <f t="shared" si="1524"/>
        <v/>
      </c>
      <c r="DA435" s="326" t="str">
        <f t="shared" si="1525"/>
        <v/>
      </c>
      <c r="DB435" s="327" t="str">
        <f t="shared" si="1526"/>
        <v/>
      </c>
      <c r="DC435" s="327" t="str">
        <f t="shared" si="1527"/>
        <v/>
      </c>
      <c r="DD435" s="327" t="str">
        <f t="shared" si="1528"/>
        <v/>
      </c>
      <c r="DE435" s="326" t="str">
        <f t="shared" si="1529"/>
        <v/>
      </c>
      <c r="DF435" s="326" t="str">
        <f t="shared" si="1530"/>
        <v/>
      </c>
      <c r="DG435" s="326" t="str">
        <f t="shared" si="1531"/>
        <v/>
      </c>
      <c r="DH435" s="326" t="str">
        <f t="shared" si="1532"/>
        <v/>
      </c>
      <c r="DI435" s="326" t="str">
        <f t="shared" si="1533"/>
        <v/>
      </c>
      <c r="DJ435" s="325" t="str">
        <f t="shared" si="1534"/>
        <v/>
      </c>
      <c r="DK435" s="324" t="str">
        <f t="shared" si="1535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498"/>
        <v>0</v>
      </c>
      <c r="CA436" s="398">
        <f t="shared" si="1499"/>
        <v>0</v>
      </c>
      <c r="CB436" s="398">
        <f t="shared" si="1500"/>
        <v>0</v>
      </c>
      <c r="CC436" s="465">
        <f t="shared" si="1501"/>
        <v>0</v>
      </c>
      <c r="CD436" s="1114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5" t="str">
        <f t="shared" ref="CE436:CT436" si="15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6" t="str">
        <f t="shared" si="1540"/>
        <v/>
      </c>
      <c r="CG436" s="1116" t="str">
        <f t="shared" si="1540"/>
        <v/>
      </c>
      <c r="CH436" s="1116">
        <f t="shared" si="1540"/>
        <v>0</v>
      </c>
      <c r="CI436" s="1116">
        <f t="shared" si="1540"/>
        <v>0</v>
      </c>
      <c r="CJ436" s="1116">
        <f t="shared" si="1540"/>
        <v>0</v>
      </c>
      <c r="CK436" s="1117">
        <f t="shared" si="1540"/>
        <v>0</v>
      </c>
      <c r="CL436" s="1117">
        <f t="shared" si="1540"/>
        <v>0</v>
      </c>
      <c r="CM436" s="1117">
        <f t="shared" si="1540"/>
        <v>0</v>
      </c>
      <c r="CN436" s="1116">
        <f t="shared" si="1540"/>
        <v>0</v>
      </c>
      <c r="CO436" s="1116">
        <f t="shared" si="1540"/>
        <v>0</v>
      </c>
      <c r="CP436" s="1116">
        <f t="shared" si="1540"/>
        <v>0</v>
      </c>
      <c r="CQ436" s="1116" t="str">
        <f t="shared" si="1540"/>
        <v/>
      </c>
      <c r="CR436" s="1116" t="str">
        <f t="shared" si="1540"/>
        <v/>
      </c>
      <c r="CS436" s="1115" t="str">
        <f t="shared" si="1540"/>
        <v/>
      </c>
      <c r="CT436" s="1118" t="str">
        <f t="shared" si="1540"/>
        <v/>
      </c>
      <c r="CU436" s="312" t="str">
        <f t="shared" si="1519"/>
        <v/>
      </c>
      <c r="CV436" s="313" t="str">
        <f t="shared" si="1520"/>
        <v/>
      </c>
      <c r="CW436" s="314" t="str">
        <f t="shared" si="1521"/>
        <v/>
      </c>
      <c r="CX436" s="314" t="str">
        <f t="shared" si="1522"/>
        <v/>
      </c>
      <c r="CY436" s="314">
        <f t="shared" si="1523"/>
        <v>0</v>
      </c>
      <c r="CZ436" s="314">
        <f t="shared" si="1524"/>
        <v>0</v>
      </c>
      <c r="DA436" s="314">
        <f t="shared" si="1525"/>
        <v>0</v>
      </c>
      <c r="DB436" s="315">
        <f t="shared" si="1526"/>
        <v>0</v>
      </c>
      <c r="DC436" s="315">
        <f t="shared" si="1527"/>
        <v>0</v>
      </c>
      <c r="DD436" s="315">
        <f t="shared" si="1528"/>
        <v>0</v>
      </c>
      <c r="DE436" s="314">
        <f t="shared" si="1529"/>
        <v>0</v>
      </c>
      <c r="DF436" s="314">
        <f t="shared" si="1530"/>
        <v>0</v>
      </c>
      <c r="DG436" s="314">
        <f t="shared" si="1531"/>
        <v>0</v>
      </c>
      <c r="DH436" s="314" t="str">
        <f t="shared" si="1532"/>
        <v/>
      </c>
      <c r="DI436" s="314" t="str">
        <f t="shared" si="1533"/>
        <v/>
      </c>
      <c r="DJ436" s="313" t="str">
        <f t="shared" si="1534"/>
        <v/>
      </c>
      <c r="DK436" s="312" t="str">
        <f t="shared" si="1535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498"/>
        <v/>
      </c>
      <c r="CA437" s="365" t="str">
        <f t="shared" si="1499"/>
        <v/>
      </c>
      <c r="CB437" s="365" t="str">
        <f t="shared" si="1500"/>
        <v/>
      </c>
      <c r="CC437" s="461" t="str">
        <f t="shared" si="1501"/>
        <v/>
      </c>
      <c r="CD437" s="1154"/>
      <c r="CE437" s="1154"/>
      <c r="CF437" s="1154"/>
      <c r="CG437" s="1154"/>
      <c r="CH437" s="1154"/>
      <c r="CI437" s="1154"/>
      <c r="CJ437" s="1154"/>
      <c r="CK437" s="1154"/>
      <c r="CL437" s="1154"/>
      <c r="CM437" s="1154"/>
      <c r="CN437" s="1154"/>
      <c r="CO437" s="1154"/>
      <c r="CP437" s="1154"/>
      <c r="CQ437" s="1154"/>
      <c r="CR437" s="1154"/>
      <c r="CS437" s="1154"/>
      <c r="CT437" s="1155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4"/>
      <c r="CE438" s="1134"/>
      <c r="CF438" s="1134"/>
      <c r="CG438" s="1134"/>
      <c r="CH438" s="1134"/>
      <c r="CI438" s="1134"/>
      <c r="CJ438" s="1134"/>
      <c r="CK438" s="1134"/>
      <c r="CL438" s="1134"/>
      <c r="CM438" s="1134"/>
      <c r="CN438" s="1134"/>
      <c r="CO438" s="1134"/>
      <c r="CP438" s="1134"/>
      <c r="CQ438" s="1134"/>
      <c r="CR438" s="1134"/>
      <c r="CS438" s="1134"/>
      <c r="CT438" s="1135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541">IF(DL439&lt;3,"",(SUM(B439:R439)-MIN(B439:R439)-MAX(B439:R439))/(DL439-2))</f>
        <v/>
      </c>
      <c r="CA439" s="373" t="str">
        <f t="shared" ref="CA439:CA519" si="1542">IF(DM439&lt;3,"",(SUM(T439:AJ439)-MIN(T439:AJ439)-MAX(T439:AJ439))/(DM439-2))</f>
        <v/>
      </c>
      <c r="CB439" s="373" t="str">
        <f t="shared" ref="CB439:CB519" si="1543">IF(DN439&lt;3,"",(SUM(AL439:BB439)-MIN(AL439:BB439)-MAX(AL439:BB439))/(DN439-2))</f>
        <v/>
      </c>
      <c r="CC439" s="462" t="str">
        <f t="shared" ref="CC439:CC519" si="1544">IF(DO439&lt;3,"",(SUM(BD439:BT439)-MIN(BD439:BT439)-MAX(BD439:BT439))/(DO439-2))</f>
        <v/>
      </c>
      <c r="CD439" s="1109" t="str">
        <f t="shared" ref="CD439:CM443" si="15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0" t="str">
        <f t="shared" si="1545"/>
        <v/>
      </c>
      <c r="CF439" s="1111" t="str">
        <f t="shared" si="1545"/>
        <v/>
      </c>
      <c r="CG439" s="1111" t="str">
        <f t="shared" si="1545"/>
        <v/>
      </c>
      <c r="CH439" s="1111" t="str">
        <f t="shared" si="1545"/>
        <v/>
      </c>
      <c r="CI439" s="1111" t="str">
        <f t="shared" si="1545"/>
        <v/>
      </c>
      <c r="CJ439" s="1111" t="str">
        <f t="shared" si="1545"/>
        <v/>
      </c>
      <c r="CK439" s="1112" t="str">
        <f t="shared" si="1545"/>
        <v/>
      </c>
      <c r="CL439" s="1112" t="str">
        <f t="shared" si="1545"/>
        <v/>
      </c>
      <c r="CM439" s="1112" t="str">
        <f t="shared" si="1545"/>
        <v/>
      </c>
      <c r="CN439" s="1111" t="str">
        <f t="shared" ref="CN439:CT443" si="15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1" t="str">
        <f t="shared" si="1546"/>
        <v/>
      </c>
      <c r="CP439" s="1111" t="str">
        <f t="shared" si="1546"/>
        <v/>
      </c>
      <c r="CQ439" s="1111" t="str">
        <f t="shared" si="1546"/>
        <v/>
      </c>
      <c r="CR439" s="1111" t="str">
        <f t="shared" si="1546"/>
        <v/>
      </c>
      <c r="CS439" s="1110" t="str">
        <f t="shared" si="1546"/>
        <v/>
      </c>
      <c r="CT439" s="1113" t="str">
        <f t="shared" si="1546"/>
        <v/>
      </c>
      <c r="CU439" s="324" t="str">
        <f t="shared" ref="CU439:CU446" si="15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564">IF(B437="","",B437*B439)</f>
        <v/>
      </c>
      <c r="C440" s="405" t="str">
        <f t="shared" si="1564"/>
        <v/>
      </c>
      <c r="D440" s="405" t="str">
        <f t="shared" si="1564"/>
        <v/>
      </c>
      <c r="E440" s="405" t="str">
        <f t="shared" si="1564"/>
        <v/>
      </c>
      <c r="F440" s="405" t="str">
        <f t="shared" si="1564"/>
        <v/>
      </c>
      <c r="G440" s="405" t="str">
        <f t="shared" si="1564"/>
        <v/>
      </c>
      <c r="H440" s="405" t="str">
        <f t="shared" si="1564"/>
        <v/>
      </c>
      <c r="I440" s="405" t="str">
        <f t="shared" si="1564"/>
        <v/>
      </c>
      <c r="J440" s="405" t="str">
        <f t="shared" si="1564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565">IF(T437="","",T437*T439)</f>
        <v/>
      </c>
      <c r="U440" s="405" t="str">
        <f t="shared" si="1565"/>
        <v/>
      </c>
      <c r="V440" s="405" t="str">
        <f t="shared" si="1565"/>
        <v/>
      </c>
      <c r="W440" s="405" t="str">
        <f t="shared" si="1565"/>
        <v/>
      </c>
      <c r="X440" s="405" t="str">
        <f t="shared" si="1565"/>
        <v/>
      </c>
      <c r="Y440" s="405" t="str">
        <f t="shared" si="1565"/>
        <v/>
      </c>
      <c r="Z440" s="405" t="str">
        <f t="shared" si="1565"/>
        <v/>
      </c>
      <c r="AA440" s="405" t="str">
        <f t="shared" si="1565"/>
        <v/>
      </c>
      <c r="AB440" s="405" t="str">
        <f t="shared" si="1565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566">IF(AL437="","",AL437*AL439)</f>
        <v/>
      </c>
      <c r="AM440" s="405" t="str">
        <f t="shared" si="1566"/>
        <v/>
      </c>
      <c r="AN440" s="405" t="str">
        <f t="shared" si="1566"/>
        <v/>
      </c>
      <c r="AO440" s="405" t="str">
        <f t="shared" si="1566"/>
        <v/>
      </c>
      <c r="AP440" s="405" t="str">
        <f t="shared" si="1566"/>
        <v/>
      </c>
      <c r="AQ440" s="405" t="str">
        <f t="shared" si="1566"/>
        <v/>
      </c>
      <c r="AR440" s="405" t="str">
        <f t="shared" si="1566"/>
        <v/>
      </c>
      <c r="AS440" s="405" t="str">
        <f t="shared" si="1566"/>
        <v/>
      </c>
      <c r="AT440" s="405" t="str">
        <f t="shared" si="1566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567">IF(BD437="","",BD437*BD439)</f>
        <v/>
      </c>
      <c r="BE440" s="405" t="str">
        <f t="shared" si="1567"/>
        <v/>
      </c>
      <c r="BF440" s="405" t="str">
        <f t="shared" si="1567"/>
        <v/>
      </c>
      <c r="BG440" s="405" t="str">
        <f t="shared" si="1567"/>
        <v/>
      </c>
      <c r="BH440" s="405" t="str">
        <f t="shared" si="1567"/>
        <v/>
      </c>
      <c r="BI440" s="405" t="str">
        <f t="shared" si="1567"/>
        <v/>
      </c>
      <c r="BJ440" s="405" t="str">
        <f t="shared" si="1567"/>
        <v/>
      </c>
      <c r="BK440" s="405" t="str">
        <f t="shared" si="1567"/>
        <v/>
      </c>
      <c r="BL440" s="405" t="str">
        <f t="shared" si="156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541"/>
        <v/>
      </c>
      <c r="CA440" s="373" t="str">
        <f t="shared" si="1542"/>
        <v/>
      </c>
      <c r="CB440" s="373" t="str">
        <f t="shared" si="1543"/>
        <v/>
      </c>
      <c r="CC440" s="462" t="str">
        <f t="shared" si="1544"/>
        <v/>
      </c>
      <c r="CD440" s="1109" t="str">
        <f t="shared" si="1545"/>
        <v/>
      </c>
      <c r="CE440" s="1110" t="str">
        <f t="shared" si="1545"/>
        <v/>
      </c>
      <c r="CF440" s="1111" t="str">
        <f t="shared" si="1545"/>
        <v/>
      </c>
      <c r="CG440" s="1111" t="str">
        <f t="shared" si="1545"/>
        <v/>
      </c>
      <c r="CH440" s="1111" t="str">
        <f t="shared" si="1545"/>
        <v/>
      </c>
      <c r="CI440" s="1111" t="str">
        <f t="shared" si="1545"/>
        <v/>
      </c>
      <c r="CJ440" s="1111" t="str">
        <f t="shared" si="1545"/>
        <v/>
      </c>
      <c r="CK440" s="1112" t="str">
        <f t="shared" si="1545"/>
        <v/>
      </c>
      <c r="CL440" s="1112" t="str">
        <f t="shared" si="1545"/>
        <v/>
      </c>
      <c r="CM440" s="1112" t="str">
        <f t="shared" si="1545"/>
        <v/>
      </c>
      <c r="CN440" s="1111" t="str">
        <f t="shared" si="1546"/>
        <v/>
      </c>
      <c r="CO440" s="1111" t="str">
        <f t="shared" si="1546"/>
        <v/>
      </c>
      <c r="CP440" s="1111" t="str">
        <f t="shared" si="1546"/>
        <v/>
      </c>
      <c r="CQ440" s="1111" t="str">
        <f t="shared" si="1546"/>
        <v/>
      </c>
      <c r="CR440" s="1111" t="str">
        <f t="shared" si="1546"/>
        <v/>
      </c>
      <c r="CS440" s="1110" t="str">
        <f t="shared" si="1546"/>
        <v/>
      </c>
      <c r="CT440" s="1113" t="str">
        <f t="shared" si="1546"/>
        <v/>
      </c>
      <c r="CU440" s="324" t="str">
        <f t="shared" si="1547"/>
        <v/>
      </c>
      <c r="CV440" s="325" t="str">
        <f t="shared" si="1548"/>
        <v/>
      </c>
      <c r="CW440" s="326" t="str">
        <f t="shared" si="1549"/>
        <v/>
      </c>
      <c r="CX440" s="326" t="str">
        <f t="shared" si="1550"/>
        <v/>
      </c>
      <c r="CY440" s="326" t="str">
        <f t="shared" si="1551"/>
        <v/>
      </c>
      <c r="CZ440" s="326" t="str">
        <f t="shared" si="1552"/>
        <v/>
      </c>
      <c r="DA440" s="326" t="str">
        <f t="shared" si="1553"/>
        <v/>
      </c>
      <c r="DB440" s="327" t="str">
        <f t="shared" si="1554"/>
        <v/>
      </c>
      <c r="DC440" s="327" t="str">
        <f t="shared" si="1555"/>
        <v/>
      </c>
      <c r="DD440" s="327" t="str">
        <f t="shared" si="1556"/>
        <v/>
      </c>
      <c r="DE440" s="326" t="str">
        <f t="shared" si="1557"/>
        <v/>
      </c>
      <c r="DF440" s="326" t="str">
        <f t="shared" si="1558"/>
        <v/>
      </c>
      <c r="DG440" s="326" t="str">
        <f t="shared" si="1559"/>
        <v/>
      </c>
      <c r="DH440" s="326" t="str">
        <f t="shared" si="1560"/>
        <v/>
      </c>
      <c r="DI440" s="326" t="str">
        <f t="shared" si="1561"/>
        <v/>
      </c>
      <c r="DJ440" s="325" t="str">
        <f t="shared" si="1562"/>
        <v/>
      </c>
      <c r="DK440" s="324" t="str">
        <f t="shared" si="1563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541"/>
        <v/>
      </c>
      <c r="CA441" s="373" t="str">
        <f t="shared" si="1542"/>
        <v/>
      </c>
      <c r="CB441" s="373" t="str">
        <f t="shared" si="1543"/>
        <v/>
      </c>
      <c r="CC441" s="462" t="str">
        <f t="shared" si="1544"/>
        <v/>
      </c>
      <c r="CD441" s="1109" t="str">
        <f t="shared" si="1545"/>
        <v/>
      </c>
      <c r="CE441" s="1110" t="str">
        <f t="shared" si="1545"/>
        <v/>
      </c>
      <c r="CF441" s="1111" t="str">
        <f t="shared" si="1545"/>
        <v/>
      </c>
      <c r="CG441" s="1111" t="str">
        <f t="shared" si="1545"/>
        <v/>
      </c>
      <c r="CH441" s="1111" t="str">
        <f t="shared" si="1545"/>
        <v/>
      </c>
      <c r="CI441" s="1111" t="str">
        <f t="shared" si="1545"/>
        <v/>
      </c>
      <c r="CJ441" s="1111" t="str">
        <f t="shared" si="1545"/>
        <v/>
      </c>
      <c r="CK441" s="1112" t="str">
        <f t="shared" si="1545"/>
        <v/>
      </c>
      <c r="CL441" s="1112" t="str">
        <f t="shared" si="1545"/>
        <v/>
      </c>
      <c r="CM441" s="1112" t="str">
        <f t="shared" si="1545"/>
        <v/>
      </c>
      <c r="CN441" s="1111" t="str">
        <f t="shared" si="1546"/>
        <v/>
      </c>
      <c r="CO441" s="1111" t="str">
        <f t="shared" si="1546"/>
        <v/>
      </c>
      <c r="CP441" s="1111" t="str">
        <f t="shared" si="1546"/>
        <v/>
      </c>
      <c r="CQ441" s="1111" t="str">
        <f t="shared" si="1546"/>
        <v/>
      </c>
      <c r="CR441" s="1111" t="str">
        <f t="shared" si="1546"/>
        <v/>
      </c>
      <c r="CS441" s="1110" t="str">
        <f t="shared" si="1546"/>
        <v/>
      </c>
      <c r="CT441" s="1113" t="str">
        <f t="shared" si="1546"/>
        <v/>
      </c>
      <c r="CU441" s="324" t="str">
        <f t="shared" si="1547"/>
        <v/>
      </c>
      <c r="CV441" s="325" t="str">
        <f t="shared" si="1548"/>
        <v/>
      </c>
      <c r="CW441" s="326" t="str">
        <f t="shared" si="1549"/>
        <v/>
      </c>
      <c r="CX441" s="326" t="str">
        <f t="shared" si="1550"/>
        <v/>
      </c>
      <c r="CY441" s="326" t="str">
        <f t="shared" si="1551"/>
        <v/>
      </c>
      <c r="CZ441" s="326" t="str">
        <f t="shared" si="1552"/>
        <v/>
      </c>
      <c r="DA441" s="326" t="str">
        <f t="shared" si="1553"/>
        <v/>
      </c>
      <c r="DB441" s="327" t="str">
        <f t="shared" si="1554"/>
        <v/>
      </c>
      <c r="DC441" s="327" t="str">
        <f t="shared" si="1555"/>
        <v/>
      </c>
      <c r="DD441" s="327" t="str">
        <f t="shared" si="1556"/>
        <v/>
      </c>
      <c r="DE441" s="326" t="str">
        <f t="shared" si="1557"/>
        <v/>
      </c>
      <c r="DF441" s="326" t="str">
        <f t="shared" si="1558"/>
        <v/>
      </c>
      <c r="DG441" s="326" t="str">
        <f t="shared" si="1559"/>
        <v/>
      </c>
      <c r="DH441" s="326" t="str">
        <f t="shared" si="1560"/>
        <v/>
      </c>
      <c r="DI441" s="326" t="str">
        <f t="shared" si="1561"/>
        <v/>
      </c>
      <c r="DJ441" s="325" t="str">
        <f t="shared" si="1562"/>
        <v/>
      </c>
      <c r="DK441" s="324" t="str">
        <f t="shared" si="1563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541"/>
        <v/>
      </c>
      <c r="CA442" s="373" t="str">
        <f t="shared" si="1542"/>
        <v/>
      </c>
      <c r="CB442" s="373" t="str">
        <f t="shared" si="1543"/>
        <v/>
      </c>
      <c r="CC442" s="462" t="str">
        <f t="shared" si="1544"/>
        <v/>
      </c>
      <c r="CD442" s="1109" t="str">
        <f t="shared" si="1545"/>
        <v/>
      </c>
      <c r="CE442" s="1110" t="str">
        <f t="shared" si="1545"/>
        <v/>
      </c>
      <c r="CF442" s="1111" t="str">
        <f t="shared" si="1545"/>
        <v/>
      </c>
      <c r="CG442" s="1111" t="str">
        <f t="shared" si="1545"/>
        <v/>
      </c>
      <c r="CH442" s="1111" t="str">
        <f t="shared" si="1545"/>
        <v/>
      </c>
      <c r="CI442" s="1111" t="str">
        <f t="shared" si="1545"/>
        <v/>
      </c>
      <c r="CJ442" s="1111" t="str">
        <f t="shared" si="1545"/>
        <v/>
      </c>
      <c r="CK442" s="1112" t="str">
        <f t="shared" si="1545"/>
        <v/>
      </c>
      <c r="CL442" s="1112" t="str">
        <f t="shared" si="1545"/>
        <v/>
      </c>
      <c r="CM442" s="1112" t="str">
        <f t="shared" si="1545"/>
        <v/>
      </c>
      <c r="CN442" s="1111" t="str">
        <f t="shared" si="1546"/>
        <v/>
      </c>
      <c r="CO442" s="1111" t="str">
        <f t="shared" si="1546"/>
        <v/>
      </c>
      <c r="CP442" s="1111" t="str">
        <f t="shared" si="1546"/>
        <v/>
      </c>
      <c r="CQ442" s="1111" t="str">
        <f t="shared" si="1546"/>
        <v/>
      </c>
      <c r="CR442" s="1111" t="str">
        <f t="shared" si="1546"/>
        <v/>
      </c>
      <c r="CS442" s="1110" t="str">
        <f t="shared" si="1546"/>
        <v/>
      </c>
      <c r="CT442" s="1113" t="str">
        <f t="shared" si="1546"/>
        <v/>
      </c>
      <c r="CU442" s="324" t="str">
        <f t="shared" si="1547"/>
        <v/>
      </c>
      <c r="CV442" s="325" t="str">
        <f t="shared" si="1548"/>
        <v/>
      </c>
      <c r="CW442" s="326" t="str">
        <f t="shared" si="1549"/>
        <v/>
      </c>
      <c r="CX442" s="326" t="str">
        <f t="shared" si="1550"/>
        <v/>
      </c>
      <c r="CY442" s="326" t="str">
        <f t="shared" si="1551"/>
        <v/>
      </c>
      <c r="CZ442" s="326" t="str">
        <f t="shared" si="1552"/>
        <v/>
      </c>
      <c r="DA442" s="326" t="str">
        <f t="shared" si="1553"/>
        <v/>
      </c>
      <c r="DB442" s="327" t="str">
        <f t="shared" si="1554"/>
        <v/>
      </c>
      <c r="DC442" s="327" t="str">
        <f t="shared" si="1555"/>
        <v/>
      </c>
      <c r="DD442" s="327" t="str">
        <f t="shared" si="1556"/>
        <v/>
      </c>
      <c r="DE442" s="326" t="str">
        <f t="shared" si="1557"/>
        <v/>
      </c>
      <c r="DF442" s="326" t="str">
        <f t="shared" si="1558"/>
        <v/>
      </c>
      <c r="DG442" s="326" t="str">
        <f t="shared" si="1559"/>
        <v/>
      </c>
      <c r="DH442" s="326" t="str">
        <f t="shared" si="1560"/>
        <v/>
      </c>
      <c r="DI442" s="326" t="str">
        <f t="shared" si="1561"/>
        <v/>
      </c>
      <c r="DJ442" s="325" t="str">
        <f t="shared" si="1562"/>
        <v/>
      </c>
      <c r="DK442" s="324" t="str">
        <f t="shared" si="1563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541"/>
        <v/>
      </c>
      <c r="CA443" s="373" t="str">
        <f t="shared" si="1542"/>
        <v/>
      </c>
      <c r="CB443" s="373" t="str">
        <f t="shared" si="1543"/>
        <v/>
      </c>
      <c r="CC443" s="462" t="str">
        <f t="shared" si="1544"/>
        <v/>
      </c>
      <c r="CD443" s="1109" t="str">
        <f t="shared" si="1545"/>
        <v/>
      </c>
      <c r="CE443" s="1110" t="str">
        <f t="shared" si="1545"/>
        <v/>
      </c>
      <c r="CF443" s="1111" t="str">
        <f t="shared" si="1545"/>
        <v/>
      </c>
      <c r="CG443" s="1111" t="str">
        <f t="shared" si="1545"/>
        <v/>
      </c>
      <c r="CH443" s="1111" t="str">
        <f t="shared" si="1545"/>
        <v/>
      </c>
      <c r="CI443" s="1111" t="str">
        <f t="shared" si="1545"/>
        <v/>
      </c>
      <c r="CJ443" s="1111" t="str">
        <f t="shared" si="1545"/>
        <v/>
      </c>
      <c r="CK443" s="1112" t="str">
        <f t="shared" si="1545"/>
        <v/>
      </c>
      <c r="CL443" s="1112" t="str">
        <f t="shared" si="1545"/>
        <v/>
      </c>
      <c r="CM443" s="1112" t="str">
        <f t="shared" si="1545"/>
        <v/>
      </c>
      <c r="CN443" s="1111" t="str">
        <f t="shared" si="1546"/>
        <v/>
      </c>
      <c r="CO443" s="1111" t="str">
        <f t="shared" si="1546"/>
        <v/>
      </c>
      <c r="CP443" s="1111" t="str">
        <f t="shared" si="1546"/>
        <v/>
      </c>
      <c r="CQ443" s="1111" t="str">
        <f t="shared" si="1546"/>
        <v/>
      </c>
      <c r="CR443" s="1111" t="str">
        <f t="shared" si="1546"/>
        <v/>
      </c>
      <c r="CS443" s="1110" t="str">
        <f t="shared" si="1546"/>
        <v/>
      </c>
      <c r="CT443" s="1113" t="str">
        <f t="shared" si="1546"/>
        <v/>
      </c>
      <c r="CU443" s="324" t="str">
        <f t="shared" si="1547"/>
        <v/>
      </c>
      <c r="CV443" s="325" t="str">
        <f t="shared" si="1548"/>
        <v/>
      </c>
      <c r="CW443" s="326" t="str">
        <f t="shared" si="1549"/>
        <v/>
      </c>
      <c r="CX443" s="326" t="str">
        <f t="shared" si="1550"/>
        <v/>
      </c>
      <c r="CY443" s="326" t="str">
        <f t="shared" si="1551"/>
        <v/>
      </c>
      <c r="CZ443" s="326" t="str">
        <f t="shared" si="1552"/>
        <v/>
      </c>
      <c r="DA443" s="326" t="str">
        <f t="shared" si="1553"/>
        <v/>
      </c>
      <c r="DB443" s="327" t="str">
        <f t="shared" si="1554"/>
        <v/>
      </c>
      <c r="DC443" s="327" t="str">
        <f t="shared" si="1555"/>
        <v/>
      </c>
      <c r="DD443" s="327" t="str">
        <f t="shared" si="1556"/>
        <v/>
      </c>
      <c r="DE443" s="326" t="str">
        <f t="shared" si="1557"/>
        <v/>
      </c>
      <c r="DF443" s="326" t="str">
        <f t="shared" si="1558"/>
        <v/>
      </c>
      <c r="DG443" s="326" t="str">
        <f t="shared" si="1559"/>
        <v/>
      </c>
      <c r="DH443" s="326" t="str">
        <f t="shared" si="1560"/>
        <v/>
      </c>
      <c r="DI443" s="326" t="str">
        <f t="shared" si="1561"/>
        <v/>
      </c>
      <c r="DJ443" s="325" t="str">
        <f t="shared" si="1562"/>
        <v/>
      </c>
      <c r="DK443" s="324" t="str">
        <f t="shared" si="1563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541"/>
        <v>0</v>
      </c>
      <c r="CA444" s="373">
        <f t="shared" si="1542"/>
        <v>0</v>
      </c>
      <c r="CB444" s="373">
        <f t="shared" si="1543"/>
        <v>0</v>
      </c>
      <c r="CC444" s="462">
        <f t="shared" si="1544"/>
        <v>0</v>
      </c>
      <c r="CD444" s="1109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0" t="str">
        <f t="shared" ref="CE444:CT444" si="15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1" t="str">
        <f t="shared" si="1568"/>
        <v/>
      </c>
      <c r="CG444" s="1111" t="str">
        <f t="shared" si="1568"/>
        <v/>
      </c>
      <c r="CH444" s="1111">
        <f t="shared" si="1568"/>
        <v>0</v>
      </c>
      <c r="CI444" s="1111">
        <f t="shared" si="1568"/>
        <v>0</v>
      </c>
      <c r="CJ444" s="1111">
        <f t="shared" si="1568"/>
        <v>0</v>
      </c>
      <c r="CK444" s="1112">
        <f t="shared" si="1568"/>
        <v>0</v>
      </c>
      <c r="CL444" s="1112">
        <f t="shared" si="1568"/>
        <v>0</v>
      </c>
      <c r="CM444" s="1112">
        <f t="shared" si="1568"/>
        <v>0</v>
      </c>
      <c r="CN444" s="1111">
        <f t="shared" si="1568"/>
        <v>0</v>
      </c>
      <c r="CO444" s="1111">
        <f t="shared" si="1568"/>
        <v>0</v>
      </c>
      <c r="CP444" s="1111">
        <f t="shared" si="1568"/>
        <v>0</v>
      </c>
      <c r="CQ444" s="1111" t="str">
        <f t="shared" si="1568"/>
        <v/>
      </c>
      <c r="CR444" s="1111" t="str">
        <f t="shared" si="1568"/>
        <v/>
      </c>
      <c r="CS444" s="1110" t="str">
        <f t="shared" si="1568"/>
        <v/>
      </c>
      <c r="CT444" s="1113" t="str">
        <f t="shared" si="1568"/>
        <v/>
      </c>
      <c r="CU444" s="324" t="str">
        <f t="shared" si="1547"/>
        <v/>
      </c>
      <c r="CV444" s="325" t="str">
        <f t="shared" si="1548"/>
        <v/>
      </c>
      <c r="CW444" s="326" t="str">
        <f t="shared" si="1549"/>
        <v/>
      </c>
      <c r="CX444" s="326" t="str">
        <f t="shared" si="1550"/>
        <v/>
      </c>
      <c r="CY444" s="326">
        <f t="shared" si="1551"/>
        <v>0</v>
      </c>
      <c r="CZ444" s="326">
        <f t="shared" si="1552"/>
        <v>0</v>
      </c>
      <c r="DA444" s="326">
        <f t="shared" si="1553"/>
        <v>0</v>
      </c>
      <c r="DB444" s="327">
        <f t="shared" si="1554"/>
        <v>0</v>
      </c>
      <c r="DC444" s="327">
        <f t="shared" si="1555"/>
        <v>0</v>
      </c>
      <c r="DD444" s="327">
        <f t="shared" si="1556"/>
        <v>0</v>
      </c>
      <c r="DE444" s="326">
        <f t="shared" si="1557"/>
        <v>0</v>
      </c>
      <c r="DF444" s="326">
        <f t="shared" si="1558"/>
        <v>0</v>
      </c>
      <c r="DG444" s="326">
        <f t="shared" si="1559"/>
        <v>0</v>
      </c>
      <c r="DH444" s="326" t="str">
        <f t="shared" si="1560"/>
        <v/>
      </c>
      <c r="DI444" s="326" t="str">
        <f t="shared" si="1561"/>
        <v/>
      </c>
      <c r="DJ444" s="325" t="str">
        <f t="shared" si="1562"/>
        <v/>
      </c>
      <c r="DK444" s="324" t="str">
        <f t="shared" si="1563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541"/>
        <v/>
      </c>
      <c r="CA445" s="373" t="str">
        <f t="shared" si="1542"/>
        <v/>
      </c>
      <c r="CB445" s="373" t="str">
        <f t="shared" si="1543"/>
        <v/>
      </c>
      <c r="CC445" s="462" t="str">
        <f t="shared" si="1544"/>
        <v/>
      </c>
      <c r="CD445" s="1109" t="str">
        <f t="shared" ref="CD445:CS445" si="15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0" t="str">
        <f t="shared" si="1569"/>
        <v/>
      </c>
      <c r="CF445" s="1111" t="str">
        <f t="shared" si="1569"/>
        <v/>
      </c>
      <c r="CG445" s="1111" t="str">
        <f t="shared" si="1569"/>
        <v/>
      </c>
      <c r="CH445" s="1111" t="str">
        <f t="shared" si="1569"/>
        <v/>
      </c>
      <c r="CI445" s="1111" t="str">
        <f t="shared" si="1569"/>
        <v/>
      </c>
      <c r="CJ445" s="1111" t="str">
        <f t="shared" si="1569"/>
        <v/>
      </c>
      <c r="CK445" s="1112" t="str">
        <f t="shared" si="1569"/>
        <v/>
      </c>
      <c r="CL445" s="1112" t="str">
        <f t="shared" si="1569"/>
        <v/>
      </c>
      <c r="CM445" s="1112" t="str">
        <f t="shared" si="1569"/>
        <v/>
      </c>
      <c r="CN445" s="1111" t="str">
        <f t="shared" si="1569"/>
        <v/>
      </c>
      <c r="CO445" s="1111" t="str">
        <f t="shared" si="1569"/>
        <v/>
      </c>
      <c r="CP445" s="1111" t="str">
        <f t="shared" si="1569"/>
        <v/>
      </c>
      <c r="CQ445" s="1111" t="str">
        <f t="shared" si="1569"/>
        <v/>
      </c>
      <c r="CR445" s="1111" t="str">
        <f t="shared" si="1569"/>
        <v/>
      </c>
      <c r="CS445" s="1110" t="str">
        <f t="shared" si="1569"/>
        <v/>
      </c>
      <c r="CT445" s="111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7"/>
        <v/>
      </c>
      <c r="CV445" s="325" t="str">
        <f t="shared" si="1548"/>
        <v/>
      </c>
      <c r="CW445" s="326" t="str">
        <f t="shared" si="1549"/>
        <v/>
      </c>
      <c r="CX445" s="326" t="str">
        <f t="shared" si="1550"/>
        <v/>
      </c>
      <c r="CY445" s="326" t="str">
        <f t="shared" si="1551"/>
        <v/>
      </c>
      <c r="CZ445" s="326" t="str">
        <f t="shared" si="1552"/>
        <v/>
      </c>
      <c r="DA445" s="326" t="str">
        <f t="shared" si="1553"/>
        <v/>
      </c>
      <c r="DB445" s="327" t="str">
        <f t="shared" si="1554"/>
        <v/>
      </c>
      <c r="DC445" s="327" t="str">
        <f t="shared" si="1555"/>
        <v/>
      </c>
      <c r="DD445" s="327" t="str">
        <f t="shared" si="1556"/>
        <v/>
      </c>
      <c r="DE445" s="326" t="str">
        <f t="shared" si="1557"/>
        <v/>
      </c>
      <c r="DF445" s="326" t="str">
        <f t="shared" si="1558"/>
        <v/>
      </c>
      <c r="DG445" s="326" t="str">
        <f t="shared" si="1559"/>
        <v/>
      </c>
      <c r="DH445" s="326" t="str">
        <f t="shared" si="1560"/>
        <v/>
      </c>
      <c r="DI445" s="326" t="str">
        <f t="shared" si="1561"/>
        <v/>
      </c>
      <c r="DJ445" s="325" t="str">
        <f t="shared" si="1562"/>
        <v/>
      </c>
      <c r="DK445" s="324" t="str">
        <f t="shared" si="1563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541"/>
        <v>5.1536048209238038E-2</v>
      </c>
      <c r="CA446" s="398">
        <f t="shared" si="1542"/>
        <v>4.2466189108626914E-2</v>
      </c>
      <c r="CB446" s="398">
        <f t="shared" si="1543"/>
        <v>2.284694018744899E-2</v>
      </c>
      <c r="CC446" s="465">
        <f t="shared" si="1544"/>
        <v>2.3359115335631966E-3</v>
      </c>
      <c r="CD446" s="1114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5" t="str">
        <f t="shared" ref="CE446:CT446" si="15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6" t="str">
        <f t="shared" si="1570"/>
        <v/>
      </c>
      <c r="CG446" s="1116" t="str">
        <f t="shared" si="1570"/>
        <v/>
      </c>
      <c r="CH446" s="1116">
        <f t="shared" si="1570"/>
        <v>0</v>
      </c>
      <c r="CI446" s="1116">
        <f t="shared" si="1570"/>
        <v>2.4527071102413568E-2</v>
      </c>
      <c r="CJ446" s="1116">
        <f t="shared" si="1570"/>
        <v>2.8030938402758367E-2</v>
      </c>
      <c r="CK446" s="1117">
        <f t="shared" si="1570"/>
        <v>3.6790606653620356E-2</v>
      </c>
      <c r="CL446" s="1117">
        <f t="shared" si="1570"/>
        <v>5.7813810455689119E-2</v>
      </c>
      <c r="CM446" s="1117">
        <f t="shared" si="1570"/>
        <v>5.8251793868232232E-2</v>
      </c>
      <c r="CN446" s="1116">
        <f t="shared" si="1570"/>
        <v>7.3581213307240712E-2</v>
      </c>
      <c r="CO446" s="1116">
        <f t="shared" si="1570"/>
        <v>8.1756903674711889E-2</v>
      </c>
      <c r="CP446" s="1116">
        <f t="shared" si="1570"/>
        <v>8.9932594042183095E-2</v>
      </c>
      <c r="CQ446" s="1116" t="str">
        <f t="shared" si="1570"/>
        <v/>
      </c>
      <c r="CR446" s="1116" t="str">
        <f t="shared" si="1570"/>
        <v/>
      </c>
      <c r="CS446" s="1115" t="str">
        <f t="shared" si="1570"/>
        <v/>
      </c>
      <c r="CT446" s="1118" t="str">
        <f t="shared" si="1570"/>
        <v/>
      </c>
      <c r="CU446" s="312" t="str">
        <f t="shared" si="1547"/>
        <v/>
      </c>
      <c r="CV446" s="313" t="str">
        <f t="shared" si="1548"/>
        <v/>
      </c>
      <c r="CW446" s="314" t="str">
        <f t="shared" si="1549"/>
        <v/>
      </c>
      <c r="CX446" s="314" t="str">
        <f t="shared" si="1550"/>
        <v/>
      </c>
      <c r="CY446" s="314">
        <f t="shared" si="1551"/>
        <v>0</v>
      </c>
      <c r="CZ446" s="314">
        <f t="shared" si="1552"/>
        <v>2.6979778212654924E-2</v>
      </c>
      <c r="DA446" s="314">
        <f t="shared" si="1553"/>
        <v>3.3334519361916622E-2</v>
      </c>
      <c r="DB446" s="315">
        <f t="shared" si="1554"/>
        <v>3.6790606653620356E-2</v>
      </c>
      <c r="DC446" s="315">
        <f t="shared" si="1555"/>
        <v>3.9856490541422047E-2</v>
      </c>
      <c r="DD446" s="315">
        <f t="shared" si="1556"/>
        <v>4.2046407604137553E-2</v>
      </c>
      <c r="DE446" s="314">
        <f t="shared" si="1557"/>
        <v>5.5185909980430527E-2</v>
      </c>
      <c r="DF446" s="314">
        <f t="shared" si="1558"/>
        <v>6.3069611406206316E-2</v>
      </c>
      <c r="DG446" s="314">
        <f t="shared" si="1559"/>
        <v>7.664709719504241E-2</v>
      </c>
      <c r="DH446" s="314" t="str">
        <f t="shared" si="1560"/>
        <v/>
      </c>
      <c r="DI446" s="314" t="str">
        <f t="shared" si="1561"/>
        <v/>
      </c>
      <c r="DJ446" s="313" t="str">
        <f t="shared" si="1562"/>
        <v/>
      </c>
      <c r="DK446" s="312" t="str">
        <f t="shared" si="1563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541"/>
        <v/>
      </c>
      <c r="CA447" s="365" t="str">
        <f t="shared" si="1542"/>
        <v/>
      </c>
      <c r="CB447" s="365" t="str">
        <f t="shared" si="1543"/>
        <v/>
      </c>
      <c r="CC447" s="461" t="str">
        <f t="shared" si="1544"/>
        <v/>
      </c>
      <c r="CD447" s="1120"/>
      <c r="CE447" s="1120"/>
      <c r="CF447" s="1120"/>
      <c r="CG447" s="1120"/>
      <c r="CH447" s="1120"/>
      <c r="CI447" s="1120"/>
      <c r="CJ447" s="1120"/>
      <c r="CK447" s="1120"/>
      <c r="CL447" s="1120"/>
      <c r="CM447" s="1120"/>
      <c r="CN447" s="1120"/>
      <c r="CO447" s="1120"/>
      <c r="CP447" s="1120"/>
      <c r="CQ447" s="1120"/>
      <c r="CR447" s="1120"/>
      <c r="CS447" s="1120"/>
      <c r="CT447" s="1121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5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541"/>
        <v/>
      </c>
      <c r="CA448" s="365" t="str">
        <f t="shared" si="1542"/>
        <v/>
      </c>
      <c r="CB448" s="365" t="str">
        <f t="shared" si="1543"/>
        <v/>
      </c>
      <c r="CC448" s="461" t="str">
        <f t="shared" si="1544"/>
        <v/>
      </c>
      <c r="CD448" s="1120"/>
      <c r="CE448" s="1120"/>
      <c r="CF448" s="1120"/>
      <c r="CG448" s="1120"/>
      <c r="CH448" s="1120"/>
      <c r="CI448" s="1120"/>
      <c r="CJ448" s="1120"/>
      <c r="CK448" s="1120"/>
      <c r="CL448" s="1120"/>
      <c r="CM448" s="1120"/>
      <c r="CN448" s="1120"/>
      <c r="CO448" s="1120"/>
      <c r="CP448" s="1120"/>
      <c r="CQ448" s="1120"/>
      <c r="CR448" s="1120"/>
      <c r="CS448" s="1120"/>
      <c r="CT448" s="1121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541"/>
        <v/>
      </c>
      <c r="CA449" s="373" t="str">
        <f t="shared" si="1542"/>
        <v/>
      </c>
      <c r="CB449" s="373" t="str">
        <f t="shared" si="1543"/>
        <v/>
      </c>
      <c r="CC449" s="462" t="str">
        <f t="shared" si="1544"/>
        <v/>
      </c>
      <c r="CD449" s="1109" t="str">
        <f t="shared" ref="CD449:CS449" si="15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0" t="str">
        <f t="shared" si="1571"/>
        <v/>
      </c>
      <c r="CF449" s="1111" t="str">
        <f t="shared" si="1571"/>
        <v/>
      </c>
      <c r="CG449" s="1111" t="str">
        <f t="shared" si="1571"/>
        <v/>
      </c>
      <c r="CH449" s="1111" t="str">
        <f t="shared" si="1571"/>
        <v/>
      </c>
      <c r="CI449" s="1111" t="str">
        <f t="shared" si="1571"/>
        <v/>
      </c>
      <c r="CJ449" s="1111" t="str">
        <f t="shared" si="1571"/>
        <v/>
      </c>
      <c r="CK449" s="1112" t="str">
        <f t="shared" si="1571"/>
        <v/>
      </c>
      <c r="CL449" s="1112" t="str">
        <f t="shared" si="1571"/>
        <v/>
      </c>
      <c r="CM449" s="1112" t="str">
        <f t="shared" si="1571"/>
        <v/>
      </c>
      <c r="CN449" s="1111" t="str">
        <f t="shared" si="1571"/>
        <v/>
      </c>
      <c r="CO449" s="1111" t="str">
        <f t="shared" si="1571"/>
        <v/>
      </c>
      <c r="CP449" s="1111" t="str">
        <f t="shared" si="1571"/>
        <v/>
      </c>
      <c r="CQ449" s="1111" t="str">
        <f t="shared" si="1571"/>
        <v/>
      </c>
      <c r="CR449" s="1111" t="str">
        <f t="shared" si="1571"/>
        <v/>
      </c>
      <c r="CS449" s="1110" t="str">
        <f t="shared" si="1571"/>
        <v/>
      </c>
      <c r="CT449" s="1113" t="str">
        <f t="shared" ref="CE449:CT454" si="15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590">COUNT(B449:R449)</f>
        <v>0</v>
      </c>
      <c r="DM449" s="66">
        <f t="shared" ref="DM449:DM456" si="1591">COUNT(T449:AJ449)</f>
        <v>0</v>
      </c>
      <c r="DN449" s="66">
        <f t="shared" ref="DN449:DN456" si="1592">COUNT(AL449:BB449)</f>
        <v>0</v>
      </c>
      <c r="DO449" s="66">
        <f t="shared" ref="DO449:DO456" si="159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541"/>
        <v/>
      </c>
      <c r="CA450" s="373" t="str">
        <f t="shared" si="1542"/>
        <v/>
      </c>
      <c r="CB450" s="373" t="str">
        <f t="shared" si="1543"/>
        <v/>
      </c>
      <c r="CC450" s="462" t="str">
        <f t="shared" si="1544"/>
        <v/>
      </c>
      <c r="CD450" s="110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0" t="str">
        <f t="shared" si="1572"/>
        <v/>
      </c>
      <c r="CF450" s="1111" t="str">
        <f t="shared" si="1572"/>
        <v/>
      </c>
      <c r="CG450" s="1111" t="str">
        <f t="shared" si="1572"/>
        <v/>
      </c>
      <c r="CH450" s="1111" t="str">
        <f t="shared" si="1572"/>
        <v/>
      </c>
      <c r="CI450" s="1111" t="str">
        <f t="shared" si="1572"/>
        <v/>
      </c>
      <c r="CJ450" s="1111" t="str">
        <f t="shared" si="1572"/>
        <v/>
      </c>
      <c r="CK450" s="1112" t="str">
        <f t="shared" si="1572"/>
        <v/>
      </c>
      <c r="CL450" s="1112" t="str">
        <f t="shared" si="1572"/>
        <v/>
      </c>
      <c r="CM450" s="1112" t="str">
        <f t="shared" si="1572"/>
        <v/>
      </c>
      <c r="CN450" s="1111" t="str">
        <f t="shared" si="1572"/>
        <v/>
      </c>
      <c r="CO450" s="1111" t="str">
        <f t="shared" si="1572"/>
        <v/>
      </c>
      <c r="CP450" s="1111" t="str">
        <f t="shared" si="1572"/>
        <v/>
      </c>
      <c r="CQ450" s="1111" t="str">
        <f t="shared" si="1572"/>
        <v/>
      </c>
      <c r="CR450" s="1111" t="str">
        <f t="shared" si="1572"/>
        <v/>
      </c>
      <c r="CS450" s="1110" t="str">
        <f t="shared" si="1572"/>
        <v/>
      </c>
      <c r="CT450" s="1113" t="str">
        <f t="shared" si="1572"/>
        <v/>
      </c>
      <c r="CU450" s="324" t="str">
        <f t="shared" si="1573"/>
        <v/>
      </c>
      <c r="CV450" s="325" t="str">
        <f t="shared" si="1574"/>
        <v/>
      </c>
      <c r="CW450" s="326" t="str">
        <f t="shared" si="1575"/>
        <v/>
      </c>
      <c r="CX450" s="326" t="str">
        <f t="shared" si="1576"/>
        <v/>
      </c>
      <c r="CY450" s="326" t="str">
        <f t="shared" si="1577"/>
        <v/>
      </c>
      <c r="CZ450" s="326" t="str">
        <f t="shared" si="1578"/>
        <v/>
      </c>
      <c r="DA450" s="326" t="str">
        <f t="shared" si="1579"/>
        <v/>
      </c>
      <c r="DB450" s="327" t="str">
        <f t="shared" si="1580"/>
        <v/>
      </c>
      <c r="DC450" s="327" t="str">
        <f t="shared" si="1581"/>
        <v/>
      </c>
      <c r="DD450" s="327" t="str">
        <f t="shared" si="1582"/>
        <v/>
      </c>
      <c r="DE450" s="326" t="str">
        <f t="shared" si="1583"/>
        <v/>
      </c>
      <c r="DF450" s="326" t="str">
        <f t="shared" si="1584"/>
        <v/>
      </c>
      <c r="DG450" s="326" t="str">
        <f t="shared" si="1585"/>
        <v/>
      </c>
      <c r="DH450" s="326" t="str">
        <f t="shared" si="1586"/>
        <v/>
      </c>
      <c r="DI450" s="326" t="str">
        <f t="shared" si="1587"/>
        <v/>
      </c>
      <c r="DJ450" s="325" t="str">
        <f t="shared" si="1588"/>
        <v/>
      </c>
      <c r="DK450" s="324" t="str">
        <f t="shared" si="1589"/>
        <v/>
      </c>
      <c r="DL450" s="428">
        <f t="shared" si="1590"/>
        <v>0</v>
      </c>
      <c r="DM450" s="66">
        <f t="shared" si="1591"/>
        <v>0</v>
      </c>
      <c r="DN450" s="66">
        <f t="shared" si="1592"/>
        <v>0</v>
      </c>
      <c r="DO450" s="66">
        <f t="shared" si="159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541"/>
        <v/>
      </c>
      <c r="CA451" s="373" t="str">
        <f t="shared" si="1542"/>
        <v/>
      </c>
      <c r="CB451" s="373" t="str">
        <f t="shared" si="1543"/>
        <v/>
      </c>
      <c r="CC451" s="462" t="str">
        <f t="shared" si="1544"/>
        <v/>
      </c>
      <c r="CD451" s="110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0" t="str">
        <f t="shared" si="1572"/>
        <v/>
      </c>
      <c r="CF451" s="1111" t="str">
        <f t="shared" si="1572"/>
        <v/>
      </c>
      <c r="CG451" s="1111" t="str">
        <f t="shared" si="1572"/>
        <v/>
      </c>
      <c r="CH451" s="1111" t="str">
        <f t="shared" si="1572"/>
        <v/>
      </c>
      <c r="CI451" s="1111" t="str">
        <f t="shared" si="1572"/>
        <v/>
      </c>
      <c r="CJ451" s="1111" t="str">
        <f t="shared" si="1572"/>
        <v/>
      </c>
      <c r="CK451" s="1112" t="str">
        <f t="shared" si="1572"/>
        <v/>
      </c>
      <c r="CL451" s="1112" t="str">
        <f t="shared" si="1572"/>
        <v/>
      </c>
      <c r="CM451" s="1112" t="str">
        <f t="shared" si="1572"/>
        <v/>
      </c>
      <c r="CN451" s="1111" t="str">
        <f t="shared" si="1572"/>
        <v/>
      </c>
      <c r="CO451" s="1111" t="str">
        <f t="shared" si="1572"/>
        <v/>
      </c>
      <c r="CP451" s="1111" t="str">
        <f t="shared" si="1572"/>
        <v/>
      </c>
      <c r="CQ451" s="1111" t="str">
        <f t="shared" si="1572"/>
        <v/>
      </c>
      <c r="CR451" s="1111" t="str">
        <f t="shared" si="1572"/>
        <v/>
      </c>
      <c r="CS451" s="1110" t="str">
        <f t="shared" si="1572"/>
        <v/>
      </c>
      <c r="CT451" s="1113" t="str">
        <f t="shared" si="1572"/>
        <v/>
      </c>
      <c r="CU451" s="324" t="str">
        <f t="shared" si="1573"/>
        <v/>
      </c>
      <c r="CV451" s="325" t="str">
        <f t="shared" si="1574"/>
        <v/>
      </c>
      <c r="CW451" s="326" t="str">
        <f t="shared" si="1575"/>
        <v/>
      </c>
      <c r="CX451" s="326" t="str">
        <f t="shared" si="1576"/>
        <v/>
      </c>
      <c r="CY451" s="326" t="str">
        <f t="shared" si="1577"/>
        <v/>
      </c>
      <c r="CZ451" s="326" t="str">
        <f t="shared" si="1578"/>
        <v/>
      </c>
      <c r="DA451" s="326" t="str">
        <f t="shared" si="1579"/>
        <v/>
      </c>
      <c r="DB451" s="327" t="str">
        <f t="shared" si="1580"/>
        <v/>
      </c>
      <c r="DC451" s="327" t="str">
        <f t="shared" si="1581"/>
        <v/>
      </c>
      <c r="DD451" s="327" t="str">
        <f t="shared" si="1582"/>
        <v/>
      </c>
      <c r="DE451" s="326" t="str">
        <f t="shared" si="1583"/>
        <v/>
      </c>
      <c r="DF451" s="326" t="str">
        <f t="shared" si="1584"/>
        <v/>
      </c>
      <c r="DG451" s="326" t="str">
        <f t="shared" si="1585"/>
        <v/>
      </c>
      <c r="DH451" s="326" t="str">
        <f t="shared" si="1586"/>
        <v/>
      </c>
      <c r="DI451" s="326" t="str">
        <f t="shared" si="1587"/>
        <v/>
      </c>
      <c r="DJ451" s="325" t="str">
        <f t="shared" si="1588"/>
        <v/>
      </c>
      <c r="DK451" s="324" t="str">
        <f t="shared" si="1589"/>
        <v/>
      </c>
      <c r="DL451" s="428">
        <f t="shared" si="1590"/>
        <v>0</v>
      </c>
      <c r="DM451" s="66">
        <f t="shared" si="1591"/>
        <v>0</v>
      </c>
      <c r="DN451" s="66">
        <f t="shared" si="1592"/>
        <v>0</v>
      </c>
      <c r="DO451" s="66">
        <f t="shared" si="159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594">IF(B450="","",B449*B450*B451)</f>
        <v/>
      </c>
      <c r="C452" s="405" t="str">
        <f t="shared" si="1594"/>
        <v/>
      </c>
      <c r="D452" s="405" t="str">
        <f t="shared" si="1594"/>
        <v/>
      </c>
      <c r="E452" s="405" t="str">
        <f t="shared" si="1594"/>
        <v/>
      </c>
      <c r="F452" s="405" t="str">
        <f t="shared" si="1594"/>
        <v/>
      </c>
      <c r="G452" s="405" t="str">
        <f t="shared" si="1594"/>
        <v/>
      </c>
      <c r="H452" s="405" t="str">
        <f t="shared" si="1594"/>
        <v/>
      </c>
      <c r="I452" s="405" t="str">
        <f t="shared" si="1594"/>
        <v/>
      </c>
      <c r="J452" s="405" t="str">
        <f t="shared" si="1594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595">IF(T450="","",T449*T450*T451)</f>
        <v/>
      </c>
      <c r="U452" s="405" t="str">
        <f t="shared" si="1595"/>
        <v/>
      </c>
      <c r="V452" s="405" t="str">
        <f t="shared" si="1595"/>
        <v/>
      </c>
      <c r="W452" s="405" t="str">
        <f t="shared" si="1595"/>
        <v/>
      </c>
      <c r="X452" s="405" t="str">
        <f t="shared" si="1595"/>
        <v/>
      </c>
      <c r="Y452" s="405" t="str">
        <f t="shared" si="1595"/>
        <v/>
      </c>
      <c r="Z452" s="405" t="str">
        <f t="shared" si="1595"/>
        <v/>
      </c>
      <c r="AA452" s="405" t="str">
        <f t="shared" si="1595"/>
        <v/>
      </c>
      <c r="AB452" s="405" t="str">
        <f t="shared" si="1595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596">IF(AL450="","",AL449*AL450*AL451)</f>
        <v/>
      </c>
      <c r="AM452" s="405" t="str">
        <f t="shared" si="1596"/>
        <v/>
      </c>
      <c r="AN452" s="405" t="str">
        <f t="shared" si="1596"/>
        <v/>
      </c>
      <c r="AO452" s="405" t="str">
        <f t="shared" si="1596"/>
        <v/>
      </c>
      <c r="AP452" s="405" t="str">
        <f t="shared" si="1596"/>
        <v/>
      </c>
      <c r="AQ452" s="405" t="str">
        <f t="shared" si="1596"/>
        <v/>
      </c>
      <c r="AR452" s="405" t="str">
        <f t="shared" si="1596"/>
        <v/>
      </c>
      <c r="AS452" s="405" t="str">
        <f t="shared" si="1596"/>
        <v/>
      </c>
      <c r="AT452" s="405" t="str">
        <f t="shared" si="1596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597">IF(BD450="","",BD449*BD450*BD451)</f>
        <v/>
      </c>
      <c r="BE452" s="405" t="str">
        <f t="shared" si="1597"/>
        <v/>
      </c>
      <c r="BF452" s="405" t="str">
        <f t="shared" si="1597"/>
        <v/>
      </c>
      <c r="BG452" s="405" t="str">
        <f t="shared" si="1597"/>
        <v/>
      </c>
      <c r="BH452" s="405" t="str">
        <f t="shared" si="1597"/>
        <v/>
      </c>
      <c r="BI452" s="405" t="str">
        <f t="shared" si="1597"/>
        <v/>
      </c>
      <c r="BJ452" s="405" t="str">
        <f t="shared" si="1597"/>
        <v/>
      </c>
      <c r="BK452" s="405" t="str">
        <f t="shared" si="1597"/>
        <v/>
      </c>
      <c r="BL452" s="405" t="str">
        <f t="shared" si="1597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541"/>
        <v/>
      </c>
      <c r="CA452" s="373" t="str">
        <f t="shared" si="1542"/>
        <v/>
      </c>
      <c r="CB452" s="373" t="str">
        <f t="shared" si="1543"/>
        <v/>
      </c>
      <c r="CC452" s="462" t="str">
        <f t="shared" si="1544"/>
        <v/>
      </c>
      <c r="CD452" s="110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0" t="str">
        <f t="shared" si="1572"/>
        <v/>
      </c>
      <c r="CF452" s="1111" t="str">
        <f t="shared" si="1572"/>
        <v/>
      </c>
      <c r="CG452" s="1111" t="str">
        <f t="shared" si="1572"/>
        <v/>
      </c>
      <c r="CH452" s="1111" t="str">
        <f t="shared" si="1572"/>
        <v/>
      </c>
      <c r="CI452" s="1111" t="str">
        <f t="shared" si="1572"/>
        <v/>
      </c>
      <c r="CJ452" s="1111" t="str">
        <f t="shared" si="1572"/>
        <v/>
      </c>
      <c r="CK452" s="1112" t="str">
        <f t="shared" si="1572"/>
        <v/>
      </c>
      <c r="CL452" s="1112" t="str">
        <f t="shared" si="1572"/>
        <v/>
      </c>
      <c r="CM452" s="1112" t="str">
        <f t="shared" si="1572"/>
        <v/>
      </c>
      <c r="CN452" s="1111" t="str">
        <f t="shared" si="1572"/>
        <v/>
      </c>
      <c r="CO452" s="1111" t="str">
        <f t="shared" si="1572"/>
        <v/>
      </c>
      <c r="CP452" s="1111" t="str">
        <f t="shared" si="1572"/>
        <v/>
      </c>
      <c r="CQ452" s="1111" t="str">
        <f t="shared" si="1572"/>
        <v/>
      </c>
      <c r="CR452" s="1111" t="str">
        <f t="shared" si="1572"/>
        <v/>
      </c>
      <c r="CS452" s="1110" t="str">
        <f t="shared" si="1572"/>
        <v/>
      </c>
      <c r="CT452" s="1113" t="str">
        <f t="shared" si="1572"/>
        <v/>
      </c>
      <c r="CU452" s="324" t="str">
        <f t="shared" si="1573"/>
        <v/>
      </c>
      <c r="CV452" s="325" t="str">
        <f t="shared" si="1574"/>
        <v/>
      </c>
      <c r="CW452" s="326" t="str">
        <f t="shared" si="1575"/>
        <v/>
      </c>
      <c r="CX452" s="326" t="str">
        <f t="shared" si="1576"/>
        <v/>
      </c>
      <c r="CY452" s="326" t="str">
        <f t="shared" si="1577"/>
        <v/>
      </c>
      <c r="CZ452" s="326" t="str">
        <f t="shared" si="1578"/>
        <v/>
      </c>
      <c r="DA452" s="326" t="str">
        <f t="shared" si="1579"/>
        <v/>
      </c>
      <c r="DB452" s="327" t="str">
        <f t="shared" si="1580"/>
        <v/>
      </c>
      <c r="DC452" s="327" t="str">
        <f t="shared" si="1581"/>
        <v/>
      </c>
      <c r="DD452" s="327" t="str">
        <f t="shared" si="1582"/>
        <v/>
      </c>
      <c r="DE452" s="326" t="str">
        <f t="shared" si="1583"/>
        <v/>
      </c>
      <c r="DF452" s="326" t="str">
        <f t="shared" si="1584"/>
        <v/>
      </c>
      <c r="DG452" s="326" t="str">
        <f t="shared" si="1585"/>
        <v/>
      </c>
      <c r="DH452" s="326" t="str">
        <f t="shared" si="1586"/>
        <v/>
      </c>
      <c r="DI452" s="326" t="str">
        <f t="shared" si="1587"/>
        <v/>
      </c>
      <c r="DJ452" s="325" t="str">
        <f t="shared" si="1588"/>
        <v/>
      </c>
      <c r="DK452" s="324" t="str">
        <f t="shared" si="1589"/>
        <v/>
      </c>
      <c r="DL452" s="428">
        <f t="shared" si="1590"/>
        <v>0</v>
      </c>
      <c r="DM452" s="66">
        <f t="shared" si="1591"/>
        <v>0</v>
      </c>
      <c r="DN452" s="66">
        <f t="shared" si="1592"/>
        <v>0</v>
      </c>
      <c r="DO452" s="66">
        <f t="shared" si="159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598">3600*$K$1</f>
        <v>3600</v>
      </c>
      <c r="D453" s="476">
        <f t="shared" si="1598"/>
        <v>3600</v>
      </c>
      <c r="E453" s="476">
        <f t="shared" si="1598"/>
        <v>3600</v>
      </c>
      <c r="F453" s="476">
        <f t="shared" si="1598"/>
        <v>3600</v>
      </c>
      <c r="G453" s="476">
        <f t="shared" si="1598"/>
        <v>3600</v>
      </c>
      <c r="H453" s="476">
        <f t="shared" si="1598"/>
        <v>3600</v>
      </c>
      <c r="I453" s="476">
        <f t="shared" si="1598"/>
        <v>3600</v>
      </c>
      <c r="J453" s="476">
        <f t="shared" si="1598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599">3600*$K$1</f>
        <v>3600</v>
      </c>
      <c r="V453" s="476">
        <f t="shared" si="1599"/>
        <v>3600</v>
      </c>
      <c r="W453" s="476">
        <f t="shared" si="1599"/>
        <v>3600</v>
      </c>
      <c r="X453" s="476">
        <f t="shared" si="1599"/>
        <v>3600</v>
      </c>
      <c r="Y453" s="476">
        <f t="shared" si="1599"/>
        <v>3600</v>
      </c>
      <c r="Z453" s="476">
        <f t="shared" si="1599"/>
        <v>3600</v>
      </c>
      <c r="AA453" s="476">
        <f t="shared" si="1599"/>
        <v>3600</v>
      </c>
      <c r="AB453" s="476">
        <f t="shared" si="1599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600">3600*$K$1</f>
        <v>3600</v>
      </c>
      <c r="AO453" s="476">
        <f t="shared" si="1600"/>
        <v>3600</v>
      </c>
      <c r="AP453" s="476">
        <f t="shared" si="1600"/>
        <v>3600</v>
      </c>
      <c r="AQ453" s="476">
        <f t="shared" si="1600"/>
        <v>3600</v>
      </c>
      <c r="AR453" s="476">
        <f t="shared" si="1600"/>
        <v>3600</v>
      </c>
      <c r="AS453" s="476">
        <f t="shared" si="1600"/>
        <v>3600</v>
      </c>
      <c r="AT453" s="476">
        <f t="shared" si="1600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601">3600*$K$1</f>
        <v>3600</v>
      </c>
      <c r="BF453" s="476">
        <f t="shared" si="1601"/>
        <v>3600</v>
      </c>
      <c r="BG453" s="476">
        <v>3630</v>
      </c>
      <c r="BH453" s="476">
        <f t="shared" si="1601"/>
        <v>3600</v>
      </c>
      <c r="BI453" s="476">
        <f t="shared" si="1601"/>
        <v>3600</v>
      </c>
      <c r="BJ453" s="476">
        <v>3630</v>
      </c>
      <c r="BK453" s="476">
        <f t="shared" si="1601"/>
        <v>3600</v>
      </c>
      <c r="BL453" s="476">
        <f t="shared" si="1601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601"/>
        <v>3600</v>
      </c>
      <c r="BW453" s="476">
        <f t="shared" si="1601"/>
        <v>3600</v>
      </c>
      <c r="BX453" s="476">
        <f t="shared" si="1601"/>
        <v>3600</v>
      </c>
      <c r="BY453" s="476">
        <f t="shared" si="1601"/>
        <v>3600</v>
      </c>
      <c r="BZ453" s="373">
        <f t="shared" si="1541"/>
        <v>3600</v>
      </c>
      <c r="CA453" s="373">
        <f t="shared" si="1542"/>
        <v>3600</v>
      </c>
      <c r="CB453" s="373">
        <f t="shared" si="1543"/>
        <v>3600</v>
      </c>
      <c r="CC453" s="462">
        <f t="shared" si="1544"/>
        <v>3608.5714285714284</v>
      </c>
      <c r="CD453" s="110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0" t="str">
        <f t="shared" si="1572"/>
        <v/>
      </c>
      <c r="CF453" s="1111" t="str">
        <f t="shared" si="1572"/>
        <v/>
      </c>
      <c r="CG453" s="1111" t="str">
        <f t="shared" si="1572"/>
        <v/>
      </c>
      <c r="CH453" s="1111">
        <f t="shared" si="1572"/>
        <v>3600</v>
      </c>
      <c r="CI453" s="1111">
        <f t="shared" si="1572"/>
        <v>3600</v>
      </c>
      <c r="CJ453" s="1111">
        <f t="shared" si="1572"/>
        <v>3600</v>
      </c>
      <c r="CK453" s="1112">
        <f t="shared" si="1572"/>
        <v>3600</v>
      </c>
      <c r="CL453" s="1112">
        <f t="shared" si="1572"/>
        <v>3600</v>
      </c>
      <c r="CM453" s="1112">
        <f t="shared" si="1572"/>
        <v>3600</v>
      </c>
      <c r="CN453" s="1111">
        <f t="shared" si="1572"/>
        <v>3600</v>
      </c>
      <c r="CO453" s="1111">
        <f t="shared" si="1572"/>
        <v>3600</v>
      </c>
      <c r="CP453" s="1111">
        <f t="shared" si="1572"/>
        <v>3600</v>
      </c>
      <c r="CQ453" s="1111" t="str">
        <f t="shared" si="1572"/>
        <v/>
      </c>
      <c r="CR453" s="1111" t="str">
        <f t="shared" si="1572"/>
        <v/>
      </c>
      <c r="CS453" s="1110" t="str">
        <f t="shared" si="1572"/>
        <v/>
      </c>
      <c r="CT453" s="1113" t="str">
        <f t="shared" si="1572"/>
        <v/>
      </c>
      <c r="CU453" s="324" t="str">
        <f t="shared" si="1573"/>
        <v/>
      </c>
      <c r="CV453" s="325" t="str">
        <f t="shared" si="1574"/>
        <v/>
      </c>
      <c r="CW453" s="326" t="str">
        <f t="shared" si="1575"/>
        <v/>
      </c>
      <c r="CX453" s="326" t="str">
        <f t="shared" si="1576"/>
        <v/>
      </c>
      <c r="CY453" s="326">
        <f t="shared" si="1577"/>
        <v>3600</v>
      </c>
      <c r="CZ453" s="326">
        <f t="shared" si="1578"/>
        <v>3600</v>
      </c>
      <c r="DA453" s="326">
        <f t="shared" si="1579"/>
        <v>3600</v>
      </c>
      <c r="DB453" s="327">
        <f t="shared" si="1580"/>
        <v>3600</v>
      </c>
      <c r="DC453" s="327">
        <f t="shared" si="1581"/>
        <v>3600</v>
      </c>
      <c r="DD453" s="327">
        <f t="shared" si="1582"/>
        <v>3600</v>
      </c>
      <c r="DE453" s="326">
        <f t="shared" si="1583"/>
        <v>3600</v>
      </c>
      <c r="DF453" s="326">
        <f t="shared" si="1584"/>
        <v>3600</v>
      </c>
      <c r="DG453" s="326">
        <f t="shared" si="1585"/>
        <v>3600</v>
      </c>
      <c r="DH453" s="326" t="str">
        <f t="shared" si="1586"/>
        <v/>
      </c>
      <c r="DI453" s="326" t="str">
        <f t="shared" si="1587"/>
        <v/>
      </c>
      <c r="DJ453" s="325" t="str">
        <f t="shared" si="1588"/>
        <v/>
      </c>
      <c r="DK453" s="324" t="str">
        <f t="shared" si="1589"/>
        <v/>
      </c>
      <c r="DL453" s="428">
        <f t="shared" si="1590"/>
        <v>9</v>
      </c>
      <c r="DM453" s="66">
        <f t="shared" si="1591"/>
        <v>9</v>
      </c>
      <c r="DN453" s="66">
        <f t="shared" si="1592"/>
        <v>9</v>
      </c>
      <c r="DO453" s="66">
        <f t="shared" si="1593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602">IF(B452="","",B452*B453/B$46/365/$G$1)</f>
        <v/>
      </c>
      <c r="C454" s="408" t="str">
        <f t="shared" si="1602"/>
        <v/>
      </c>
      <c r="D454" s="408" t="str">
        <f t="shared" si="1602"/>
        <v/>
      </c>
      <c r="E454" s="408" t="str">
        <f t="shared" si="1602"/>
        <v/>
      </c>
      <c r="F454" s="408" t="str">
        <f t="shared" si="1602"/>
        <v/>
      </c>
      <c r="G454" s="408" t="str">
        <f t="shared" si="1602"/>
        <v/>
      </c>
      <c r="H454" s="408" t="str">
        <f t="shared" si="1602"/>
        <v/>
      </c>
      <c r="I454" s="408" t="str">
        <f t="shared" si="1602"/>
        <v/>
      </c>
      <c r="J454" s="408" t="str">
        <f t="shared" si="1602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603">IF(T452="","",T452*T453/T$46/365/$G$1)</f>
        <v/>
      </c>
      <c r="U454" s="408" t="str">
        <f t="shared" si="1603"/>
        <v/>
      </c>
      <c r="V454" s="408" t="str">
        <f t="shared" si="1603"/>
        <v/>
      </c>
      <c r="W454" s="408" t="str">
        <f t="shared" si="1603"/>
        <v/>
      </c>
      <c r="X454" s="408" t="str">
        <f t="shared" si="1603"/>
        <v/>
      </c>
      <c r="Y454" s="408" t="str">
        <f t="shared" si="1603"/>
        <v/>
      </c>
      <c r="Z454" s="408" t="str">
        <f t="shared" si="1603"/>
        <v/>
      </c>
      <c r="AA454" s="408" t="str">
        <f t="shared" si="1603"/>
        <v/>
      </c>
      <c r="AB454" s="408" t="str">
        <f t="shared" si="1603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604">IF(AL452="","",AL452*AL453/AL$46/365/$G$1)</f>
        <v/>
      </c>
      <c r="AM454" s="408" t="str">
        <f t="shared" si="1604"/>
        <v/>
      </c>
      <c r="AN454" s="408" t="str">
        <f t="shared" si="1604"/>
        <v/>
      </c>
      <c r="AO454" s="408" t="str">
        <f t="shared" si="1604"/>
        <v/>
      </c>
      <c r="AP454" s="408" t="str">
        <f t="shared" si="1604"/>
        <v/>
      </c>
      <c r="AQ454" s="408" t="str">
        <f t="shared" si="1604"/>
        <v/>
      </c>
      <c r="AR454" s="408" t="str">
        <f t="shared" si="1604"/>
        <v/>
      </c>
      <c r="AS454" s="408" t="str">
        <f t="shared" si="1604"/>
        <v/>
      </c>
      <c r="AT454" s="408" t="str">
        <f t="shared" si="1604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605">IF(BD452="","",BD452*BD453/BD$46/365/$G$1)</f>
        <v/>
      </c>
      <c r="BE454" s="408" t="str">
        <f t="shared" si="1605"/>
        <v/>
      </c>
      <c r="BF454" s="408" t="str">
        <f t="shared" si="1605"/>
        <v/>
      </c>
      <c r="BG454" s="408" t="str">
        <f t="shared" si="1605"/>
        <v/>
      </c>
      <c r="BH454" s="408" t="str">
        <f t="shared" si="1605"/>
        <v/>
      </c>
      <c r="BI454" s="408" t="str">
        <f t="shared" si="1605"/>
        <v/>
      </c>
      <c r="BJ454" s="408" t="str">
        <f t="shared" si="1605"/>
        <v/>
      </c>
      <c r="BK454" s="408" t="str">
        <f t="shared" si="1605"/>
        <v/>
      </c>
      <c r="BL454" s="408" t="str">
        <f t="shared" si="1605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541"/>
        <v/>
      </c>
      <c r="CA454" s="398" t="str">
        <f t="shared" si="1542"/>
        <v/>
      </c>
      <c r="CB454" s="398" t="str">
        <f t="shared" si="1543"/>
        <v/>
      </c>
      <c r="CC454" s="398" t="str">
        <f t="shared" si="1544"/>
        <v/>
      </c>
      <c r="CD454" s="111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5" t="str">
        <f t="shared" si="1572"/>
        <v/>
      </c>
      <c r="CF454" s="1116" t="str">
        <f t="shared" si="1572"/>
        <v/>
      </c>
      <c r="CG454" s="1116" t="str">
        <f t="shared" si="1572"/>
        <v/>
      </c>
      <c r="CH454" s="1116" t="str">
        <f t="shared" si="1572"/>
        <v/>
      </c>
      <c r="CI454" s="1116" t="str">
        <f t="shared" si="1572"/>
        <v/>
      </c>
      <c r="CJ454" s="1116" t="str">
        <f t="shared" si="1572"/>
        <v/>
      </c>
      <c r="CK454" s="1117" t="str">
        <f t="shared" si="1572"/>
        <v/>
      </c>
      <c r="CL454" s="1117" t="str">
        <f t="shared" si="1572"/>
        <v/>
      </c>
      <c r="CM454" s="1117" t="str">
        <f t="shared" si="1572"/>
        <v/>
      </c>
      <c r="CN454" s="1116" t="str">
        <f t="shared" si="1572"/>
        <v/>
      </c>
      <c r="CO454" s="1116" t="str">
        <f t="shared" si="1572"/>
        <v/>
      </c>
      <c r="CP454" s="1116" t="str">
        <f t="shared" si="1572"/>
        <v/>
      </c>
      <c r="CQ454" s="1116" t="str">
        <f t="shared" si="1572"/>
        <v/>
      </c>
      <c r="CR454" s="1116" t="str">
        <f t="shared" si="1572"/>
        <v/>
      </c>
      <c r="CS454" s="1115" t="str">
        <f t="shared" si="1572"/>
        <v/>
      </c>
      <c r="CT454" s="1118" t="str">
        <f t="shared" si="1572"/>
        <v/>
      </c>
      <c r="CU454" s="312" t="str">
        <f t="shared" si="1573"/>
        <v/>
      </c>
      <c r="CV454" s="313" t="str">
        <f t="shared" si="1574"/>
        <v/>
      </c>
      <c r="CW454" s="314" t="str">
        <f t="shared" si="1575"/>
        <v/>
      </c>
      <c r="CX454" s="314" t="str">
        <f t="shared" si="1576"/>
        <v/>
      </c>
      <c r="CY454" s="314" t="str">
        <f t="shared" si="1577"/>
        <v/>
      </c>
      <c r="CZ454" s="314" t="str">
        <f t="shared" si="1578"/>
        <v/>
      </c>
      <c r="DA454" s="314" t="str">
        <f t="shared" si="1579"/>
        <v/>
      </c>
      <c r="DB454" s="315" t="str">
        <f t="shared" si="1580"/>
        <v/>
      </c>
      <c r="DC454" s="315" t="str">
        <f t="shared" si="1581"/>
        <v/>
      </c>
      <c r="DD454" s="315" t="str">
        <f t="shared" si="1582"/>
        <v/>
      </c>
      <c r="DE454" s="314" t="str">
        <f t="shared" si="1583"/>
        <v/>
      </c>
      <c r="DF454" s="314" t="str">
        <f t="shared" si="1584"/>
        <v/>
      </c>
      <c r="DG454" s="314" t="str">
        <f t="shared" si="1585"/>
        <v/>
      </c>
      <c r="DH454" s="314" t="str">
        <f t="shared" si="1586"/>
        <v/>
      </c>
      <c r="DI454" s="314" t="str">
        <f t="shared" si="1587"/>
        <v/>
      </c>
      <c r="DJ454" s="313" t="str">
        <f t="shared" si="1588"/>
        <v/>
      </c>
      <c r="DK454" s="312" t="str">
        <f t="shared" si="1589"/>
        <v/>
      </c>
      <c r="DL454" s="428">
        <f t="shared" si="1590"/>
        <v>0</v>
      </c>
      <c r="DM454" s="66">
        <f t="shared" si="1591"/>
        <v>0</v>
      </c>
      <c r="DN454" s="66">
        <f t="shared" si="1592"/>
        <v>0</v>
      </c>
      <c r="DO454" s="66">
        <f t="shared" si="159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541"/>
        <v/>
      </c>
      <c r="CA455" s="373" t="str">
        <f t="shared" si="1542"/>
        <v/>
      </c>
      <c r="CB455" s="373" t="str">
        <f t="shared" si="1543"/>
        <v/>
      </c>
      <c r="CC455" s="462" t="str">
        <f t="shared" si="1544"/>
        <v/>
      </c>
      <c r="CD455" s="1109" t="str">
        <f t="shared" ref="CD455:CS456" si="16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0" t="str">
        <f t="shared" si="1606"/>
        <v/>
      </c>
      <c r="CF455" s="1111" t="str">
        <f t="shared" si="1606"/>
        <v/>
      </c>
      <c r="CG455" s="1111" t="str">
        <f t="shared" si="1606"/>
        <v/>
      </c>
      <c r="CH455" s="1111" t="str">
        <f t="shared" si="1606"/>
        <v/>
      </c>
      <c r="CI455" s="1111" t="str">
        <f t="shared" si="1606"/>
        <v/>
      </c>
      <c r="CJ455" s="1111" t="str">
        <f t="shared" si="1606"/>
        <v/>
      </c>
      <c r="CK455" s="1112" t="str">
        <f t="shared" si="1606"/>
        <v/>
      </c>
      <c r="CL455" s="1112" t="str">
        <f t="shared" si="1606"/>
        <v/>
      </c>
      <c r="CM455" s="1112" t="str">
        <f t="shared" si="1606"/>
        <v/>
      </c>
      <c r="CN455" s="1111" t="str">
        <f t="shared" si="1606"/>
        <v/>
      </c>
      <c r="CO455" s="1111" t="str">
        <f t="shared" si="1606"/>
        <v/>
      </c>
      <c r="CP455" s="1111" t="str">
        <f t="shared" si="1606"/>
        <v/>
      </c>
      <c r="CQ455" s="1111" t="str">
        <f t="shared" si="1606"/>
        <v/>
      </c>
      <c r="CR455" s="1111" t="str">
        <f t="shared" si="1606"/>
        <v/>
      </c>
      <c r="CS455" s="1110" t="str">
        <f t="shared" si="1606"/>
        <v/>
      </c>
      <c r="CT455" s="1113" t="str">
        <f t="shared" ref="CE455:CT456" si="16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3"/>
        <v/>
      </c>
      <c r="CV455" s="325" t="str">
        <f t="shared" si="1574"/>
        <v/>
      </c>
      <c r="CW455" s="326" t="str">
        <f t="shared" si="1575"/>
        <v/>
      </c>
      <c r="CX455" s="326" t="str">
        <f t="shared" si="1576"/>
        <v/>
      </c>
      <c r="CY455" s="326" t="str">
        <f t="shared" si="1577"/>
        <v/>
      </c>
      <c r="CZ455" s="326" t="str">
        <f t="shared" si="1578"/>
        <v/>
      </c>
      <c r="DA455" s="326" t="str">
        <f t="shared" si="1579"/>
        <v/>
      </c>
      <c r="DB455" s="327" t="str">
        <f t="shared" si="1580"/>
        <v/>
      </c>
      <c r="DC455" s="327" t="str">
        <f t="shared" si="1581"/>
        <v/>
      </c>
      <c r="DD455" s="327" t="str">
        <f t="shared" si="1582"/>
        <v/>
      </c>
      <c r="DE455" s="326" t="str">
        <f t="shared" si="1583"/>
        <v/>
      </c>
      <c r="DF455" s="326" t="str">
        <f t="shared" si="1584"/>
        <v/>
      </c>
      <c r="DG455" s="326" t="str">
        <f t="shared" si="1585"/>
        <v/>
      </c>
      <c r="DH455" s="326" t="str">
        <f t="shared" si="1586"/>
        <v/>
      </c>
      <c r="DI455" s="326" t="str">
        <f t="shared" si="1587"/>
        <v/>
      </c>
      <c r="DJ455" s="325" t="str">
        <f t="shared" si="1588"/>
        <v/>
      </c>
      <c r="DK455" s="324" t="str">
        <f t="shared" si="1589"/>
        <v/>
      </c>
      <c r="DL455" s="428">
        <f t="shared" si="1590"/>
        <v>0</v>
      </c>
      <c r="DM455" s="66">
        <f t="shared" si="1591"/>
        <v>0</v>
      </c>
      <c r="DN455" s="66">
        <f t="shared" si="1592"/>
        <v>0</v>
      </c>
      <c r="DO455" s="66">
        <f t="shared" si="159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608">IF(B455="","",B450*B455*B451)</f>
        <v/>
      </c>
      <c r="C456" s="405" t="str">
        <f t="shared" si="1608"/>
        <v/>
      </c>
      <c r="D456" s="405" t="str">
        <f t="shared" si="1608"/>
        <v/>
      </c>
      <c r="E456" s="405" t="str">
        <f t="shared" si="1608"/>
        <v/>
      </c>
      <c r="F456" s="405" t="str">
        <f t="shared" si="1608"/>
        <v/>
      </c>
      <c r="G456" s="405" t="str">
        <f t="shared" si="1608"/>
        <v/>
      </c>
      <c r="H456" s="405" t="str">
        <f t="shared" si="1608"/>
        <v/>
      </c>
      <c r="I456" s="405" t="str">
        <f t="shared" si="1608"/>
        <v/>
      </c>
      <c r="J456" s="405" t="str">
        <f t="shared" si="1608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609">IF(T455="","",T450*T455*T451)</f>
        <v/>
      </c>
      <c r="U456" s="405" t="str">
        <f t="shared" si="1609"/>
        <v/>
      </c>
      <c r="V456" s="405" t="str">
        <f t="shared" si="1609"/>
        <v/>
      </c>
      <c r="W456" s="405" t="str">
        <f t="shared" si="1609"/>
        <v/>
      </c>
      <c r="X456" s="405" t="str">
        <f t="shared" si="1609"/>
        <v/>
      </c>
      <c r="Y456" s="405" t="str">
        <f t="shared" si="1609"/>
        <v/>
      </c>
      <c r="Z456" s="405" t="str">
        <f t="shared" si="1609"/>
        <v/>
      </c>
      <c r="AA456" s="405" t="str">
        <f t="shared" si="1609"/>
        <v/>
      </c>
      <c r="AB456" s="405" t="str">
        <f t="shared" si="1609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610">IF(AL455="","",AL450*AL455*AL451)</f>
        <v/>
      </c>
      <c r="AM456" s="405" t="str">
        <f t="shared" si="1610"/>
        <v/>
      </c>
      <c r="AN456" s="405" t="str">
        <f t="shared" si="1610"/>
        <v/>
      </c>
      <c r="AO456" s="405" t="str">
        <f t="shared" si="1610"/>
        <v/>
      </c>
      <c r="AP456" s="405" t="str">
        <f t="shared" si="1610"/>
        <v/>
      </c>
      <c r="AQ456" s="405" t="str">
        <f t="shared" si="1610"/>
        <v/>
      </c>
      <c r="AR456" s="405" t="str">
        <f t="shared" si="1610"/>
        <v/>
      </c>
      <c r="AS456" s="405" t="str">
        <f t="shared" si="1610"/>
        <v/>
      </c>
      <c r="AT456" s="405" t="str">
        <f t="shared" si="1610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611">IF(BD455="","",BD450*BD455*BD451)</f>
        <v/>
      </c>
      <c r="BE456" s="405" t="str">
        <f t="shared" si="1611"/>
        <v/>
      </c>
      <c r="BF456" s="405" t="str">
        <f t="shared" si="1611"/>
        <v/>
      </c>
      <c r="BG456" s="405" t="str">
        <f t="shared" si="1611"/>
        <v/>
      </c>
      <c r="BH456" s="405" t="str">
        <f t="shared" si="1611"/>
        <v/>
      </c>
      <c r="BI456" s="405" t="str">
        <f t="shared" si="1611"/>
        <v/>
      </c>
      <c r="BJ456" s="405" t="str">
        <f t="shared" si="1611"/>
        <v/>
      </c>
      <c r="BK456" s="405" t="str">
        <f t="shared" si="1611"/>
        <v/>
      </c>
      <c r="BL456" s="405" t="str">
        <f t="shared" si="1611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541"/>
        <v/>
      </c>
      <c r="CA456" s="373" t="str">
        <f t="shared" si="1542"/>
        <v/>
      </c>
      <c r="CB456" s="373" t="str">
        <f t="shared" si="1543"/>
        <v/>
      </c>
      <c r="CC456" s="462" t="str">
        <f t="shared" si="1544"/>
        <v/>
      </c>
      <c r="CD456" s="1109" t="str">
        <f t="shared" si="1606"/>
        <v/>
      </c>
      <c r="CE456" s="1110" t="str">
        <f t="shared" si="1607"/>
        <v/>
      </c>
      <c r="CF456" s="1111" t="str">
        <f t="shared" si="1607"/>
        <v/>
      </c>
      <c r="CG456" s="1111" t="str">
        <f t="shared" si="1607"/>
        <v/>
      </c>
      <c r="CH456" s="1111" t="str">
        <f t="shared" si="1607"/>
        <v/>
      </c>
      <c r="CI456" s="1111" t="str">
        <f t="shared" si="1607"/>
        <v/>
      </c>
      <c r="CJ456" s="1111" t="str">
        <f t="shared" si="1607"/>
        <v/>
      </c>
      <c r="CK456" s="1112" t="str">
        <f t="shared" si="1607"/>
        <v/>
      </c>
      <c r="CL456" s="1112" t="str">
        <f t="shared" si="1607"/>
        <v/>
      </c>
      <c r="CM456" s="1112" t="str">
        <f t="shared" si="1607"/>
        <v/>
      </c>
      <c r="CN456" s="1111" t="str">
        <f t="shared" si="1607"/>
        <v/>
      </c>
      <c r="CO456" s="1111" t="str">
        <f t="shared" si="1607"/>
        <v/>
      </c>
      <c r="CP456" s="1111" t="str">
        <f t="shared" si="1607"/>
        <v/>
      </c>
      <c r="CQ456" s="1111" t="str">
        <f t="shared" si="1607"/>
        <v/>
      </c>
      <c r="CR456" s="1111" t="str">
        <f t="shared" si="1607"/>
        <v/>
      </c>
      <c r="CS456" s="1110" t="str">
        <f t="shared" si="1607"/>
        <v/>
      </c>
      <c r="CT456" s="1113" t="str">
        <f t="shared" si="1607"/>
        <v/>
      </c>
      <c r="CU456" s="324" t="str">
        <f t="shared" si="1573"/>
        <v/>
      </c>
      <c r="CV456" s="325" t="str">
        <f t="shared" si="1574"/>
        <v/>
      </c>
      <c r="CW456" s="326" t="str">
        <f t="shared" si="1575"/>
        <v/>
      </c>
      <c r="CX456" s="326" t="str">
        <f t="shared" si="1576"/>
        <v/>
      </c>
      <c r="CY456" s="326" t="str">
        <f t="shared" si="1577"/>
        <v/>
      </c>
      <c r="CZ456" s="326" t="str">
        <f t="shared" si="1578"/>
        <v/>
      </c>
      <c r="DA456" s="326" t="str">
        <f t="shared" si="1579"/>
        <v/>
      </c>
      <c r="DB456" s="327" t="str">
        <f t="shared" si="1580"/>
        <v/>
      </c>
      <c r="DC456" s="327" t="str">
        <f t="shared" si="1581"/>
        <v/>
      </c>
      <c r="DD456" s="327" t="str">
        <f t="shared" si="1582"/>
        <v/>
      </c>
      <c r="DE456" s="326" t="str">
        <f t="shared" si="1583"/>
        <v/>
      </c>
      <c r="DF456" s="326" t="str">
        <f t="shared" si="1584"/>
        <v/>
      </c>
      <c r="DG456" s="326" t="str">
        <f t="shared" si="1585"/>
        <v/>
      </c>
      <c r="DH456" s="326" t="str">
        <f t="shared" si="1586"/>
        <v/>
      </c>
      <c r="DI456" s="326" t="str">
        <f t="shared" si="1587"/>
        <v/>
      </c>
      <c r="DJ456" s="325" t="str">
        <f t="shared" si="1588"/>
        <v/>
      </c>
      <c r="DK456" s="324" t="str">
        <f t="shared" si="1589"/>
        <v/>
      </c>
      <c r="DL456" s="428">
        <f t="shared" si="1590"/>
        <v>0</v>
      </c>
      <c r="DM456" s="66">
        <f t="shared" si="1591"/>
        <v>0</v>
      </c>
      <c r="DN456" s="66">
        <f t="shared" si="1592"/>
        <v>0</v>
      </c>
      <c r="DO456" s="66">
        <f t="shared" si="159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5" t="s">
        <v>670</v>
      </c>
      <c r="B457" s="1549" t="s">
        <v>913</v>
      </c>
      <c r="C457" s="1549" t="s">
        <v>913</v>
      </c>
      <c r="D457" s="1549" t="s">
        <v>913</v>
      </c>
      <c r="E457" s="1549" t="s">
        <v>913</v>
      </c>
      <c r="F457" s="1549" t="s">
        <v>913</v>
      </c>
      <c r="G457" s="1549" t="s">
        <v>913</v>
      </c>
      <c r="H457" s="1549" t="s">
        <v>913</v>
      </c>
      <c r="I457" s="1549" t="s">
        <v>913</v>
      </c>
      <c r="J457" s="1549" t="s">
        <v>913</v>
      </c>
      <c r="K457" s="1549"/>
      <c r="L457" s="1549"/>
      <c r="M457" s="1549"/>
      <c r="N457" s="1549"/>
      <c r="O457" s="1549"/>
      <c r="P457" s="1549"/>
      <c r="Q457" s="1549"/>
      <c r="R457" s="1549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541"/>
        <v/>
      </c>
      <c r="CA457" s="365" t="str">
        <f t="shared" si="1542"/>
        <v/>
      </c>
      <c r="CB457" s="365" t="str">
        <f t="shared" si="1543"/>
        <v/>
      </c>
      <c r="CC457" s="461" t="str">
        <f t="shared" si="1544"/>
        <v/>
      </c>
      <c r="CD457" s="1120"/>
      <c r="CE457" s="1120"/>
      <c r="CF457" s="1120"/>
      <c r="CG457" s="1120"/>
      <c r="CH457" s="1120"/>
      <c r="CI457" s="1120"/>
      <c r="CJ457" s="1120"/>
      <c r="CK457" s="1120"/>
      <c r="CL457" s="1120"/>
      <c r="CM457" s="1120"/>
      <c r="CN457" s="1120"/>
      <c r="CO457" s="1120"/>
      <c r="CP457" s="1120"/>
      <c r="CQ457" s="1120"/>
      <c r="CR457" s="1120"/>
      <c r="CS457" s="1120"/>
      <c r="CT457" s="1121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541"/>
        <v>2.5</v>
      </c>
      <c r="CA458" s="373">
        <f t="shared" si="1542"/>
        <v>8.75</v>
      </c>
      <c r="CB458" s="373">
        <f t="shared" si="1543"/>
        <v>20</v>
      </c>
      <c r="CC458" s="462" t="str">
        <f t="shared" si="1544"/>
        <v/>
      </c>
      <c r="CD458" s="1109" t="str">
        <f t="shared" ref="CD458:CS458" si="16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0" t="str">
        <f t="shared" si="1612"/>
        <v/>
      </c>
      <c r="CF458" s="1111" t="str">
        <f t="shared" si="1612"/>
        <v/>
      </c>
      <c r="CG458" s="1111" t="str">
        <f t="shared" si="1612"/>
        <v/>
      </c>
      <c r="CH458" s="1111" t="str">
        <f t="shared" si="1612"/>
        <v/>
      </c>
      <c r="CI458" s="1111">
        <f t="shared" si="1612"/>
        <v>2.5</v>
      </c>
      <c r="CJ458" s="1111">
        <f t="shared" si="1612"/>
        <v>2.5</v>
      </c>
      <c r="CK458" s="1112">
        <f t="shared" si="1612"/>
        <v>2.5</v>
      </c>
      <c r="CL458" s="1112">
        <f t="shared" si="1612"/>
        <v>2.5</v>
      </c>
      <c r="CM458" s="1112">
        <f t="shared" si="1612"/>
        <v>2.5</v>
      </c>
      <c r="CN458" s="1111">
        <f t="shared" si="1612"/>
        <v>2.5</v>
      </c>
      <c r="CO458" s="1111">
        <f t="shared" si="1612"/>
        <v>2.5</v>
      </c>
      <c r="CP458" s="1111">
        <f t="shared" si="1612"/>
        <v>20</v>
      </c>
      <c r="CQ458" s="1111" t="str">
        <f t="shared" si="1612"/>
        <v/>
      </c>
      <c r="CR458" s="1111" t="str">
        <f t="shared" si="1612"/>
        <v/>
      </c>
      <c r="CS458" s="1110" t="str">
        <f t="shared" si="1612"/>
        <v/>
      </c>
      <c r="CT458" s="1113" t="str">
        <f t="shared" ref="CE458:CT463" si="16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6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6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6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6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6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6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6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631">COUNT(B458:R458)</f>
        <v>8</v>
      </c>
      <c r="DM458" s="66">
        <f t="shared" ref="DM458:DM465" si="1632">COUNT(T458:AJ458)</f>
        <v>6</v>
      </c>
      <c r="DN458" s="66">
        <f t="shared" ref="DN458:DN465" si="1633">COUNT(AL458:BB458)</f>
        <v>4</v>
      </c>
      <c r="DO458" s="66">
        <f t="shared" ref="DO458:DO465" si="1634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541"/>
        <v>11.666666666666666</v>
      </c>
      <c r="CA459" s="373">
        <f t="shared" si="1542"/>
        <v>6.75</v>
      </c>
      <c r="CB459" s="373">
        <f t="shared" si="1543"/>
        <v>3</v>
      </c>
      <c r="CC459" s="462" t="str">
        <f t="shared" si="1544"/>
        <v/>
      </c>
      <c r="CD459" s="110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 t="str">
        <f t="shared" si="1613"/>
        <v/>
      </c>
      <c r="CF459" s="1111" t="str">
        <f t="shared" si="1613"/>
        <v/>
      </c>
      <c r="CG459" s="1111" t="str">
        <f t="shared" si="1613"/>
        <v/>
      </c>
      <c r="CH459" s="1111" t="str">
        <f t="shared" si="1613"/>
        <v/>
      </c>
      <c r="CI459" s="1111">
        <f t="shared" si="1613"/>
        <v>2</v>
      </c>
      <c r="CJ459" s="1111">
        <f t="shared" si="1613"/>
        <v>8</v>
      </c>
      <c r="CK459" s="1112">
        <f t="shared" si="1613"/>
        <v>8</v>
      </c>
      <c r="CL459" s="1112">
        <f t="shared" si="1613"/>
        <v>8</v>
      </c>
      <c r="CM459" s="1112">
        <f t="shared" si="1613"/>
        <v>14</v>
      </c>
      <c r="CN459" s="1111">
        <f t="shared" si="1613"/>
        <v>16</v>
      </c>
      <c r="CO459" s="1111">
        <f t="shared" si="1613"/>
        <v>16</v>
      </c>
      <c r="CP459" s="1111">
        <f t="shared" si="1613"/>
        <v>21</v>
      </c>
      <c r="CQ459" s="1111" t="str">
        <f t="shared" si="1613"/>
        <v/>
      </c>
      <c r="CR459" s="1111" t="str">
        <f t="shared" si="1613"/>
        <v/>
      </c>
      <c r="CS459" s="1110" t="str">
        <f t="shared" si="1613"/>
        <v/>
      </c>
      <c r="CT459" s="1113" t="str">
        <f t="shared" si="1613"/>
        <v/>
      </c>
      <c r="CU459" s="324" t="str">
        <f t="shared" si="1614"/>
        <v/>
      </c>
      <c r="CV459" s="325" t="str">
        <f t="shared" si="1615"/>
        <v/>
      </c>
      <c r="CW459" s="326" t="str">
        <f t="shared" si="1616"/>
        <v/>
      </c>
      <c r="CX459" s="326" t="str">
        <f t="shared" si="1617"/>
        <v/>
      </c>
      <c r="CY459" s="326" t="str">
        <f t="shared" si="1618"/>
        <v/>
      </c>
      <c r="CZ459" s="326" t="str">
        <f t="shared" si="1619"/>
        <v/>
      </c>
      <c r="DA459" s="326">
        <f t="shared" si="1620"/>
        <v>4</v>
      </c>
      <c r="DB459" s="327">
        <f t="shared" si="1621"/>
        <v>4</v>
      </c>
      <c r="DC459" s="327">
        <f t="shared" si="1622"/>
        <v>4</v>
      </c>
      <c r="DD459" s="327">
        <f t="shared" si="1623"/>
        <v>4</v>
      </c>
      <c r="DE459" s="326">
        <f t="shared" si="1624"/>
        <v>15</v>
      </c>
      <c r="DF459" s="326">
        <f t="shared" si="1625"/>
        <v>20</v>
      </c>
      <c r="DG459" s="326" t="str">
        <f t="shared" si="1626"/>
        <v/>
      </c>
      <c r="DH459" s="326" t="str">
        <f t="shared" si="1627"/>
        <v/>
      </c>
      <c r="DI459" s="326" t="str">
        <f t="shared" si="1628"/>
        <v/>
      </c>
      <c r="DJ459" s="325" t="str">
        <f t="shared" si="1629"/>
        <v/>
      </c>
      <c r="DK459" s="324" t="str">
        <f t="shared" si="1630"/>
        <v/>
      </c>
      <c r="DL459" s="428">
        <f t="shared" si="1631"/>
        <v>8</v>
      </c>
      <c r="DM459" s="66">
        <f t="shared" si="1632"/>
        <v>6</v>
      </c>
      <c r="DN459" s="66">
        <f t="shared" si="1633"/>
        <v>4</v>
      </c>
      <c r="DO459" s="66">
        <f t="shared" si="1634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541"/>
        <v>3.5</v>
      </c>
      <c r="CA460" s="373">
        <f t="shared" si="1542"/>
        <v>3.25</v>
      </c>
      <c r="CB460" s="373">
        <f t="shared" si="1543"/>
        <v>5</v>
      </c>
      <c r="CC460" s="462" t="str">
        <f t="shared" si="1544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 t="str">
        <f t="shared" si="1613"/>
        <v/>
      </c>
      <c r="CF460" s="1111" t="str">
        <f t="shared" si="1613"/>
        <v/>
      </c>
      <c r="CG460" s="1111" t="str">
        <f t="shared" si="1613"/>
        <v/>
      </c>
      <c r="CH460" s="1111" t="str">
        <f t="shared" si="1613"/>
        <v/>
      </c>
      <c r="CI460" s="1111">
        <f t="shared" si="1613"/>
        <v>2</v>
      </c>
      <c r="CJ460" s="1111">
        <f t="shared" si="1613"/>
        <v>2</v>
      </c>
      <c r="CK460" s="1112">
        <f t="shared" si="1613"/>
        <v>2</v>
      </c>
      <c r="CL460" s="1112">
        <f t="shared" si="1613"/>
        <v>2</v>
      </c>
      <c r="CM460" s="1112">
        <f t="shared" si="1613"/>
        <v>4</v>
      </c>
      <c r="CN460" s="1111">
        <f t="shared" si="1613"/>
        <v>4</v>
      </c>
      <c r="CO460" s="1111">
        <f t="shared" si="1613"/>
        <v>7</v>
      </c>
      <c r="CP460" s="1111">
        <f t="shared" si="1613"/>
        <v>10</v>
      </c>
      <c r="CQ460" s="1111" t="str">
        <f t="shared" si="1613"/>
        <v/>
      </c>
      <c r="CR460" s="1111" t="str">
        <f t="shared" si="1613"/>
        <v/>
      </c>
      <c r="CS460" s="1110" t="str">
        <f t="shared" si="1613"/>
        <v/>
      </c>
      <c r="CT460" s="1113" t="str">
        <f t="shared" si="1613"/>
        <v/>
      </c>
      <c r="CU460" s="324" t="str">
        <f t="shared" si="1614"/>
        <v/>
      </c>
      <c r="CV460" s="325" t="str">
        <f t="shared" si="1615"/>
        <v/>
      </c>
      <c r="CW460" s="326" t="str">
        <f t="shared" si="1616"/>
        <v/>
      </c>
      <c r="CX460" s="326" t="str">
        <f t="shared" si="1617"/>
        <v/>
      </c>
      <c r="CY460" s="326" t="str">
        <f t="shared" si="1618"/>
        <v/>
      </c>
      <c r="CZ460" s="326" t="str">
        <f t="shared" si="1619"/>
        <v/>
      </c>
      <c r="DA460" s="326">
        <f t="shared" si="1620"/>
        <v>2</v>
      </c>
      <c r="DB460" s="327">
        <f t="shared" si="1621"/>
        <v>3</v>
      </c>
      <c r="DC460" s="327">
        <f t="shared" si="1622"/>
        <v>3</v>
      </c>
      <c r="DD460" s="327">
        <f t="shared" si="1623"/>
        <v>3</v>
      </c>
      <c r="DE460" s="326">
        <f t="shared" si="1624"/>
        <v>4</v>
      </c>
      <c r="DF460" s="326">
        <f t="shared" si="1625"/>
        <v>5</v>
      </c>
      <c r="DG460" s="326" t="str">
        <f t="shared" si="1626"/>
        <v/>
      </c>
      <c r="DH460" s="326" t="str">
        <f t="shared" si="1627"/>
        <v/>
      </c>
      <c r="DI460" s="326" t="str">
        <f t="shared" si="1628"/>
        <v/>
      </c>
      <c r="DJ460" s="325" t="str">
        <f t="shared" si="1629"/>
        <v/>
      </c>
      <c r="DK460" s="324" t="str">
        <f t="shared" si="1630"/>
        <v/>
      </c>
      <c r="DL460" s="428">
        <f t="shared" si="1631"/>
        <v>8</v>
      </c>
      <c r="DM460" s="66">
        <f t="shared" si="1632"/>
        <v>6</v>
      </c>
      <c r="DN460" s="66">
        <f t="shared" si="1633"/>
        <v>4</v>
      </c>
      <c r="DO460" s="66">
        <f t="shared" si="1634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635">IF(B459="","",B458*B459*B460)</f>
        <v>80</v>
      </c>
      <c r="C461" s="535">
        <f t="shared" si="1635"/>
        <v>105</v>
      </c>
      <c r="D461" s="535">
        <f t="shared" si="1635"/>
        <v>160</v>
      </c>
      <c r="E461" s="535">
        <f t="shared" si="1635"/>
        <v>70</v>
      </c>
      <c r="F461" s="535">
        <f t="shared" si="1635"/>
        <v>140</v>
      </c>
      <c r="G461" s="535">
        <f t="shared" si="1635"/>
        <v>200</v>
      </c>
      <c r="H461" s="535" t="str">
        <f t="shared" si="1635"/>
        <v/>
      </c>
      <c r="I461" s="535">
        <f t="shared" si="1635"/>
        <v>40</v>
      </c>
      <c r="J461" s="535">
        <f t="shared" si="1635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636">IF(T459="","",T458*T459*T460)</f>
        <v/>
      </c>
      <c r="U461" s="405">
        <f t="shared" si="1636"/>
        <v>100</v>
      </c>
      <c r="V461" s="405">
        <f t="shared" si="1636"/>
        <v>300</v>
      </c>
      <c r="W461" s="405" t="str">
        <f t="shared" si="1636"/>
        <v/>
      </c>
      <c r="X461" s="405" t="str">
        <f t="shared" si="1636"/>
        <v/>
      </c>
      <c r="Y461" s="405">
        <f t="shared" si="1636"/>
        <v>240</v>
      </c>
      <c r="Z461" s="405">
        <f t="shared" si="1636"/>
        <v>60</v>
      </c>
      <c r="AA461" s="405">
        <f t="shared" si="1636"/>
        <v>40</v>
      </c>
      <c r="AB461" s="405">
        <f t="shared" si="1636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637">IF(AL459="","",AL458*AL459*AL460)</f>
        <v>240</v>
      </c>
      <c r="AM461" s="405">
        <f t="shared" si="1637"/>
        <v>280</v>
      </c>
      <c r="AN461" s="405">
        <f t="shared" si="1637"/>
        <v>320</v>
      </c>
      <c r="AO461" s="405" t="str">
        <f t="shared" si="1637"/>
        <v/>
      </c>
      <c r="AP461" s="405">
        <f t="shared" si="1637"/>
        <v>320</v>
      </c>
      <c r="AQ461" s="405" t="str">
        <f t="shared" si="1637"/>
        <v/>
      </c>
      <c r="AR461" s="405" t="str">
        <f t="shared" si="1637"/>
        <v/>
      </c>
      <c r="AS461" s="405" t="str">
        <f t="shared" si="1637"/>
        <v/>
      </c>
      <c r="AT461" s="405" t="str">
        <f t="shared" si="1637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638">IF(BD459="","",BD458*BD459*BD460)</f>
        <v/>
      </c>
      <c r="BE461" s="405" t="str">
        <f t="shared" si="1638"/>
        <v/>
      </c>
      <c r="BF461" s="405" t="str">
        <f t="shared" si="1638"/>
        <v/>
      </c>
      <c r="BG461" s="405" t="str">
        <f t="shared" si="1638"/>
        <v/>
      </c>
      <c r="BH461" s="405" t="str">
        <f t="shared" si="1638"/>
        <v/>
      </c>
      <c r="BI461" s="405">
        <f t="shared" si="1638"/>
        <v>360</v>
      </c>
      <c r="BJ461" s="405" t="str">
        <f t="shared" si="1638"/>
        <v/>
      </c>
      <c r="BK461" s="405" t="str">
        <f t="shared" si="1638"/>
        <v/>
      </c>
      <c r="BL461" s="405" t="str">
        <f t="shared" si="1638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541"/>
        <v>119.16666666666667</v>
      </c>
      <c r="CA461" s="373">
        <f t="shared" si="1542"/>
        <v>160</v>
      </c>
      <c r="CB461" s="373">
        <f t="shared" si="1543"/>
        <v>300</v>
      </c>
      <c r="CC461" s="462" t="str">
        <f t="shared" si="1544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 t="str">
        <f t="shared" si="1613"/>
        <v/>
      </c>
      <c r="CF461" s="1111" t="str">
        <f t="shared" si="1613"/>
        <v/>
      </c>
      <c r="CG461" s="1111" t="str">
        <f t="shared" si="1613"/>
        <v/>
      </c>
      <c r="CH461" s="1111" t="str">
        <f t="shared" si="1613"/>
        <v/>
      </c>
      <c r="CI461" s="1111">
        <f t="shared" si="1613"/>
        <v>40</v>
      </c>
      <c r="CJ461" s="1111">
        <f t="shared" si="1613"/>
        <v>70</v>
      </c>
      <c r="CK461" s="1112">
        <f t="shared" si="1613"/>
        <v>80</v>
      </c>
      <c r="CL461" s="1112">
        <f t="shared" si="1613"/>
        <v>105</v>
      </c>
      <c r="CM461" s="1112">
        <f t="shared" si="1613"/>
        <v>140</v>
      </c>
      <c r="CN461" s="1111">
        <f t="shared" si="1613"/>
        <v>160</v>
      </c>
      <c r="CO461" s="1111">
        <f t="shared" si="1613"/>
        <v>160</v>
      </c>
      <c r="CP461" s="1111">
        <f t="shared" si="1613"/>
        <v>200</v>
      </c>
      <c r="CQ461" s="1111" t="str">
        <f t="shared" si="1613"/>
        <v/>
      </c>
      <c r="CR461" s="1111" t="str">
        <f t="shared" si="1613"/>
        <v/>
      </c>
      <c r="CS461" s="1110" t="str">
        <f t="shared" si="1613"/>
        <v/>
      </c>
      <c r="CT461" s="1113" t="str">
        <f t="shared" si="1613"/>
        <v/>
      </c>
      <c r="CU461" s="324" t="str">
        <f t="shared" si="1614"/>
        <v/>
      </c>
      <c r="CV461" s="325" t="str">
        <f t="shared" si="1615"/>
        <v/>
      </c>
      <c r="CW461" s="326" t="str">
        <f t="shared" si="1616"/>
        <v/>
      </c>
      <c r="CX461" s="326" t="str">
        <f t="shared" si="1617"/>
        <v/>
      </c>
      <c r="CY461" s="326" t="str">
        <f t="shared" si="1618"/>
        <v/>
      </c>
      <c r="CZ461" s="326" t="str">
        <f t="shared" si="1619"/>
        <v/>
      </c>
      <c r="DA461" s="326">
        <f t="shared" si="1620"/>
        <v>40</v>
      </c>
      <c r="DB461" s="327">
        <f t="shared" si="1621"/>
        <v>60</v>
      </c>
      <c r="DC461" s="327">
        <f t="shared" si="1622"/>
        <v>100</v>
      </c>
      <c r="DD461" s="327">
        <f t="shared" si="1623"/>
        <v>240</v>
      </c>
      <c r="DE461" s="326">
        <f t="shared" si="1624"/>
        <v>240</v>
      </c>
      <c r="DF461" s="326">
        <f t="shared" si="1625"/>
        <v>300</v>
      </c>
      <c r="DG461" s="326" t="str">
        <f t="shared" si="1626"/>
        <v/>
      </c>
      <c r="DH461" s="326" t="str">
        <f t="shared" si="1627"/>
        <v/>
      </c>
      <c r="DI461" s="326" t="str">
        <f t="shared" si="1628"/>
        <v/>
      </c>
      <c r="DJ461" s="325" t="str">
        <f t="shared" si="1629"/>
        <v/>
      </c>
      <c r="DK461" s="324" t="str">
        <f t="shared" si="1630"/>
        <v/>
      </c>
      <c r="DL461" s="428">
        <f t="shared" si="1631"/>
        <v>8</v>
      </c>
      <c r="DM461" s="66">
        <f t="shared" si="1632"/>
        <v>6</v>
      </c>
      <c r="DN461" s="66">
        <f t="shared" si="1633"/>
        <v>4</v>
      </c>
      <c r="DO461" s="66">
        <f t="shared" si="1634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639">3630*$K$1</f>
        <v>3630</v>
      </c>
      <c r="C462" s="536">
        <f t="shared" si="1639"/>
        <v>3630</v>
      </c>
      <c r="D462" s="536">
        <f t="shared" si="1639"/>
        <v>3630</v>
      </c>
      <c r="E462" s="536">
        <f t="shared" si="1639"/>
        <v>3630</v>
      </c>
      <c r="F462" s="536">
        <f t="shared" si="1639"/>
        <v>3630</v>
      </c>
      <c r="G462" s="536">
        <f t="shared" si="1639"/>
        <v>3630</v>
      </c>
      <c r="H462" s="536">
        <f t="shared" si="1639"/>
        <v>3630</v>
      </c>
      <c r="I462" s="536">
        <f t="shared" si="1639"/>
        <v>3630</v>
      </c>
      <c r="J462" s="536">
        <f t="shared" si="1639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640">3630*$K$1</f>
        <v>3630</v>
      </c>
      <c r="U462" s="536">
        <f t="shared" si="1640"/>
        <v>3630</v>
      </c>
      <c r="V462" s="536">
        <f t="shared" si="1640"/>
        <v>3630</v>
      </c>
      <c r="W462" s="536">
        <f t="shared" si="1640"/>
        <v>3630</v>
      </c>
      <c r="X462" s="536">
        <f t="shared" si="1640"/>
        <v>3630</v>
      </c>
      <c r="Y462" s="536">
        <f t="shared" si="1640"/>
        <v>3630</v>
      </c>
      <c r="Z462" s="536">
        <f t="shared" si="1640"/>
        <v>3630</v>
      </c>
      <c r="AA462" s="536">
        <f t="shared" si="1640"/>
        <v>3630</v>
      </c>
      <c r="AB462" s="536">
        <f t="shared" si="1640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641">3630*$K$1</f>
        <v>3630</v>
      </c>
      <c r="AM462" s="536">
        <f t="shared" si="1641"/>
        <v>3630</v>
      </c>
      <c r="AN462" s="536">
        <f t="shared" si="1641"/>
        <v>3630</v>
      </c>
      <c r="AO462" s="536">
        <f t="shared" si="1641"/>
        <v>3630</v>
      </c>
      <c r="AP462" s="536">
        <f t="shared" si="1641"/>
        <v>3630</v>
      </c>
      <c r="AQ462" s="536">
        <f t="shared" si="1641"/>
        <v>3630</v>
      </c>
      <c r="AR462" s="536">
        <f t="shared" si="1641"/>
        <v>3630</v>
      </c>
      <c r="AS462" s="536">
        <f t="shared" si="1641"/>
        <v>3630</v>
      </c>
      <c r="AT462" s="536">
        <f t="shared" si="1641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642">3630*$K$1</f>
        <v>3630</v>
      </c>
      <c r="BE462" s="536">
        <f t="shared" si="1642"/>
        <v>3630</v>
      </c>
      <c r="BF462" s="536">
        <f t="shared" si="1642"/>
        <v>3630</v>
      </c>
      <c r="BG462" s="536">
        <f t="shared" si="1642"/>
        <v>3630</v>
      </c>
      <c r="BH462" s="536">
        <f t="shared" si="1642"/>
        <v>3630</v>
      </c>
      <c r="BI462" s="536">
        <f t="shared" si="1642"/>
        <v>3630</v>
      </c>
      <c r="BJ462" s="536">
        <f t="shared" si="1642"/>
        <v>3630</v>
      </c>
      <c r="BK462" s="536">
        <f t="shared" si="1642"/>
        <v>3630</v>
      </c>
      <c r="BL462" s="536">
        <f t="shared" si="1642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541"/>
        <v>3630</v>
      </c>
      <c r="CA462" s="373">
        <f t="shared" si="1542"/>
        <v>3630</v>
      </c>
      <c r="CB462" s="373">
        <f t="shared" si="1543"/>
        <v>3630</v>
      </c>
      <c r="CC462" s="462">
        <f t="shared" si="1544"/>
        <v>3630</v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 t="str">
        <f t="shared" si="1613"/>
        <v/>
      </c>
      <c r="CF462" s="1111" t="str">
        <f t="shared" si="1613"/>
        <v/>
      </c>
      <c r="CG462" s="1111" t="str">
        <f t="shared" si="1613"/>
        <v/>
      </c>
      <c r="CH462" s="1111">
        <f t="shared" si="1613"/>
        <v>3630</v>
      </c>
      <c r="CI462" s="1111">
        <f t="shared" si="1613"/>
        <v>3630</v>
      </c>
      <c r="CJ462" s="1111">
        <f t="shared" si="1613"/>
        <v>3630</v>
      </c>
      <c r="CK462" s="1112">
        <f t="shared" si="1613"/>
        <v>3630</v>
      </c>
      <c r="CL462" s="1112">
        <f t="shared" si="1613"/>
        <v>3630</v>
      </c>
      <c r="CM462" s="1112">
        <f t="shared" si="1613"/>
        <v>3630</v>
      </c>
      <c r="CN462" s="1111">
        <f t="shared" si="1613"/>
        <v>3630</v>
      </c>
      <c r="CO462" s="1111">
        <f t="shared" si="1613"/>
        <v>3630</v>
      </c>
      <c r="CP462" s="1111">
        <f t="shared" si="1613"/>
        <v>3630</v>
      </c>
      <c r="CQ462" s="1111" t="str">
        <f t="shared" si="1613"/>
        <v/>
      </c>
      <c r="CR462" s="1111" t="str">
        <f t="shared" si="1613"/>
        <v/>
      </c>
      <c r="CS462" s="1110" t="str">
        <f t="shared" si="1613"/>
        <v/>
      </c>
      <c r="CT462" s="1113" t="str">
        <f t="shared" si="1613"/>
        <v/>
      </c>
      <c r="CU462" s="324" t="str">
        <f t="shared" si="1614"/>
        <v/>
      </c>
      <c r="CV462" s="325" t="str">
        <f t="shared" si="1615"/>
        <v/>
      </c>
      <c r="CW462" s="326" t="str">
        <f t="shared" si="1616"/>
        <v/>
      </c>
      <c r="CX462" s="326" t="str">
        <f t="shared" si="1617"/>
        <v/>
      </c>
      <c r="CY462" s="326">
        <f t="shared" si="1618"/>
        <v>3630</v>
      </c>
      <c r="CZ462" s="326">
        <f t="shared" si="1619"/>
        <v>3630</v>
      </c>
      <c r="DA462" s="326">
        <f t="shared" si="1620"/>
        <v>3630</v>
      </c>
      <c r="DB462" s="327">
        <f t="shared" si="1621"/>
        <v>3630</v>
      </c>
      <c r="DC462" s="327">
        <f t="shared" si="1622"/>
        <v>3630</v>
      </c>
      <c r="DD462" s="327">
        <f t="shared" si="1623"/>
        <v>3630</v>
      </c>
      <c r="DE462" s="326">
        <f t="shared" si="1624"/>
        <v>3630</v>
      </c>
      <c r="DF462" s="326">
        <f t="shared" si="1625"/>
        <v>3630</v>
      </c>
      <c r="DG462" s="326">
        <f t="shared" si="1626"/>
        <v>3630</v>
      </c>
      <c r="DH462" s="326" t="str">
        <f t="shared" si="1627"/>
        <v/>
      </c>
      <c r="DI462" s="326" t="str">
        <f t="shared" si="1628"/>
        <v/>
      </c>
      <c r="DJ462" s="325" t="str">
        <f t="shared" si="1629"/>
        <v/>
      </c>
      <c r="DK462" s="324" t="str">
        <f t="shared" si="1630"/>
        <v/>
      </c>
      <c r="DL462" s="428">
        <f t="shared" si="1631"/>
        <v>9</v>
      </c>
      <c r="DM462" s="66">
        <f t="shared" si="1632"/>
        <v>9</v>
      </c>
      <c r="DN462" s="66">
        <f t="shared" si="1633"/>
        <v>9</v>
      </c>
      <c r="DO462" s="66">
        <f t="shared" si="1634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643">IF(B461="","",B461*B462/B$46/365/$G$1)</f>
        <v>3.7886497064579257E-2</v>
      </c>
      <c r="C463" s="408">
        <f t="shared" si="1643"/>
        <v>7.1037181996086107E-2</v>
      </c>
      <c r="D463" s="408">
        <f t="shared" si="1643"/>
        <v>0.12628832354859754</v>
      </c>
      <c r="E463" s="408">
        <f t="shared" si="1643"/>
        <v>5.5251141552511415E-2</v>
      </c>
      <c r="F463" s="408">
        <f t="shared" si="1643"/>
        <v>0.11050228310502283</v>
      </c>
      <c r="G463" s="408">
        <f t="shared" si="1643"/>
        <v>0.11839530332681018</v>
      </c>
      <c r="H463" s="408" t="str">
        <f t="shared" si="1643"/>
        <v/>
      </c>
      <c r="I463" s="408">
        <f t="shared" si="1643"/>
        <v>3.1572080887149384E-2</v>
      </c>
      <c r="J463" s="408">
        <f t="shared" si="1643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644">IF(T461="","",T461*T462/T$46/365/$G$1)</f>
        <v/>
      </c>
      <c r="U463" s="408">
        <f t="shared" si="1644"/>
        <v>4.3052837573385523E-2</v>
      </c>
      <c r="V463" s="408">
        <f t="shared" si="1644"/>
        <v>0.11839530332681018</v>
      </c>
      <c r="W463" s="408" t="str">
        <f t="shared" si="1644"/>
        <v/>
      </c>
      <c r="X463" s="408" t="str">
        <f t="shared" si="1644"/>
        <v/>
      </c>
      <c r="Y463" s="408">
        <f t="shared" si="1644"/>
        <v>0.16237070170533965</v>
      </c>
      <c r="Z463" s="408">
        <f t="shared" si="1644"/>
        <v>3.5518590998043054E-2</v>
      </c>
      <c r="AA463" s="408">
        <f t="shared" si="1644"/>
        <v>1.8943248532289628E-2</v>
      </c>
      <c r="AB463" s="408">
        <f t="shared" si="1644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645">IF(AL461="","",AL461*AL462/AL$46/365/$G$1)</f>
        <v>0.10332681017612524</v>
      </c>
      <c r="AM463" s="408">
        <f t="shared" si="1645"/>
        <v>0.11050228310502283</v>
      </c>
      <c r="AN463" s="408">
        <f t="shared" si="1645"/>
        <v>0.18943248532289628</v>
      </c>
      <c r="AO463" s="408" t="str">
        <f t="shared" si="1645"/>
        <v/>
      </c>
      <c r="AP463" s="408">
        <f t="shared" si="1645"/>
        <v>0.25257664709719507</v>
      </c>
      <c r="AQ463" s="408" t="str">
        <f t="shared" si="1645"/>
        <v/>
      </c>
      <c r="AR463" s="408" t="str">
        <f t="shared" si="1645"/>
        <v/>
      </c>
      <c r="AS463" s="408" t="str">
        <f t="shared" si="1645"/>
        <v/>
      </c>
      <c r="AT463" s="408" t="str">
        <f t="shared" si="1645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646">IF(BD461="","",BD461*BD462/BD$46/365/$G$1)</f>
        <v/>
      </c>
      <c r="BE463" s="408" t="str">
        <f t="shared" si="1646"/>
        <v/>
      </c>
      <c r="BF463" s="408" t="str">
        <f t="shared" si="1646"/>
        <v/>
      </c>
      <c r="BG463" s="408" t="str">
        <f t="shared" si="1646"/>
        <v/>
      </c>
      <c r="BH463" s="408" t="str">
        <f t="shared" si="1646"/>
        <v/>
      </c>
      <c r="BI463" s="408">
        <f t="shared" si="1646"/>
        <v>0.24355605255800952</v>
      </c>
      <c r="BJ463" s="408" t="str">
        <f t="shared" si="1646"/>
        <v/>
      </c>
      <c r="BK463" s="408" t="str">
        <f t="shared" si="1646"/>
        <v/>
      </c>
      <c r="BL463" s="408" t="str">
        <f t="shared" si="1646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542"/>
        <v>8.9834358400894598E-2</v>
      </c>
      <c r="CB463" s="398">
        <f t="shared" si="1543"/>
        <v>0.14996738421395955</v>
      </c>
      <c r="CC463" s="398" t="str">
        <f t="shared" si="1544"/>
        <v/>
      </c>
      <c r="CD463" s="111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5" t="str">
        <f t="shared" si="1613"/>
        <v/>
      </c>
      <c r="CF463" s="1116" t="str">
        <f t="shared" si="1613"/>
        <v/>
      </c>
      <c r="CG463" s="1116" t="str">
        <f t="shared" si="1613"/>
        <v/>
      </c>
      <c r="CH463" s="1116" t="str">
        <f t="shared" si="1613"/>
        <v/>
      </c>
      <c r="CI463" s="1116">
        <f t="shared" si="1613"/>
        <v>3.1572080887149384E-2</v>
      </c>
      <c r="CJ463" s="1116">
        <f t="shared" si="1613"/>
        <v>3.7886497064579257E-2</v>
      </c>
      <c r="CK463" s="1117">
        <f t="shared" si="1613"/>
        <v>5.5251141552511415E-2</v>
      </c>
      <c r="CL463" s="1117">
        <f t="shared" si="1613"/>
        <v>7.1037181996086107E-2</v>
      </c>
      <c r="CM463" s="1117">
        <f t="shared" si="1613"/>
        <v>0.10824713447022644</v>
      </c>
      <c r="CN463" s="1116">
        <f t="shared" si="1613"/>
        <v>0.11050228310502283</v>
      </c>
      <c r="CO463" s="1116">
        <f t="shared" si="1613"/>
        <v>0.11839530332681018</v>
      </c>
      <c r="CP463" s="1116">
        <f t="shared" si="1613"/>
        <v>0.12628832354859754</v>
      </c>
      <c r="CQ463" s="1116" t="str">
        <f t="shared" si="1613"/>
        <v/>
      </c>
      <c r="CR463" s="1116" t="str">
        <f t="shared" si="1613"/>
        <v/>
      </c>
      <c r="CS463" s="1115" t="str">
        <f t="shared" si="1613"/>
        <v/>
      </c>
      <c r="CT463" s="1118" t="str">
        <f t="shared" si="1613"/>
        <v/>
      </c>
      <c r="CU463" s="312" t="str">
        <f t="shared" si="1614"/>
        <v/>
      </c>
      <c r="CV463" s="313" t="str">
        <f t="shared" si="1615"/>
        <v/>
      </c>
      <c r="CW463" s="314" t="str">
        <f t="shared" si="1616"/>
        <v/>
      </c>
      <c r="CX463" s="314" t="str">
        <f t="shared" si="1617"/>
        <v/>
      </c>
      <c r="CY463" s="314" t="str">
        <f t="shared" si="1618"/>
        <v/>
      </c>
      <c r="CZ463" s="314" t="str">
        <f t="shared" si="1619"/>
        <v/>
      </c>
      <c r="DA463" s="314">
        <f t="shared" si="1620"/>
        <v>1.8943248532289628E-2</v>
      </c>
      <c r="DB463" s="315">
        <f t="shared" si="1621"/>
        <v>3.5518590998043054E-2</v>
      </c>
      <c r="DC463" s="315">
        <f t="shared" si="1622"/>
        <v>4.3052837573385523E-2</v>
      </c>
      <c r="DD463" s="315">
        <f t="shared" si="1623"/>
        <v>0.11839530332681018</v>
      </c>
      <c r="DE463" s="314">
        <f t="shared" si="1624"/>
        <v>0.16237070170533965</v>
      </c>
      <c r="DF463" s="314">
        <f t="shared" si="1625"/>
        <v>0.16237070170533965</v>
      </c>
      <c r="DG463" s="314" t="str">
        <f t="shared" si="1626"/>
        <v/>
      </c>
      <c r="DH463" s="314" t="str">
        <f t="shared" si="1627"/>
        <v/>
      </c>
      <c r="DI463" s="314" t="str">
        <f t="shared" si="1628"/>
        <v/>
      </c>
      <c r="DJ463" s="313" t="str">
        <f t="shared" si="1629"/>
        <v/>
      </c>
      <c r="DK463" s="312" t="str">
        <f t="shared" si="1630"/>
        <v/>
      </c>
      <c r="DL463" s="428">
        <f t="shared" si="1631"/>
        <v>8</v>
      </c>
      <c r="DM463" s="66">
        <f t="shared" si="1632"/>
        <v>6</v>
      </c>
      <c r="DN463" s="66">
        <f t="shared" si="1633"/>
        <v>4</v>
      </c>
      <c r="DO463" s="66">
        <f t="shared" si="1634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541"/>
        <v>6.3</v>
      </c>
      <c r="CA464" s="373">
        <f t="shared" si="1542"/>
        <v>7.2750000000000004</v>
      </c>
      <c r="CB464" s="373">
        <f t="shared" si="1543"/>
        <v>20</v>
      </c>
      <c r="CC464" s="462" t="str">
        <f t="shared" si="1544"/>
        <v/>
      </c>
      <c r="CD464" s="1109" t="str">
        <f t="shared" ref="CD464:CS465" si="16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0" t="str">
        <f t="shared" si="1647"/>
        <v/>
      </c>
      <c r="CF464" s="1111" t="str">
        <f t="shared" si="1647"/>
        <v/>
      </c>
      <c r="CG464" s="1111" t="str">
        <f t="shared" si="1647"/>
        <v/>
      </c>
      <c r="CH464" s="1111" t="str">
        <f t="shared" si="1647"/>
        <v/>
      </c>
      <c r="CI464" s="1111">
        <f t="shared" si="1647"/>
        <v>2</v>
      </c>
      <c r="CJ464" s="1111">
        <f t="shared" si="1647"/>
        <v>4</v>
      </c>
      <c r="CK464" s="1112">
        <f t="shared" si="1647"/>
        <v>5</v>
      </c>
      <c r="CL464" s="1112">
        <f t="shared" si="1647"/>
        <v>5</v>
      </c>
      <c r="CM464" s="1112">
        <f t="shared" si="1647"/>
        <v>7.5</v>
      </c>
      <c r="CN464" s="1111">
        <f t="shared" si="1647"/>
        <v>10</v>
      </c>
      <c r="CO464" s="1111">
        <f t="shared" si="1647"/>
        <v>40</v>
      </c>
      <c r="CP464" s="1111" t="str">
        <f t="shared" si="1647"/>
        <v/>
      </c>
      <c r="CQ464" s="1111" t="str">
        <f t="shared" si="1647"/>
        <v/>
      </c>
      <c r="CR464" s="1111" t="str">
        <f t="shared" si="1647"/>
        <v/>
      </c>
      <c r="CS464" s="1110" t="str">
        <f t="shared" si="1647"/>
        <v/>
      </c>
      <c r="CT464" s="1113" t="str">
        <f t="shared" ref="CE464:CT465" si="16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614"/>
        <v/>
      </c>
      <c r="CV464" s="325" t="str">
        <f t="shared" si="1615"/>
        <v/>
      </c>
      <c r="CW464" s="326" t="str">
        <f t="shared" si="1616"/>
        <v/>
      </c>
      <c r="CX464" s="326" t="str">
        <f t="shared" si="1617"/>
        <v/>
      </c>
      <c r="CY464" s="326" t="str">
        <f t="shared" si="1618"/>
        <v/>
      </c>
      <c r="CZ464" s="326" t="str">
        <f t="shared" si="1619"/>
        <v/>
      </c>
      <c r="DA464" s="326">
        <f t="shared" si="1620"/>
        <v>1</v>
      </c>
      <c r="DB464" s="327">
        <f t="shared" si="1621"/>
        <v>4.0999999999999996</v>
      </c>
      <c r="DC464" s="327">
        <f t="shared" si="1622"/>
        <v>5</v>
      </c>
      <c r="DD464" s="327">
        <f t="shared" si="1623"/>
        <v>5</v>
      </c>
      <c r="DE464" s="326">
        <f t="shared" si="1624"/>
        <v>15</v>
      </c>
      <c r="DF464" s="326">
        <f t="shared" si="1625"/>
        <v>20</v>
      </c>
      <c r="DG464" s="326" t="str">
        <f t="shared" si="1626"/>
        <v/>
      </c>
      <c r="DH464" s="326" t="str">
        <f t="shared" si="1627"/>
        <v/>
      </c>
      <c r="DI464" s="326" t="str">
        <f t="shared" si="1628"/>
        <v/>
      </c>
      <c r="DJ464" s="325" t="str">
        <f t="shared" si="1629"/>
        <v/>
      </c>
      <c r="DK464" s="324" t="str">
        <f t="shared" si="1630"/>
        <v/>
      </c>
      <c r="DL464" s="428">
        <f t="shared" si="1631"/>
        <v>7</v>
      </c>
      <c r="DM464" s="66">
        <f t="shared" si="1632"/>
        <v>6</v>
      </c>
      <c r="DN464" s="66">
        <f t="shared" si="1633"/>
        <v>3</v>
      </c>
      <c r="DO464" s="66">
        <f t="shared" si="1634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649">IF(B464="","",B459*B464*B460)</f>
        <v>160</v>
      </c>
      <c r="C465" s="405">
        <f t="shared" si="1649"/>
        <v>210</v>
      </c>
      <c r="D465" s="405">
        <f t="shared" si="1649"/>
        <v>256</v>
      </c>
      <c r="E465" s="405" t="str">
        <f t="shared" si="1649"/>
        <v/>
      </c>
      <c r="F465" s="405">
        <f t="shared" si="1649"/>
        <v>420</v>
      </c>
      <c r="G465" s="405">
        <f t="shared" si="1649"/>
        <v>160</v>
      </c>
      <c r="H465" s="405" t="str">
        <f t="shared" si="1649"/>
        <v/>
      </c>
      <c r="I465" s="405">
        <f t="shared" si="1649"/>
        <v>160</v>
      </c>
      <c r="J465" s="405">
        <f t="shared" si="1649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650">IF(T464="","",T459*T464*T460)</f>
        <v/>
      </c>
      <c r="U465" s="405">
        <f t="shared" si="1650"/>
        <v>82</v>
      </c>
      <c r="V465" s="405">
        <f t="shared" si="1650"/>
        <v>300</v>
      </c>
      <c r="W465" s="405" t="str">
        <f t="shared" si="1650"/>
        <v/>
      </c>
      <c r="X465" s="405" t="str">
        <f t="shared" si="1650"/>
        <v/>
      </c>
      <c r="Y465" s="405">
        <f t="shared" si="1650"/>
        <v>180</v>
      </c>
      <c r="Z465" s="405">
        <f t="shared" si="1650"/>
        <v>60</v>
      </c>
      <c r="AA465" s="405">
        <f t="shared" si="1650"/>
        <v>40</v>
      </c>
      <c r="AB465" s="405">
        <f t="shared" si="1650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651">IF(AL464="","",AL459*AL464*AL460)</f>
        <v>240</v>
      </c>
      <c r="AM465" s="405" t="str">
        <f t="shared" si="1651"/>
        <v/>
      </c>
      <c r="AN465" s="405">
        <f t="shared" si="1651"/>
        <v>320</v>
      </c>
      <c r="AO465" s="405" t="str">
        <f t="shared" si="1651"/>
        <v/>
      </c>
      <c r="AP465" s="405">
        <f t="shared" si="1651"/>
        <v>560</v>
      </c>
      <c r="AQ465" s="405" t="str">
        <f t="shared" si="1651"/>
        <v/>
      </c>
      <c r="AR465" s="405" t="str">
        <f t="shared" si="1651"/>
        <v/>
      </c>
      <c r="AS465" s="405" t="str">
        <f t="shared" si="1651"/>
        <v/>
      </c>
      <c r="AT465" s="405" t="str">
        <f t="shared" si="1651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652">IF(BD464="","",BD459*BD464*BD460)</f>
        <v/>
      </c>
      <c r="BE465" s="405" t="str">
        <f t="shared" si="1652"/>
        <v/>
      </c>
      <c r="BF465" s="405" t="str">
        <f t="shared" si="1652"/>
        <v/>
      </c>
      <c r="BG465" s="405" t="str">
        <f t="shared" si="1652"/>
        <v/>
      </c>
      <c r="BH465" s="405" t="str">
        <f t="shared" si="1652"/>
        <v/>
      </c>
      <c r="BI465" s="405">
        <f t="shared" si="1652"/>
        <v>396</v>
      </c>
      <c r="BJ465" s="405" t="str">
        <f t="shared" si="1652"/>
        <v/>
      </c>
      <c r="BK465" s="405" t="str">
        <f t="shared" si="1652"/>
        <v/>
      </c>
      <c r="BL465" s="405" t="str">
        <f t="shared" si="1652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541"/>
        <v>221.2</v>
      </c>
      <c r="CA465" s="373">
        <f t="shared" si="1542"/>
        <v>140.5</v>
      </c>
      <c r="CB465" s="373">
        <f t="shared" si="1543"/>
        <v>320</v>
      </c>
      <c r="CC465" s="462" t="str">
        <f t="shared" si="1544"/>
        <v/>
      </c>
      <c r="CD465" s="1109" t="str">
        <f t="shared" si="1647"/>
        <v/>
      </c>
      <c r="CE465" s="1110" t="str">
        <f t="shared" si="1648"/>
        <v/>
      </c>
      <c r="CF465" s="1111" t="str">
        <f t="shared" si="1648"/>
        <v/>
      </c>
      <c r="CG465" s="1111" t="str">
        <f t="shared" si="1648"/>
        <v/>
      </c>
      <c r="CH465" s="1111" t="str">
        <f t="shared" si="1648"/>
        <v/>
      </c>
      <c r="CI465" s="1111">
        <f t="shared" si="1648"/>
        <v>160</v>
      </c>
      <c r="CJ465" s="1111">
        <f t="shared" si="1648"/>
        <v>160</v>
      </c>
      <c r="CK465" s="1112">
        <f t="shared" si="1648"/>
        <v>160</v>
      </c>
      <c r="CL465" s="1112">
        <f t="shared" si="1648"/>
        <v>210</v>
      </c>
      <c r="CM465" s="1112">
        <f t="shared" si="1648"/>
        <v>256</v>
      </c>
      <c r="CN465" s="1111">
        <f t="shared" si="1648"/>
        <v>320</v>
      </c>
      <c r="CO465" s="1111">
        <f t="shared" si="1648"/>
        <v>420</v>
      </c>
      <c r="CP465" s="1111" t="str">
        <f t="shared" si="1648"/>
        <v/>
      </c>
      <c r="CQ465" s="1111" t="str">
        <f t="shared" si="1648"/>
        <v/>
      </c>
      <c r="CR465" s="1111" t="str">
        <f t="shared" si="1648"/>
        <v/>
      </c>
      <c r="CS465" s="1110" t="str">
        <f t="shared" si="1648"/>
        <v/>
      </c>
      <c r="CT465" s="1113" t="str">
        <f t="shared" si="1648"/>
        <v/>
      </c>
      <c r="CU465" s="324" t="str">
        <f t="shared" si="1614"/>
        <v/>
      </c>
      <c r="CV465" s="325" t="str">
        <f t="shared" si="1615"/>
        <v/>
      </c>
      <c r="CW465" s="326" t="str">
        <f t="shared" si="1616"/>
        <v/>
      </c>
      <c r="CX465" s="326" t="str">
        <f t="shared" si="1617"/>
        <v/>
      </c>
      <c r="CY465" s="326" t="str">
        <f t="shared" si="1618"/>
        <v/>
      </c>
      <c r="CZ465" s="326" t="str">
        <f t="shared" si="1619"/>
        <v/>
      </c>
      <c r="DA465" s="326">
        <f t="shared" si="1620"/>
        <v>40</v>
      </c>
      <c r="DB465" s="327">
        <f t="shared" si="1621"/>
        <v>60</v>
      </c>
      <c r="DC465" s="327">
        <f t="shared" si="1622"/>
        <v>82</v>
      </c>
      <c r="DD465" s="327">
        <f t="shared" si="1623"/>
        <v>180</v>
      </c>
      <c r="DE465" s="326">
        <f t="shared" si="1624"/>
        <v>240</v>
      </c>
      <c r="DF465" s="326">
        <f t="shared" si="1625"/>
        <v>300</v>
      </c>
      <c r="DG465" s="326" t="str">
        <f t="shared" si="1626"/>
        <v/>
      </c>
      <c r="DH465" s="326" t="str">
        <f t="shared" si="1627"/>
        <v/>
      </c>
      <c r="DI465" s="326" t="str">
        <f t="shared" si="1628"/>
        <v/>
      </c>
      <c r="DJ465" s="325" t="str">
        <f t="shared" si="1629"/>
        <v/>
      </c>
      <c r="DK465" s="324" t="str">
        <f t="shared" si="1630"/>
        <v/>
      </c>
      <c r="DL465" s="428">
        <f t="shared" si="1631"/>
        <v>7</v>
      </c>
      <c r="DM465" s="66">
        <f t="shared" si="1632"/>
        <v>6</v>
      </c>
      <c r="DN465" s="66">
        <f t="shared" si="1633"/>
        <v>3</v>
      </c>
      <c r="DO465" s="66">
        <f t="shared" si="1634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0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541"/>
        <v/>
      </c>
      <c r="CA466" s="365" t="str">
        <f t="shared" si="1542"/>
        <v/>
      </c>
      <c r="CB466" s="365" t="str">
        <f t="shared" si="1543"/>
        <v/>
      </c>
      <c r="CC466" s="461" t="str">
        <f t="shared" si="1544"/>
        <v/>
      </c>
      <c r="CD466" s="1120"/>
      <c r="CE466" s="1120"/>
      <c r="CF466" s="1120"/>
      <c r="CG466" s="1120"/>
      <c r="CH466" s="1120"/>
      <c r="CI466" s="1120"/>
      <c r="CJ466" s="1120"/>
      <c r="CK466" s="1120"/>
      <c r="CL466" s="1120"/>
      <c r="CM466" s="1120"/>
      <c r="CN466" s="1120"/>
      <c r="CO466" s="1120"/>
      <c r="CP466" s="1120"/>
      <c r="CQ466" s="1120"/>
      <c r="CR466" s="1120"/>
      <c r="CS466" s="1120"/>
      <c r="CT466" s="1121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541"/>
        <v>0.5</v>
      </c>
      <c r="CA467" s="373">
        <f t="shared" si="1542"/>
        <v>1</v>
      </c>
      <c r="CB467" s="373">
        <f t="shared" si="1543"/>
        <v>5</v>
      </c>
      <c r="CC467" s="462">
        <f t="shared" si="1544"/>
        <v>5</v>
      </c>
      <c r="CD467" s="1109" t="str">
        <f t="shared" ref="CD467:CS467" si="16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0" t="str">
        <f t="shared" si="1653"/>
        <v/>
      </c>
      <c r="CF467" s="1111" t="str">
        <f t="shared" si="1653"/>
        <v/>
      </c>
      <c r="CG467" s="1111" t="str">
        <f t="shared" si="1653"/>
        <v/>
      </c>
      <c r="CH467" s="1111" t="str">
        <f t="shared" si="1653"/>
        <v/>
      </c>
      <c r="CI467" s="1111" t="str">
        <f t="shared" si="1653"/>
        <v/>
      </c>
      <c r="CJ467" s="1111" t="str">
        <f t="shared" si="1653"/>
        <v/>
      </c>
      <c r="CK467" s="1112">
        <f t="shared" si="1653"/>
        <v>0.5</v>
      </c>
      <c r="CL467" s="1112">
        <f t="shared" si="1653"/>
        <v>0.5</v>
      </c>
      <c r="CM467" s="1112">
        <f t="shared" si="1653"/>
        <v>0.5</v>
      </c>
      <c r="CN467" s="1111" t="str">
        <f t="shared" si="1653"/>
        <v/>
      </c>
      <c r="CO467" s="1111" t="str">
        <f t="shared" si="1653"/>
        <v/>
      </c>
      <c r="CP467" s="1111" t="str">
        <f t="shared" si="1653"/>
        <v/>
      </c>
      <c r="CQ467" s="1111" t="str">
        <f t="shared" si="1653"/>
        <v/>
      </c>
      <c r="CR467" s="1111" t="str">
        <f t="shared" si="1653"/>
        <v/>
      </c>
      <c r="CS467" s="1110" t="str">
        <f t="shared" si="1653"/>
        <v/>
      </c>
      <c r="CT467" s="1113" t="str">
        <f t="shared" ref="CE467:CT472" si="16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6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6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6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6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672">COUNT(B467:R467)</f>
        <v>3</v>
      </c>
      <c r="DM467" s="66">
        <f t="shared" ref="DM467:DM474" si="1673">COUNT(T467:AJ467)</f>
        <v>4</v>
      </c>
      <c r="DN467" s="66">
        <f t="shared" ref="DN467:DN474" si="1674">COUNT(AL467:BB467)</f>
        <v>5</v>
      </c>
      <c r="DO467" s="66">
        <f t="shared" ref="DO467:DO474" si="1675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541"/>
        <v>10</v>
      </c>
      <c r="CA468" s="373">
        <f t="shared" si="1542"/>
        <v>1</v>
      </c>
      <c r="CB468" s="373">
        <f t="shared" si="1543"/>
        <v>2</v>
      </c>
      <c r="CC468" s="462">
        <f t="shared" si="1544"/>
        <v>1.5</v>
      </c>
      <c r="CD468" s="110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0" t="str">
        <f t="shared" si="1654"/>
        <v/>
      </c>
      <c r="CF468" s="1111" t="str">
        <f t="shared" si="1654"/>
        <v/>
      </c>
      <c r="CG468" s="1111" t="str">
        <f t="shared" si="1654"/>
        <v/>
      </c>
      <c r="CH468" s="1111" t="str">
        <f t="shared" si="1654"/>
        <v/>
      </c>
      <c r="CI468" s="1111" t="str">
        <f t="shared" si="1654"/>
        <v/>
      </c>
      <c r="CJ468" s="1111" t="str">
        <f t="shared" si="1654"/>
        <v/>
      </c>
      <c r="CK468" s="1112">
        <f t="shared" si="1654"/>
        <v>2</v>
      </c>
      <c r="CL468" s="1112">
        <f t="shared" si="1654"/>
        <v>10</v>
      </c>
      <c r="CM468" s="1112">
        <f t="shared" si="1654"/>
        <v>24</v>
      </c>
      <c r="CN468" s="1111" t="str">
        <f t="shared" si="1654"/>
        <v/>
      </c>
      <c r="CO468" s="1111" t="str">
        <f t="shared" si="1654"/>
        <v/>
      </c>
      <c r="CP468" s="1111" t="str">
        <f t="shared" si="1654"/>
        <v/>
      </c>
      <c r="CQ468" s="1111" t="str">
        <f t="shared" si="1654"/>
        <v/>
      </c>
      <c r="CR468" s="1111" t="str">
        <f t="shared" si="1654"/>
        <v/>
      </c>
      <c r="CS468" s="1110" t="str">
        <f t="shared" si="1654"/>
        <v/>
      </c>
      <c r="CT468" s="1113" t="str">
        <f t="shared" si="1654"/>
        <v/>
      </c>
      <c r="CU468" s="324" t="str">
        <f t="shared" si="1655"/>
        <v/>
      </c>
      <c r="CV468" s="325" t="str">
        <f t="shared" si="1656"/>
        <v/>
      </c>
      <c r="CW468" s="326" t="str">
        <f t="shared" si="1657"/>
        <v/>
      </c>
      <c r="CX468" s="326" t="str">
        <f t="shared" si="1658"/>
        <v/>
      </c>
      <c r="CY468" s="326" t="str">
        <f t="shared" si="1659"/>
        <v/>
      </c>
      <c r="CZ468" s="326" t="str">
        <f t="shared" si="1660"/>
        <v/>
      </c>
      <c r="DA468" s="326" t="str">
        <f t="shared" si="1661"/>
        <v/>
      </c>
      <c r="DB468" s="327">
        <f t="shared" si="1662"/>
        <v>1</v>
      </c>
      <c r="DC468" s="327">
        <f t="shared" si="1663"/>
        <v>1</v>
      </c>
      <c r="DD468" s="327">
        <f t="shared" si="1664"/>
        <v>1</v>
      </c>
      <c r="DE468" s="326">
        <f t="shared" si="1665"/>
        <v>1</v>
      </c>
      <c r="DF468" s="326" t="str">
        <f t="shared" si="1666"/>
        <v/>
      </c>
      <c r="DG468" s="326" t="str">
        <f t="shared" si="1667"/>
        <v/>
      </c>
      <c r="DH468" s="326" t="str">
        <f t="shared" si="1668"/>
        <v/>
      </c>
      <c r="DI468" s="326" t="str">
        <f t="shared" si="1669"/>
        <v/>
      </c>
      <c r="DJ468" s="325" t="str">
        <f t="shared" si="1670"/>
        <v/>
      </c>
      <c r="DK468" s="324" t="str">
        <f t="shared" si="1671"/>
        <v/>
      </c>
      <c r="DL468" s="428">
        <f t="shared" si="1672"/>
        <v>3</v>
      </c>
      <c r="DM468" s="66">
        <f t="shared" si="1673"/>
        <v>4</v>
      </c>
      <c r="DN468" s="66">
        <f t="shared" si="1674"/>
        <v>5</v>
      </c>
      <c r="DO468" s="66">
        <f t="shared" si="1675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541"/>
        <v>5</v>
      </c>
      <c r="CA469" s="373">
        <f t="shared" si="1542"/>
        <v>2</v>
      </c>
      <c r="CB469" s="373">
        <f t="shared" si="1543"/>
        <v>6</v>
      </c>
      <c r="CC469" s="462">
        <f t="shared" si="1544"/>
        <v>7</v>
      </c>
      <c r="CD469" s="110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0" t="str">
        <f t="shared" si="1654"/>
        <v/>
      </c>
      <c r="CF469" s="1111" t="str">
        <f t="shared" si="1654"/>
        <v/>
      </c>
      <c r="CG469" s="1111" t="str">
        <f t="shared" si="1654"/>
        <v/>
      </c>
      <c r="CH469" s="1111" t="str">
        <f t="shared" si="1654"/>
        <v/>
      </c>
      <c r="CI469" s="1111" t="str">
        <f t="shared" si="1654"/>
        <v/>
      </c>
      <c r="CJ469" s="1111" t="str">
        <f t="shared" si="1654"/>
        <v/>
      </c>
      <c r="CK469" s="1112">
        <f t="shared" si="1654"/>
        <v>3</v>
      </c>
      <c r="CL469" s="1112">
        <f t="shared" si="1654"/>
        <v>5</v>
      </c>
      <c r="CM469" s="1112">
        <f t="shared" si="1654"/>
        <v>10</v>
      </c>
      <c r="CN469" s="1111" t="str">
        <f t="shared" si="1654"/>
        <v/>
      </c>
      <c r="CO469" s="1111" t="str">
        <f t="shared" si="1654"/>
        <v/>
      </c>
      <c r="CP469" s="1111" t="str">
        <f t="shared" si="1654"/>
        <v/>
      </c>
      <c r="CQ469" s="1111" t="str">
        <f t="shared" si="1654"/>
        <v/>
      </c>
      <c r="CR469" s="1111" t="str">
        <f t="shared" si="1654"/>
        <v/>
      </c>
      <c r="CS469" s="1110" t="str">
        <f t="shared" si="1654"/>
        <v/>
      </c>
      <c r="CT469" s="1113" t="str">
        <f t="shared" si="1654"/>
        <v/>
      </c>
      <c r="CU469" s="324" t="str">
        <f t="shared" si="1655"/>
        <v/>
      </c>
      <c r="CV469" s="325" t="str">
        <f t="shared" si="1656"/>
        <v/>
      </c>
      <c r="CW469" s="326" t="str">
        <f t="shared" si="1657"/>
        <v/>
      </c>
      <c r="CX469" s="326" t="str">
        <f t="shared" si="1658"/>
        <v/>
      </c>
      <c r="CY469" s="326" t="str">
        <f t="shared" si="1659"/>
        <v/>
      </c>
      <c r="CZ469" s="326" t="str">
        <f t="shared" si="1660"/>
        <v/>
      </c>
      <c r="DA469" s="326" t="str">
        <f t="shared" si="1661"/>
        <v/>
      </c>
      <c r="DB469" s="327">
        <f t="shared" si="1662"/>
        <v>2</v>
      </c>
      <c r="DC469" s="327">
        <f t="shared" si="1663"/>
        <v>2</v>
      </c>
      <c r="DD469" s="327">
        <f t="shared" si="1664"/>
        <v>2</v>
      </c>
      <c r="DE469" s="326">
        <f t="shared" si="1665"/>
        <v>5</v>
      </c>
      <c r="DF469" s="326" t="str">
        <f t="shared" si="1666"/>
        <v/>
      </c>
      <c r="DG469" s="326" t="str">
        <f t="shared" si="1667"/>
        <v/>
      </c>
      <c r="DH469" s="326" t="str">
        <f t="shared" si="1668"/>
        <v/>
      </c>
      <c r="DI469" s="326" t="str">
        <f t="shared" si="1669"/>
        <v/>
      </c>
      <c r="DJ469" s="325" t="str">
        <f t="shared" si="1670"/>
        <v/>
      </c>
      <c r="DK469" s="324" t="str">
        <f t="shared" si="1671"/>
        <v/>
      </c>
      <c r="DL469" s="428">
        <f t="shared" si="1672"/>
        <v>3</v>
      </c>
      <c r="DM469" s="66">
        <f t="shared" si="1673"/>
        <v>4</v>
      </c>
      <c r="DN469" s="66">
        <f t="shared" si="1674"/>
        <v>5</v>
      </c>
      <c r="DO469" s="66">
        <f t="shared" si="1675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676">IF(B468="","",B467*B468*B469)</f>
        <v/>
      </c>
      <c r="C470" s="535">
        <f t="shared" si="1676"/>
        <v>5</v>
      </c>
      <c r="D470" s="535">
        <f t="shared" si="1676"/>
        <v>120</v>
      </c>
      <c r="E470" s="535" t="str">
        <f t="shared" si="1676"/>
        <v/>
      </c>
      <c r="F470" s="535" t="str">
        <f t="shared" si="1676"/>
        <v/>
      </c>
      <c r="G470" s="535">
        <f t="shared" si="1676"/>
        <v>15</v>
      </c>
      <c r="H470" s="535" t="str">
        <f t="shared" si="1676"/>
        <v/>
      </c>
      <c r="I470" s="535" t="str">
        <f t="shared" si="1676"/>
        <v/>
      </c>
      <c r="J470" s="535" t="str">
        <f t="shared" si="1676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677">IF(T468="","",T467*T468*T469)</f>
        <v>2.5</v>
      </c>
      <c r="U470" s="535" t="str">
        <f t="shared" si="1677"/>
        <v/>
      </c>
      <c r="V470" s="535" t="str">
        <f t="shared" si="1677"/>
        <v/>
      </c>
      <c r="W470" s="535">
        <f t="shared" si="1677"/>
        <v>40</v>
      </c>
      <c r="X470" s="535" t="str">
        <f t="shared" si="1677"/>
        <v/>
      </c>
      <c r="Y470" s="535" t="str">
        <f t="shared" si="1677"/>
        <v/>
      </c>
      <c r="Z470" s="535">
        <f t="shared" si="1677"/>
        <v>2</v>
      </c>
      <c r="AA470" s="535">
        <f t="shared" si="1677"/>
        <v>2</v>
      </c>
      <c r="AB470" s="535" t="str">
        <f t="shared" si="1677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678">IF(AL468="","",AL467*AL468*AL469)</f>
        <v>60</v>
      </c>
      <c r="AM470" s="780" t="str">
        <f t="shared" si="1678"/>
        <v/>
      </c>
      <c r="AN470" s="780" t="str">
        <f t="shared" si="1678"/>
        <v/>
      </c>
      <c r="AO470" s="780">
        <f t="shared" si="1678"/>
        <v>80</v>
      </c>
      <c r="AP470" s="780" t="str">
        <f t="shared" si="1678"/>
        <v/>
      </c>
      <c r="AQ470" s="780" t="str">
        <f t="shared" si="1678"/>
        <v/>
      </c>
      <c r="AR470" s="780">
        <f t="shared" si="1678"/>
        <v>20</v>
      </c>
      <c r="AS470" s="780">
        <f t="shared" si="1678"/>
        <v>120</v>
      </c>
      <c r="AT470" s="780">
        <f t="shared" si="1678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679">IF(BD468="","",BD467*BD468*BD469)</f>
        <v/>
      </c>
      <c r="BE470" s="780" t="str">
        <f t="shared" si="1679"/>
        <v/>
      </c>
      <c r="BF470" s="780" t="str">
        <f t="shared" si="1679"/>
        <v/>
      </c>
      <c r="BG470" s="780">
        <f t="shared" si="1679"/>
        <v>10</v>
      </c>
      <c r="BH470" s="780">
        <f t="shared" si="1679"/>
        <v>20</v>
      </c>
      <c r="BI470" s="780" t="str">
        <f t="shared" si="1679"/>
        <v/>
      </c>
      <c r="BJ470" s="780">
        <f t="shared" si="1679"/>
        <v>60</v>
      </c>
      <c r="BK470" s="780" t="str">
        <f t="shared" si="1679"/>
        <v/>
      </c>
      <c r="BL470" s="780">
        <f t="shared" si="1679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541"/>
        <v>15</v>
      </c>
      <c r="CA470" s="373">
        <f t="shared" si="1542"/>
        <v>2.25</v>
      </c>
      <c r="CB470" s="373">
        <f t="shared" si="1543"/>
        <v>73.333333333333329</v>
      </c>
      <c r="CC470" s="462">
        <f t="shared" si="1544"/>
        <v>40</v>
      </c>
      <c r="CD470" s="110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0" t="str">
        <f t="shared" si="1654"/>
        <v/>
      </c>
      <c r="CF470" s="1111" t="str">
        <f t="shared" si="1654"/>
        <v/>
      </c>
      <c r="CG470" s="1111" t="str">
        <f t="shared" si="1654"/>
        <v/>
      </c>
      <c r="CH470" s="1111" t="str">
        <f t="shared" si="1654"/>
        <v/>
      </c>
      <c r="CI470" s="1111" t="str">
        <f t="shared" si="1654"/>
        <v/>
      </c>
      <c r="CJ470" s="1111" t="str">
        <f t="shared" si="1654"/>
        <v/>
      </c>
      <c r="CK470" s="1112">
        <f t="shared" si="1654"/>
        <v>5</v>
      </c>
      <c r="CL470" s="1112">
        <f t="shared" si="1654"/>
        <v>15</v>
      </c>
      <c r="CM470" s="1112">
        <f t="shared" si="1654"/>
        <v>120</v>
      </c>
      <c r="CN470" s="1111" t="str">
        <f t="shared" si="1654"/>
        <v/>
      </c>
      <c r="CO470" s="1111" t="str">
        <f t="shared" si="1654"/>
        <v/>
      </c>
      <c r="CP470" s="1111" t="str">
        <f t="shared" si="1654"/>
        <v/>
      </c>
      <c r="CQ470" s="1111" t="str">
        <f t="shared" si="1654"/>
        <v/>
      </c>
      <c r="CR470" s="1111" t="str">
        <f t="shared" si="1654"/>
        <v/>
      </c>
      <c r="CS470" s="1110" t="str">
        <f t="shared" si="1654"/>
        <v/>
      </c>
      <c r="CT470" s="1113" t="str">
        <f t="shared" si="1654"/>
        <v/>
      </c>
      <c r="CU470" s="324" t="str">
        <f t="shared" si="1655"/>
        <v/>
      </c>
      <c r="CV470" s="325" t="str">
        <f t="shared" si="1656"/>
        <v/>
      </c>
      <c r="CW470" s="326" t="str">
        <f t="shared" si="1657"/>
        <v/>
      </c>
      <c r="CX470" s="326" t="str">
        <f t="shared" si="1658"/>
        <v/>
      </c>
      <c r="CY470" s="326" t="str">
        <f t="shared" si="1659"/>
        <v/>
      </c>
      <c r="CZ470" s="326" t="str">
        <f t="shared" si="1660"/>
        <v/>
      </c>
      <c r="DA470" s="326" t="str">
        <f t="shared" si="1661"/>
        <v/>
      </c>
      <c r="DB470" s="327">
        <f t="shared" si="1662"/>
        <v>2</v>
      </c>
      <c r="DC470" s="327">
        <f t="shared" si="1663"/>
        <v>2</v>
      </c>
      <c r="DD470" s="327">
        <f t="shared" si="1664"/>
        <v>2.5</v>
      </c>
      <c r="DE470" s="326">
        <f t="shared" si="1665"/>
        <v>40</v>
      </c>
      <c r="DF470" s="326" t="str">
        <f t="shared" si="1666"/>
        <v/>
      </c>
      <c r="DG470" s="326" t="str">
        <f t="shared" si="1667"/>
        <v/>
      </c>
      <c r="DH470" s="326" t="str">
        <f t="shared" si="1668"/>
        <v/>
      </c>
      <c r="DI470" s="326" t="str">
        <f t="shared" si="1669"/>
        <v/>
      </c>
      <c r="DJ470" s="325" t="str">
        <f t="shared" si="1670"/>
        <v/>
      </c>
      <c r="DK470" s="324" t="str">
        <f t="shared" si="1671"/>
        <v/>
      </c>
      <c r="DL470" s="428">
        <f t="shared" si="1672"/>
        <v>3</v>
      </c>
      <c r="DM470" s="66">
        <f t="shared" si="1673"/>
        <v>4</v>
      </c>
      <c r="DN470" s="66">
        <f t="shared" si="1674"/>
        <v>5</v>
      </c>
      <c r="DO470" s="66">
        <f t="shared" si="1675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680">3540*$K$1</f>
        <v>3540</v>
      </c>
      <c r="C471" s="558">
        <f t="shared" si="1680"/>
        <v>3540</v>
      </c>
      <c r="D471" s="558">
        <f t="shared" si="1680"/>
        <v>3540</v>
      </c>
      <c r="E471" s="558">
        <f t="shared" si="1680"/>
        <v>3540</v>
      </c>
      <c r="F471" s="558">
        <f t="shared" si="1680"/>
        <v>3540</v>
      </c>
      <c r="G471" s="558">
        <f t="shared" si="1680"/>
        <v>3540</v>
      </c>
      <c r="H471" s="558">
        <f t="shared" si="1680"/>
        <v>3540</v>
      </c>
      <c r="I471" s="558">
        <f t="shared" si="1680"/>
        <v>3540</v>
      </c>
      <c r="J471" s="558">
        <f t="shared" si="1680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681">3540*$K$1</f>
        <v>3540</v>
      </c>
      <c r="U471" s="558">
        <f t="shared" si="1681"/>
        <v>3540</v>
      </c>
      <c r="V471" s="558">
        <f t="shared" si="1681"/>
        <v>3540</v>
      </c>
      <c r="W471" s="558">
        <f t="shared" si="1681"/>
        <v>3540</v>
      </c>
      <c r="X471" s="558">
        <f t="shared" si="1681"/>
        <v>3540</v>
      </c>
      <c r="Y471" s="558">
        <f t="shared" si="1681"/>
        <v>3540</v>
      </c>
      <c r="Z471" s="558">
        <f t="shared" si="1681"/>
        <v>3540</v>
      </c>
      <c r="AA471" s="558">
        <f t="shared" si="1681"/>
        <v>3540</v>
      </c>
      <c r="AB471" s="558">
        <f t="shared" si="1681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682">3540*$K$1</f>
        <v>3540</v>
      </c>
      <c r="AM471" s="558">
        <f t="shared" si="1682"/>
        <v>3540</v>
      </c>
      <c r="AN471" s="558">
        <f t="shared" si="1682"/>
        <v>3540</v>
      </c>
      <c r="AO471" s="558">
        <f t="shared" si="1682"/>
        <v>3540</v>
      </c>
      <c r="AP471" s="558">
        <f t="shared" si="1682"/>
        <v>3540</v>
      </c>
      <c r="AQ471" s="558">
        <f t="shared" si="1682"/>
        <v>3540</v>
      </c>
      <c r="AR471" s="558">
        <f t="shared" si="1682"/>
        <v>3540</v>
      </c>
      <c r="AS471" s="558">
        <f t="shared" si="1682"/>
        <v>3540</v>
      </c>
      <c r="AT471" s="558">
        <f t="shared" si="1682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683">3540*$K$1</f>
        <v>3540</v>
      </c>
      <c r="BE471" s="558">
        <f t="shared" si="1683"/>
        <v>3540</v>
      </c>
      <c r="BF471" s="558">
        <f t="shared" si="1683"/>
        <v>3540</v>
      </c>
      <c r="BG471" s="558">
        <f t="shared" si="1683"/>
        <v>3540</v>
      </c>
      <c r="BH471" s="558">
        <f t="shared" si="1683"/>
        <v>3540</v>
      </c>
      <c r="BI471" s="558">
        <f t="shared" si="1683"/>
        <v>3540</v>
      </c>
      <c r="BJ471" s="558">
        <f t="shared" si="1683"/>
        <v>3540</v>
      </c>
      <c r="BK471" s="558">
        <f t="shared" si="1683"/>
        <v>3540</v>
      </c>
      <c r="BL471" s="558">
        <f t="shared" si="1683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541"/>
        <v>3540</v>
      </c>
      <c r="CA471" s="373">
        <f t="shared" si="1542"/>
        <v>3540</v>
      </c>
      <c r="CB471" s="373">
        <f t="shared" si="1543"/>
        <v>3540</v>
      </c>
      <c r="CC471" s="462">
        <f t="shared" si="1544"/>
        <v>3540</v>
      </c>
      <c r="CD471" s="110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0" t="str">
        <f t="shared" si="1654"/>
        <v/>
      </c>
      <c r="CF471" s="1111" t="str">
        <f t="shared" si="1654"/>
        <v/>
      </c>
      <c r="CG471" s="1111" t="str">
        <f t="shared" si="1654"/>
        <v/>
      </c>
      <c r="CH471" s="1111">
        <f t="shared" si="1654"/>
        <v>3540</v>
      </c>
      <c r="CI471" s="1111">
        <f t="shared" si="1654"/>
        <v>3540</v>
      </c>
      <c r="CJ471" s="1111">
        <f t="shared" si="1654"/>
        <v>3540</v>
      </c>
      <c r="CK471" s="1112">
        <f t="shared" si="1654"/>
        <v>3540</v>
      </c>
      <c r="CL471" s="1112">
        <f t="shared" si="1654"/>
        <v>3540</v>
      </c>
      <c r="CM471" s="1112">
        <f t="shared" si="1654"/>
        <v>3540</v>
      </c>
      <c r="CN471" s="1111">
        <f t="shared" si="1654"/>
        <v>3540</v>
      </c>
      <c r="CO471" s="1111">
        <f t="shared" si="1654"/>
        <v>3540</v>
      </c>
      <c r="CP471" s="1111">
        <f t="shared" si="1654"/>
        <v>3540</v>
      </c>
      <c r="CQ471" s="1111" t="str">
        <f t="shared" si="1654"/>
        <v/>
      </c>
      <c r="CR471" s="1111" t="str">
        <f t="shared" si="1654"/>
        <v/>
      </c>
      <c r="CS471" s="1110" t="str">
        <f t="shared" si="1654"/>
        <v/>
      </c>
      <c r="CT471" s="1113" t="str">
        <f t="shared" si="1654"/>
        <v/>
      </c>
      <c r="CU471" s="324" t="str">
        <f t="shared" si="1655"/>
        <v/>
      </c>
      <c r="CV471" s="325" t="str">
        <f t="shared" si="1656"/>
        <v/>
      </c>
      <c r="CW471" s="326" t="str">
        <f t="shared" si="1657"/>
        <v/>
      </c>
      <c r="CX471" s="326" t="str">
        <f t="shared" si="1658"/>
        <v/>
      </c>
      <c r="CY471" s="326">
        <f t="shared" si="1659"/>
        <v>3540</v>
      </c>
      <c r="CZ471" s="326">
        <f t="shared" si="1660"/>
        <v>3540</v>
      </c>
      <c r="DA471" s="326">
        <f t="shared" si="1661"/>
        <v>3540</v>
      </c>
      <c r="DB471" s="327">
        <f t="shared" si="1662"/>
        <v>3540</v>
      </c>
      <c r="DC471" s="327">
        <f t="shared" si="1663"/>
        <v>3540</v>
      </c>
      <c r="DD471" s="327">
        <f t="shared" si="1664"/>
        <v>3540</v>
      </c>
      <c r="DE471" s="326">
        <f t="shared" si="1665"/>
        <v>3540</v>
      </c>
      <c r="DF471" s="326">
        <f t="shared" si="1666"/>
        <v>3540</v>
      </c>
      <c r="DG471" s="326">
        <f t="shared" si="1667"/>
        <v>3540</v>
      </c>
      <c r="DH471" s="326" t="str">
        <f t="shared" si="1668"/>
        <v/>
      </c>
      <c r="DI471" s="326" t="str">
        <f t="shared" si="1669"/>
        <v/>
      </c>
      <c r="DJ471" s="325" t="str">
        <f t="shared" si="1670"/>
        <v/>
      </c>
      <c r="DK471" s="324" t="str">
        <f t="shared" si="1671"/>
        <v/>
      </c>
      <c r="DL471" s="428">
        <f t="shared" si="1672"/>
        <v>9</v>
      </c>
      <c r="DM471" s="66">
        <f t="shared" si="1673"/>
        <v>9</v>
      </c>
      <c r="DN471" s="66">
        <f t="shared" si="1674"/>
        <v>9</v>
      </c>
      <c r="DO471" s="66">
        <f t="shared" si="1675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684">IF(B470="","",B470*B471/B$46/365/$G$1)</f>
        <v/>
      </c>
      <c r="C472" s="786">
        <f t="shared" si="1684"/>
        <v>3.2988537880905785E-3</v>
      </c>
      <c r="D472" s="786">
        <f t="shared" si="1684"/>
        <v>9.2367906066536207E-2</v>
      </c>
      <c r="E472" s="786" t="str">
        <f t="shared" si="1684"/>
        <v/>
      </c>
      <c r="F472" s="786" t="str">
        <f t="shared" si="1684"/>
        <v/>
      </c>
      <c r="G472" s="786">
        <f t="shared" si="1684"/>
        <v>8.6594911937377689E-3</v>
      </c>
      <c r="H472" s="786" t="str">
        <f t="shared" si="1684"/>
        <v/>
      </c>
      <c r="I472" s="786" t="str">
        <f t="shared" si="1684"/>
        <v/>
      </c>
      <c r="J472" s="786" t="str">
        <f t="shared" si="1684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685">IF(T470="","",T470*T471/T$46/365/$G$1)</f>
        <v>1.4432485322896282E-3</v>
      </c>
      <c r="U472" s="786" t="str">
        <f t="shared" si="1685"/>
        <v/>
      </c>
      <c r="V472" s="786" t="str">
        <f t="shared" si="1685"/>
        <v/>
      </c>
      <c r="W472" s="786">
        <f t="shared" si="1685"/>
        <v>1.8473581213307239E-2</v>
      </c>
      <c r="X472" s="786" t="str">
        <f t="shared" si="1685"/>
        <v/>
      </c>
      <c r="Y472" s="786" t="str">
        <f t="shared" si="1685"/>
        <v/>
      </c>
      <c r="Z472" s="786">
        <f t="shared" si="1685"/>
        <v>1.1545988258317025E-3</v>
      </c>
      <c r="AA472" s="786">
        <f t="shared" si="1685"/>
        <v>9.2367906066536201E-4</v>
      </c>
      <c r="AB472" s="786" t="str">
        <f t="shared" si="1685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686">IF(AL470="","",AL470*AL471/AL$46/365/$G$1)</f>
        <v>2.5191247109055327E-2</v>
      </c>
      <c r="AM472" s="786" t="str">
        <f t="shared" si="1686"/>
        <v/>
      </c>
      <c r="AN472" s="786" t="str">
        <f t="shared" si="1686"/>
        <v/>
      </c>
      <c r="AO472" s="786">
        <f t="shared" si="1686"/>
        <v>4.6183953033268103E-2</v>
      </c>
      <c r="AP472" s="786" t="str">
        <f t="shared" si="1686"/>
        <v/>
      </c>
      <c r="AQ472" s="786" t="str">
        <f t="shared" si="1686"/>
        <v/>
      </c>
      <c r="AR472" s="786">
        <f t="shared" si="1686"/>
        <v>1.1545988258317026E-2</v>
      </c>
      <c r="AS472" s="786">
        <f t="shared" si="1686"/>
        <v>6.9275929549902152E-2</v>
      </c>
      <c r="AT472" s="786">
        <f t="shared" si="1686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687">IF(BD470="","",BD470*BD471/BD$46/365/$G$1)</f>
        <v/>
      </c>
      <c r="BE472" s="786" t="str">
        <f t="shared" si="1687"/>
        <v/>
      </c>
      <c r="BF472" s="786" t="str">
        <f t="shared" si="1687"/>
        <v/>
      </c>
      <c r="BG472" s="786">
        <f t="shared" si="1687"/>
        <v>4.6183953033268098E-3</v>
      </c>
      <c r="BH472" s="786">
        <f t="shared" si="1687"/>
        <v>9.2367906066536196E-3</v>
      </c>
      <c r="BI472" s="786" t="str">
        <f t="shared" si="1687"/>
        <v/>
      </c>
      <c r="BJ472" s="786">
        <f t="shared" si="1687"/>
        <v>4.6183953033268103E-2</v>
      </c>
      <c r="BK472" s="786" t="str">
        <f t="shared" si="1687"/>
        <v/>
      </c>
      <c r="BL472" s="786">
        <f t="shared" si="1687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542"/>
        <v>1.298923679060664E-3</v>
      </c>
      <c r="CB472" s="398">
        <f t="shared" si="1543"/>
        <v>3.610745418964597E-2</v>
      </c>
      <c r="CC472" s="398">
        <f t="shared" si="1544"/>
        <v>2.7710371819960864E-2</v>
      </c>
      <c r="CD472" s="111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5" t="str">
        <f t="shared" si="1654"/>
        <v/>
      </c>
      <c r="CF472" s="1116" t="str">
        <f t="shared" si="1654"/>
        <v/>
      </c>
      <c r="CG472" s="1116" t="str">
        <f t="shared" si="1654"/>
        <v/>
      </c>
      <c r="CH472" s="1116" t="str">
        <f t="shared" si="1654"/>
        <v/>
      </c>
      <c r="CI472" s="1116" t="str">
        <f t="shared" si="1654"/>
        <v/>
      </c>
      <c r="CJ472" s="1116" t="str">
        <f t="shared" si="1654"/>
        <v/>
      </c>
      <c r="CK472" s="1117">
        <f t="shared" si="1654"/>
        <v>3.2988537880905785E-3</v>
      </c>
      <c r="CL472" s="1117">
        <f t="shared" si="1654"/>
        <v>8.6594911937377689E-3</v>
      </c>
      <c r="CM472" s="1117">
        <f t="shared" si="1654"/>
        <v>9.2367906066536207E-2</v>
      </c>
      <c r="CN472" s="1116" t="str">
        <f t="shared" si="1654"/>
        <v/>
      </c>
      <c r="CO472" s="1116" t="str">
        <f t="shared" si="1654"/>
        <v/>
      </c>
      <c r="CP472" s="1116" t="str">
        <f t="shared" si="1654"/>
        <v/>
      </c>
      <c r="CQ472" s="1116" t="str">
        <f t="shared" si="1654"/>
        <v/>
      </c>
      <c r="CR472" s="1116" t="str">
        <f t="shared" si="1654"/>
        <v/>
      </c>
      <c r="CS472" s="1115" t="str">
        <f t="shared" si="1654"/>
        <v/>
      </c>
      <c r="CT472" s="1118" t="str">
        <f t="shared" si="1654"/>
        <v/>
      </c>
      <c r="CU472" s="312" t="str">
        <f t="shared" si="1655"/>
        <v/>
      </c>
      <c r="CV472" s="313" t="str">
        <f t="shared" si="1656"/>
        <v/>
      </c>
      <c r="CW472" s="314" t="str">
        <f t="shared" si="1657"/>
        <v/>
      </c>
      <c r="CX472" s="314" t="str">
        <f t="shared" si="1658"/>
        <v/>
      </c>
      <c r="CY472" s="314" t="str">
        <f t="shared" si="1659"/>
        <v/>
      </c>
      <c r="CZ472" s="314" t="str">
        <f t="shared" si="1660"/>
        <v/>
      </c>
      <c r="DA472" s="314" t="str">
        <f t="shared" si="1661"/>
        <v/>
      </c>
      <c r="DB472" s="315">
        <f t="shared" si="1662"/>
        <v>9.2367906066536201E-4</v>
      </c>
      <c r="DC472" s="315">
        <f t="shared" si="1663"/>
        <v>1.1545988258317025E-3</v>
      </c>
      <c r="DD472" s="315">
        <f t="shared" si="1664"/>
        <v>1.4432485322896282E-3</v>
      </c>
      <c r="DE472" s="314">
        <f t="shared" si="1665"/>
        <v>1.8473581213307239E-2</v>
      </c>
      <c r="DF472" s="314" t="str">
        <f t="shared" si="1666"/>
        <v/>
      </c>
      <c r="DG472" s="314" t="str">
        <f t="shared" si="1667"/>
        <v/>
      </c>
      <c r="DH472" s="314" t="str">
        <f t="shared" si="1668"/>
        <v/>
      </c>
      <c r="DI472" s="314" t="str">
        <f t="shared" si="1669"/>
        <v/>
      </c>
      <c r="DJ472" s="313" t="str">
        <f t="shared" si="1670"/>
        <v/>
      </c>
      <c r="DK472" s="312" t="str">
        <f t="shared" si="1671"/>
        <v/>
      </c>
      <c r="DL472" s="428">
        <f t="shared" si="1672"/>
        <v>3</v>
      </c>
      <c r="DM472" s="66">
        <f t="shared" si="1673"/>
        <v>4</v>
      </c>
      <c r="DN472" s="66">
        <f t="shared" si="1674"/>
        <v>5</v>
      </c>
      <c r="DO472" s="66">
        <f t="shared" si="1675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541"/>
        <v>2</v>
      </c>
      <c r="CA473" s="373">
        <f t="shared" si="1542"/>
        <v>7.5</v>
      </c>
      <c r="CB473" s="373">
        <f t="shared" si="1543"/>
        <v>5</v>
      </c>
      <c r="CC473" s="462">
        <f t="shared" si="1544"/>
        <v>6</v>
      </c>
      <c r="CD473" s="1109" t="str">
        <f t="shared" ref="CD473:CS474" si="16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0" t="str">
        <f t="shared" si="1688"/>
        <v/>
      </c>
      <c r="CF473" s="1111" t="str">
        <f t="shared" si="1688"/>
        <v/>
      </c>
      <c r="CG473" s="1111" t="str">
        <f t="shared" si="1688"/>
        <v/>
      </c>
      <c r="CH473" s="1111" t="str">
        <f t="shared" si="1688"/>
        <v/>
      </c>
      <c r="CI473" s="1111" t="str">
        <f t="shared" si="1688"/>
        <v/>
      </c>
      <c r="CJ473" s="1111" t="str">
        <f t="shared" si="1688"/>
        <v/>
      </c>
      <c r="CK473" s="1112">
        <f t="shared" si="1688"/>
        <v>1</v>
      </c>
      <c r="CL473" s="1112">
        <f t="shared" si="1688"/>
        <v>2</v>
      </c>
      <c r="CM473" s="1112">
        <f t="shared" si="1688"/>
        <v>3</v>
      </c>
      <c r="CN473" s="1111" t="str">
        <f t="shared" si="1688"/>
        <v/>
      </c>
      <c r="CO473" s="1111" t="str">
        <f t="shared" si="1688"/>
        <v/>
      </c>
      <c r="CP473" s="1111" t="str">
        <f t="shared" si="1688"/>
        <v/>
      </c>
      <c r="CQ473" s="1111" t="str">
        <f t="shared" si="1688"/>
        <v/>
      </c>
      <c r="CR473" s="1111" t="str">
        <f t="shared" si="1688"/>
        <v/>
      </c>
      <c r="CS473" s="1110" t="str">
        <f t="shared" si="1688"/>
        <v/>
      </c>
      <c r="CT473" s="1113" t="str">
        <f t="shared" ref="CE473:CT474" si="16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655"/>
        <v/>
      </c>
      <c r="CV473" s="325" t="str">
        <f t="shared" si="1656"/>
        <v/>
      </c>
      <c r="CW473" s="326" t="str">
        <f t="shared" si="1657"/>
        <v/>
      </c>
      <c r="CX473" s="326" t="str">
        <f t="shared" si="1658"/>
        <v/>
      </c>
      <c r="CY473" s="326" t="str">
        <f t="shared" si="1659"/>
        <v/>
      </c>
      <c r="CZ473" s="326" t="str">
        <f t="shared" si="1660"/>
        <v/>
      </c>
      <c r="DA473" s="326" t="str">
        <f t="shared" si="1661"/>
        <v/>
      </c>
      <c r="DB473" s="327">
        <f t="shared" si="1662"/>
        <v>1</v>
      </c>
      <c r="DC473" s="327">
        <f t="shared" si="1663"/>
        <v>5</v>
      </c>
      <c r="DD473" s="327">
        <f t="shared" si="1664"/>
        <v>10</v>
      </c>
      <c r="DE473" s="326">
        <f t="shared" si="1665"/>
        <v>10</v>
      </c>
      <c r="DF473" s="326" t="str">
        <f t="shared" si="1666"/>
        <v/>
      </c>
      <c r="DG473" s="326" t="str">
        <f t="shared" si="1667"/>
        <v/>
      </c>
      <c r="DH473" s="326" t="str">
        <f t="shared" si="1668"/>
        <v/>
      </c>
      <c r="DI473" s="326" t="str">
        <f t="shared" si="1669"/>
        <v/>
      </c>
      <c r="DJ473" s="325" t="str">
        <f t="shared" si="1670"/>
        <v/>
      </c>
      <c r="DK473" s="324" t="str">
        <f t="shared" si="1671"/>
        <v/>
      </c>
      <c r="DL473" s="428">
        <f t="shared" si="1672"/>
        <v>3</v>
      </c>
      <c r="DM473" s="66">
        <f t="shared" si="1673"/>
        <v>4</v>
      </c>
      <c r="DN473" s="66">
        <f t="shared" si="1674"/>
        <v>5</v>
      </c>
      <c r="DO473" s="66">
        <f t="shared" si="1675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690">IF(B473="","",B470*B473)</f>
        <v/>
      </c>
      <c r="C474" s="780">
        <f t="shared" si="1690"/>
        <v>10</v>
      </c>
      <c r="D474" s="780">
        <f t="shared" si="1690"/>
        <v>120</v>
      </c>
      <c r="E474" s="780" t="str">
        <f t="shared" si="1690"/>
        <v/>
      </c>
      <c r="F474" s="780" t="str">
        <f t="shared" si="1690"/>
        <v/>
      </c>
      <c r="G474" s="780">
        <f t="shared" si="1690"/>
        <v>45</v>
      </c>
      <c r="H474" s="780" t="str">
        <f t="shared" si="1690"/>
        <v/>
      </c>
      <c r="I474" s="780" t="str">
        <f t="shared" si="1690"/>
        <v/>
      </c>
      <c r="J474" s="780" t="str">
        <f t="shared" si="1690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691">IF(T473="","",T470*T473)</f>
        <v>25</v>
      </c>
      <c r="U474" s="535" t="str">
        <f t="shared" si="1691"/>
        <v/>
      </c>
      <c r="V474" s="535" t="str">
        <f t="shared" si="1691"/>
        <v/>
      </c>
      <c r="W474" s="535">
        <f t="shared" si="1691"/>
        <v>40</v>
      </c>
      <c r="X474" s="535" t="str">
        <f t="shared" si="1691"/>
        <v/>
      </c>
      <c r="Y474" s="535" t="str">
        <f t="shared" si="1691"/>
        <v/>
      </c>
      <c r="Z474" s="535">
        <f t="shared" si="1691"/>
        <v>10</v>
      </c>
      <c r="AA474" s="535">
        <f t="shared" si="1691"/>
        <v>20</v>
      </c>
      <c r="AB474" s="535" t="str">
        <f t="shared" si="1691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692">IF(AL473="","",AL470*AL473)</f>
        <v>300</v>
      </c>
      <c r="AM474" s="780" t="str">
        <f t="shared" si="1692"/>
        <v/>
      </c>
      <c r="AN474" s="780" t="str">
        <f t="shared" si="1692"/>
        <v/>
      </c>
      <c r="AO474" s="780">
        <f t="shared" si="1692"/>
        <v>400</v>
      </c>
      <c r="AP474" s="780" t="str">
        <f t="shared" si="1692"/>
        <v/>
      </c>
      <c r="AQ474" s="780" t="str">
        <f t="shared" si="1692"/>
        <v/>
      </c>
      <c r="AR474" s="780">
        <f t="shared" si="1692"/>
        <v>100</v>
      </c>
      <c r="AS474" s="780">
        <f t="shared" si="1692"/>
        <v>600</v>
      </c>
      <c r="AT474" s="780">
        <f t="shared" si="1692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693">IF(BD473="","",BD470*BD473)</f>
        <v/>
      </c>
      <c r="BE474" s="780" t="str">
        <f t="shared" si="1693"/>
        <v/>
      </c>
      <c r="BF474" s="780" t="str">
        <f t="shared" si="1693"/>
        <v/>
      </c>
      <c r="BG474" s="780">
        <f t="shared" si="1693"/>
        <v>50</v>
      </c>
      <c r="BH474" s="780">
        <f t="shared" si="1693"/>
        <v>120</v>
      </c>
      <c r="BI474" s="780" t="str">
        <f t="shared" si="1693"/>
        <v/>
      </c>
      <c r="BJ474" s="780">
        <f t="shared" si="1693"/>
        <v>360</v>
      </c>
      <c r="BK474" s="780" t="str">
        <f t="shared" si="1693"/>
        <v/>
      </c>
      <c r="BL474" s="780">
        <f t="shared" si="1693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541"/>
        <v>45</v>
      </c>
      <c r="CA474" s="373">
        <f t="shared" si="1542"/>
        <v>22.5</v>
      </c>
      <c r="CB474" s="373">
        <f t="shared" si="1543"/>
        <v>366.66666666666669</v>
      </c>
      <c r="CC474" s="462">
        <f t="shared" si="1544"/>
        <v>240</v>
      </c>
      <c r="CD474" s="1109" t="str">
        <f t="shared" si="1688"/>
        <v/>
      </c>
      <c r="CE474" s="1110" t="str">
        <f t="shared" si="1689"/>
        <v/>
      </c>
      <c r="CF474" s="1111" t="str">
        <f t="shared" si="1689"/>
        <v/>
      </c>
      <c r="CG474" s="1111" t="str">
        <f t="shared" si="1689"/>
        <v/>
      </c>
      <c r="CH474" s="1111" t="str">
        <f t="shared" si="1689"/>
        <v/>
      </c>
      <c r="CI474" s="1111" t="str">
        <f t="shared" si="1689"/>
        <v/>
      </c>
      <c r="CJ474" s="1111" t="str">
        <f t="shared" si="1689"/>
        <v/>
      </c>
      <c r="CK474" s="1112">
        <f t="shared" si="1689"/>
        <v>10</v>
      </c>
      <c r="CL474" s="1112">
        <f t="shared" si="1689"/>
        <v>45</v>
      </c>
      <c r="CM474" s="1112">
        <f t="shared" si="1689"/>
        <v>120</v>
      </c>
      <c r="CN474" s="1111" t="str">
        <f t="shared" si="1689"/>
        <v/>
      </c>
      <c r="CO474" s="1111" t="str">
        <f t="shared" si="1689"/>
        <v/>
      </c>
      <c r="CP474" s="1111" t="str">
        <f t="shared" si="1689"/>
        <v/>
      </c>
      <c r="CQ474" s="1111" t="str">
        <f t="shared" si="1689"/>
        <v/>
      </c>
      <c r="CR474" s="1111" t="str">
        <f t="shared" si="1689"/>
        <v/>
      </c>
      <c r="CS474" s="1110" t="str">
        <f t="shared" si="1689"/>
        <v/>
      </c>
      <c r="CT474" s="1113" t="str">
        <f t="shared" si="1689"/>
        <v/>
      </c>
      <c r="CU474" s="324" t="str">
        <f t="shared" si="1655"/>
        <v/>
      </c>
      <c r="CV474" s="325" t="str">
        <f t="shared" si="1656"/>
        <v/>
      </c>
      <c r="CW474" s="326" t="str">
        <f t="shared" si="1657"/>
        <v/>
      </c>
      <c r="CX474" s="326" t="str">
        <f t="shared" si="1658"/>
        <v/>
      </c>
      <c r="CY474" s="326" t="str">
        <f t="shared" si="1659"/>
        <v/>
      </c>
      <c r="CZ474" s="326" t="str">
        <f t="shared" si="1660"/>
        <v/>
      </c>
      <c r="DA474" s="326" t="str">
        <f t="shared" si="1661"/>
        <v/>
      </c>
      <c r="DB474" s="327">
        <f t="shared" si="1662"/>
        <v>10</v>
      </c>
      <c r="DC474" s="327">
        <f t="shared" si="1663"/>
        <v>20</v>
      </c>
      <c r="DD474" s="327">
        <f t="shared" si="1664"/>
        <v>25</v>
      </c>
      <c r="DE474" s="326">
        <f t="shared" si="1665"/>
        <v>40</v>
      </c>
      <c r="DF474" s="326" t="str">
        <f t="shared" si="1666"/>
        <v/>
      </c>
      <c r="DG474" s="326" t="str">
        <f t="shared" si="1667"/>
        <v/>
      </c>
      <c r="DH474" s="326" t="str">
        <f t="shared" si="1668"/>
        <v/>
      </c>
      <c r="DI474" s="326" t="str">
        <f t="shared" si="1669"/>
        <v/>
      </c>
      <c r="DJ474" s="325" t="str">
        <f t="shared" si="1670"/>
        <v/>
      </c>
      <c r="DK474" s="324" t="str">
        <f t="shared" si="1671"/>
        <v/>
      </c>
      <c r="DL474" s="428">
        <f t="shared" si="1672"/>
        <v>3</v>
      </c>
      <c r="DM474" s="66">
        <f t="shared" si="1673"/>
        <v>4</v>
      </c>
      <c r="DN474" s="66">
        <f t="shared" si="1674"/>
        <v>5</v>
      </c>
      <c r="DO474" s="66">
        <f t="shared" si="1675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2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541"/>
        <v/>
      </c>
      <c r="CA475" s="365" t="str">
        <f t="shared" si="1542"/>
        <v/>
      </c>
      <c r="CB475" s="365" t="str">
        <f t="shared" si="1543"/>
        <v/>
      </c>
      <c r="CC475" s="461" t="str">
        <f t="shared" si="1544"/>
        <v/>
      </c>
      <c r="CD475" s="1120"/>
      <c r="CE475" s="1120"/>
      <c r="CF475" s="1120"/>
      <c r="CG475" s="1120"/>
      <c r="CH475" s="1120"/>
      <c r="CI475" s="1120"/>
      <c r="CJ475" s="1120"/>
      <c r="CK475" s="1120"/>
      <c r="CL475" s="1120"/>
      <c r="CM475" s="1120"/>
      <c r="CN475" s="1120"/>
      <c r="CO475" s="1120"/>
      <c r="CP475" s="1120"/>
      <c r="CQ475" s="1120"/>
      <c r="CR475" s="1120"/>
      <c r="CS475" s="1120"/>
      <c r="CT475" s="1121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541"/>
        <v/>
      </c>
      <c r="CA476" s="373" t="str">
        <f t="shared" si="1542"/>
        <v/>
      </c>
      <c r="CB476" s="373" t="str">
        <f t="shared" si="1543"/>
        <v/>
      </c>
      <c r="CC476" s="462" t="str">
        <f t="shared" si="1544"/>
        <v/>
      </c>
      <c r="CD476" s="1109" t="str">
        <f t="shared" ref="CD476:CS476" si="16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0" t="str">
        <f t="shared" si="1694"/>
        <v/>
      </c>
      <c r="CF476" s="1111" t="str">
        <f t="shared" si="1694"/>
        <v/>
      </c>
      <c r="CG476" s="1111" t="str">
        <f t="shared" si="1694"/>
        <v/>
      </c>
      <c r="CH476" s="1111" t="str">
        <f t="shared" si="1694"/>
        <v/>
      </c>
      <c r="CI476" s="1111" t="str">
        <f t="shared" si="1694"/>
        <v/>
      </c>
      <c r="CJ476" s="1111" t="str">
        <f t="shared" si="1694"/>
        <v/>
      </c>
      <c r="CK476" s="1112" t="str">
        <f t="shared" si="1694"/>
        <v/>
      </c>
      <c r="CL476" s="1112">
        <f t="shared" si="1694"/>
        <v>5</v>
      </c>
      <c r="CM476" s="1112" t="str">
        <f t="shared" si="1694"/>
        <v/>
      </c>
      <c r="CN476" s="1111" t="str">
        <f t="shared" si="1694"/>
        <v/>
      </c>
      <c r="CO476" s="1111" t="str">
        <f t="shared" si="1694"/>
        <v/>
      </c>
      <c r="CP476" s="1111" t="str">
        <f t="shared" si="1694"/>
        <v/>
      </c>
      <c r="CQ476" s="1111" t="str">
        <f t="shared" si="1694"/>
        <v/>
      </c>
      <c r="CR476" s="1111" t="str">
        <f t="shared" si="1694"/>
        <v/>
      </c>
      <c r="CS476" s="1110" t="str">
        <f t="shared" si="1694"/>
        <v/>
      </c>
      <c r="CT476" s="1113" t="str">
        <f t="shared" ref="CE476:CT481" si="16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6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6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6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6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713">COUNT(B476:R476)</f>
        <v>1</v>
      </c>
      <c r="DM476" s="66">
        <f t="shared" ref="DM476:DM483" si="1714">COUNT(T476:AJ476)</f>
        <v>0</v>
      </c>
      <c r="DN476" s="66">
        <f t="shared" ref="DN476:DN483" si="1715">COUNT(AL476:BB476)</f>
        <v>0</v>
      </c>
      <c r="DO476" s="66">
        <f t="shared" ref="DO476:DO483" si="171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541"/>
        <v/>
      </c>
      <c r="CA477" s="373" t="str">
        <f t="shared" si="1542"/>
        <v/>
      </c>
      <c r="CB477" s="373" t="str">
        <f t="shared" si="1543"/>
        <v/>
      </c>
      <c r="CC477" s="462" t="str">
        <f t="shared" si="1544"/>
        <v/>
      </c>
      <c r="CD477" s="110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0" t="str">
        <f t="shared" si="1695"/>
        <v/>
      </c>
      <c r="CF477" s="1111" t="str">
        <f t="shared" si="1695"/>
        <v/>
      </c>
      <c r="CG477" s="1111" t="str">
        <f t="shared" si="1695"/>
        <v/>
      </c>
      <c r="CH477" s="1111" t="str">
        <f t="shared" si="1695"/>
        <v/>
      </c>
      <c r="CI477" s="1111" t="str">
        <f t="shared" si="1695"/>
        <v/>
      </c>
      <c r="CJ477" s="1111" t="str">
        <f t="shared" si="1695"/>
        <v/>
      </c>
      <c r="CK477" s="1112" t="str">
        <f t="shared" si="1695"/>
        <v/>
      </c>
      <c r="CL477" s="1112">
        <f t="shared" si="1695"/>
        <v>1</v>
      </c>
      <c r="CM477" s="1112" t="str">
        <f t="shared" si="1695"/>
        <v/>
      </c>
      <c r="CN477" s="1111" t="str">
        <f t="shared" si="1695"/>
        <v/>
      </c>
      <c r="CO477" s="1111" t="str">
        <f t="shared" si="1695"/>
        <v/>
      </c>
      <c r="CP477" s="1111" t="str">
        <f t="shared" si="1695"/>
        <v/>
      </c>
      <c r="CQ477" s="1111" t="str">
        <f t="shared" si="1695"/>
        <v/>
      </c>
      <c r="CR477" s="1111" t="str">
        <f t="shared" si="1695"/>
        <v/>
      </c>
      <c r="CS477" s="1110" t="str">
        <f t="shared" si="1695"/>
        <v/>
      </c>
      <c r="CT477" s="1113" t="str">
        <f t="shared" si="1695"/>
        <v/>
      </c>
      <c r="CU477" s="324" t="str">
        <f t="shared" si="1696"/>
        <v/>
      </c>
      <c r="CV477" s="325" t="str">
        <f t="shared" si="1697"/>
        <v/>
      </c>
      <c r="CW477" s="326" t="str">
        <f t="shared" si="1698"/>
        <v/>
      </c>
      <c r="CX477" s="326" t="str">
        <f t="shared" si="1699"/>
        <v/>
      </c>
      <c r="CY477" s="326" t="str">
        <f t="shared" si="1700"/>
        <v/>
      </c>
      <c r="CZ477" s="326" t="str">
        <f t="shared" si="1701"/>
        <v/>
      </c>
      <c r="DA477" s="326" t="str">
        <f t="shared" si="1702"/>
        <v/>
      </c>
      <c r="DB477" s="327" t="str">
        <f t="shared" si="1703"/>
        <v/>
      </c>
      <c r="DC477" s="327" t="str">
        <f t="shared" si="1704"/>
        <v/>
      </c>
      <c r="DD477" s="327" t="str">
        <f t="shared" si="1705"/>
        <v/>
      </c>
      <c r="DE477" s="326" t="str">
        <f t="shared" si="1706"/>
        <v/>
      </c>
      <c r="DF477" s="326" t="str">
        <f t="shared" si="1707"/>
        <v/>
      </c>
      <c r="DG477" s="326" t="str">
        <f t="shared" si="1708"/>
        <v/>
      </c>
      <c r="DH477" s="326" t="str">
        <f t="shared" si="1709"/>
        <v/>
      </c>
      <c r="DI477" s="326" t="str">
        <f t="shared" si="1710"/>
        <v/>
      </c>
      <c r="DJ477" s="325" t="str">
        <f t="shared" si="1711"/>
        <v/>
      </c>
      <c r="DK477" s="324" t="str">
        <f t="shared" si="1712"/>
        <v/>
      </c>
      <c r="DL477" s="428">
        <f t="shared" si="1713"/>
        <v>1</v>
      </c>
      <c r="DM477" s="66">
        <f t="shared" si="1714"/>
        <v>0</v>
      </c>
      <c r="DN477" s="66">
        <f t="shared" si="1715"/>
        <v>0</v>
      </c>
      <c r="DO477" s="66">
        <f t="shared" si="171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541"/>
        <v/>
      </c>
      <c r="CA478" s="373" t="str">
        <f t="shared" si="1542"/>
        <v/>
      </c>
      <c r="CB478" s="373" t="str">
        <f t="shared" si="1543"/>
        <v/>
      </c>
      <c r="CC478" s="462" t="str">
        <f t="shared" si="1544"/>
        <v/>
      </c>
      <c r="CD478" s="110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0" t="str">
        <f t="shared" si="1695"/>
        <v/>
      </c>
      <c r="CF478" s="1111" t="str">
        <f t="shared" si="1695"/>
        <v/>
      </c>
      <c r="CG478" s="1111" t="str">
        <f t="shared" si="1695"/>
        <v/>
      </c>
      <c r="CH478" s="1111" t="str">
        <f t="shared" si="1695"/>
        <v/>
      </c>
      <c r="CI478" s="1111" t="str">
        <f t="shared" si="1695"/>
        <v/>
      </c>
      <c r="CJ478" s="1111" t="str">
        <f t="shared" si="1695"/>
        <v/>
      </c>
      <c r="CK478" s="1112" t="str">
        <f t="shared" si="1695"/>
        <v/>
      </c>
      <c r="CL478" s="1112">
        <f t="shared" si="1695"/>
        <v>2</v>
      </c>
      <c r="CM478" s="1112" t="str">
        <f t="shared" si="1695"/>
        <v/>
      </c>
      <c r="CN478" s="1111" t="str">
        <f t="shared" si="1695"/>
        <v/>
      </c>
      <c r="CO478" s="1111" t="str">
        <f t="shared" si="1695"/>
        <v/>
      </c>
      <c r="CP478" s="1111" t="str">
        <f t="shared" si="1695"/>
        <v/>
      </c>
      <c r="CQ478" s="1111" t="str">
        <f t="shared" si="1695"/>
        <v/>
      </c>
      <c r="CR478" s="1111" t="str">
        <f t="shared" si="1695"/>
        <v/>
      </c>
      <c r="CS478" s="1110" t="str">
        <f t="shared" si="1695"/>
        <v/>
      </c>
      <c r="CT478" s="1113" t="str">
        <f t="shared" si="1695"/>
        <v/>
      </c>
      <c r="CU478" s="324" t="str">
        <f t="shared" si="1696"/>
        <v/>
      </c>
      <c r="CV478" s="325" t="str">
        <f t="shared" si="1697"/>
        <v/>
      </c>
      <c r="CW478" s="326" t="str">
        <f t="shared" si="1698"/>
        <v/>
      </c>
      <c r="CX478" s="326" t="str">
        <f t="shared" si="1699"/>
        <v/>
      </c>
      <c r="CY478" s="326" t="str">
        <f t="shared" si="1700"/>
        <v/>
      </c>
      <c r="CZ478" s="326" t="str">
        <f t="shared" si="1701"/>
        <v/>
      </c>
      <c r="DA478" s="326" t="str">
        <f t="shared" si="1702"/>
        <v/>
      </c>
      <c r="DB478" s="327" t="str">
        <f t="shared" si="1703"/>
        <v/>
      </c>
      <c r="DC478" s="327" t="str">
        <f t="shared" si="1704"/>
        <v/>
      </c>
      <c r="DD478" s="327" t="str">
        <f t="shared" si="1705"/>
        <v/>
      </c>
      <c r="DE478" s="326" t="str">
        <f t="shared" si="1706"/>
        <v/>
      </c>
      <c r="DF478" s="326" t="str">
        <f t="shared" si="1707"/>
        <v/>
      </c>
      <c r="DG478" s="326" t="str">
        <f t="shared" si="1708"/>
        <v/>
      </c>
      <c r="DH478" s="326" t="str">
        <f t="shared" si="1709"/>
        <v/>
      </c>
      <c r="DI478" s="326" t="str">
        <f t="shared" si="1710"/>
        <v/>
      </c>
      <c r="DJ478" s="325" t="str">
        <f t="shared" si="1711"/>
        <v/>
      </c>
      <c r="DK478" s="324" t="str">
        <f t="shared" si="1712"/>
        <v/>
      </c>
      <c r="DL478" s="428">
        <f t="shared" si="1713"/>
        <v>1</v>
      </c>
      <c r="DM478" s="66">
        <f t="shared" si="1714"/>
        <v>0</v>
      </c>
      <c r="DN478" s="66">
        <f t="shared" si="1715"/>
        <v>0</v>
      </c>
      <c r="DO478" s="66">
        <f t="shared" si="171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717">IF(B477="","",B476*B477*B478)</f>
        <v/>
      </c>
      <c r="C479" s="405" t="str">
        <f t="shared" si="1717"/>
        <v/>
      </c>
      <c r="D479" s="405" t="str">
        <f t="shared" si="1717"/>
        <v/>
      </c>
      <c r="E479" s="405" t="str">
        <f t="shared" si="1717"/>
        <v/>
      </c>
      <c r="F479" s="405" t="str">
        <f t="shared" si="1717"/>
        <v/>
      </c>
      <c r="G479" s="405" t="str">
        <f t="shared" si="1717"/>
        <v/>
      </c>
      <c r="H479" s="405">
        <f t="shared" si="1717"/>
        <v>10</v>
      </c>
      <c r="I479" s="405" t="str">
        <f t="shared" si="1717"/>
        <v/>
      </c>
      <c r="J479" s="405" t="str">
        <f t="shared" si="1717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718">IF(T477="","",T476*T477*T478)</f>
        <v/>
      </c>
      <c r="U479" s="405" t="str">
        <f t="shared" si="1718"/>
        <v/>
      </c>
      <c r="V479" s="405" t="str">
        <f t="shared" si="1718"/>
        <v/>
      </c>
      <c r="W479" s="405" t="str">
        <f t="shared" si="1718"/>
        <v/>
      </c>
      <c r="X479" s="405" t="str">
        <f t="shared" si="1718"/>
        <v/>
      </c>
      <c r="Y479" s="405" t="str">
        <f t="shared" si="1718"/>
        <v/>
      </c>
      <c r="Z479" s="405" t="str">
        <f t="shared" si="1718"/>
        <v/>
      </c>
      <c r="AA479" s="405" t="str">
        <f t="shared" si="1718"/>
        <v/>
      </c>
      <c r="AB479" s="405" t="str">
        <f t="shared" si="1718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719">IF(AL477="","",AL476*AL477*AL478)</f>
        <v/>
      </c>
      <c r="AM479" s="405" t="str">
        <f t="shared" si="1719"/>
        <v/>
      </c>
      <c r="AN479" s="405" t="str">
        <f t="shared" si="1719"/>
        <v/>
      </c>
      <c r="AO479" s="405" t="str">
        <f t="shared" si="1719"/>
        <v/>
      </c>
      <c r="AP479" s="405" t="str">
        <f t="shared" si="1719"/>
        <v/>
      </c>
      <c r="AQ479" s="405" t="str">
        <f t="shared" si="1719"/>
        <v/>
      </c>
      <c r="AR479" s="405" t="str">
        <f t="shared" si="1719"/>
        <v/>
      </c>
      <c r="AS479" s="405" t="str">
        <f t="shared" si="1719"/>
        <v/>
      </c>
      <c r="AT479" s="405" t="str">
        <f t="shared" si="1719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720">IF(BD477="","",BD476*BD477*BD478)</f>
        <v/>
      </c>
      <c r="BE479" s="405" t="str">
        <f t="shared" si="1720"/>
        <v/>
      </c>
      <c r="BF479" s="405" t="str">
        <f t="shared" si="1720"/>
        <v/>
      </c>
      <c r="BG479" s="405" t="str">
        <f t="shared" si="1720"/>
        <v/>
      </c>
      <c r="BH479" s="405" t="str">
        <f t="shared" si="1720"/>
        <v/>
      </c>
      <c r="BI479" s="405" t="str">
        <f t="shared" si="1720"/>
        <v/>
      </c>
      <c r="BJ479" s="405" t="str">
        <f t="shared" si="1720"/>
        <v/>
      </c>
      <c r="BK479" s="405" t="str">
        <f t="shared" si="1720"/>
        <v/>
      </c>
      <c r="BL479" s="405" t="str">
        <f t="shared" si="1720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541"/>
        <v/>
      </c>
      <c r="CA479" s="373" t="str">
        <f t="shared" si="1542"/>
        <v/>
      </c>
      <c r="CB479" s="373" t="str">
        <f t="shared" si="1543"/>
        <v/>
      </c>
      <c r="CC479" s="462" t="str">
        <f t="shared" si="1544"/>
        <v/>
      </c>
      <c r="CD479" s="110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0" t="str">
        <f t="shared" si="1695"/>
        <v/>
      </c>
      <c r="CF479" s="1111" t="str">
        <f t="shared" si="1695"/>
        <v/>
      </c>
      <c r="CG479" s="1111" t="str">
        <f t="shared" si="1695"/>
        <v/>
      </c>
      <c r="CH479" s="1111" t="str">
        <f t="shared" si="1695"/>
        <v/>
      </c>
      <c r="CI479" s="1111" t="str">
        <f t="shared" si="1695"/>
        <v/>
      </c>
      <c r="CJ479" s="1111" t="str">
        <f t="shared" si="1695"/>
        <v/>
      </c>
      <c r="CK479" s="1112" t="str">
        <f t="shared" si="1695"/>
        <v/>
      </c>
      <c r="CL479" s="1112">
        <f t="shared" si="1695"/>
        <v>10</v>
      </c>
      <c r="CM479" s="1112" t="str">
        <f t="shared" si="1695"/>
        <v/>
      </c>
      <c r="CN479" s="1111" t="str">
        <f t="shared" si="1695"/>
        <v/>
      </c>
      <c r="CO479" s="1111" t="str">
        <f t="shared" si="1695"/>
        <v/>
      </c>
      <c r="CP479" s="1111" t="str">
        <f t="shared" si="1695"/>
        <v/>
      </c>
      <c r="CQ479" s="1111" t="str">
        <f t="shared" si="1695"/>
        <v/>
      </c>
      <c r="CR479" s="1111" t="str">
        <f t="shared" si="1695"/>
        <v/>
      </c>
      <c r="CS479" s="1110" t="str">
        <f t="shared" si="1695"/>
        <v/>
      </c>
      <c r="CT479" s="1113" t="str">
        <f t="shared" si="1695"/>
        <v/>
      </c>
      <c r="CU479" s="324" t="str">
        <f t="shared" si="1696"/>
        <v/>
      </c>
      <c r="CV479" s="325" t="str">
        <f t="shared" si="1697"/>
        <v/>
      </c>
      <c r="CW479" s="326" t="str">
        <f t="shared" si="1698"/>
        <v/>
      </c>
      <c r="CX479" s="326" t="str">
        <f t="shared" si="1699"/>
        <v/>
      </c>
      <c r="CY479" s="326" t="str">
        <f t="shared" si="1700"/>
        <v/>
      </c>
      <c r="CZ479" s="326" t="str">
        <f t="shared" si="1701"/>
        <v/>
      </c>
      <c r="DA479" s="326" t="str">
        <f t="shared" si="1702"/>
        <v/>
      </c>
      <c r="DB479" s="327" t="str">
        <f t="shared" si="1703"/>
        <v/>
      </c>
      <c r="DC479" s="327" t="str">
        <f t="shared" si="1704"/>
        <v/>
      </c>
      <c r="DD479" s="327" t="str">
        <f t="shared" si="1705"/>
        <v/>
      </c>
      <c r="DE479" s="326" t="str">
        <f t="shared" si="1706"/>
        <v/>
      </c>
      <c r="DF479" s="326" t="str">
        <f t="shared" si="1707"/>
        <v/>
      </c>
      <c r="DG479" s="326" t="str">
        <f t="shared" si="1708"/>
        <v/>
      </c>
      <c r="DH479" s="326" t="str">
        <f t="shared" si="1709"/>
        <v/>
      </c>
      <c r="DI479" s="326" t="str">
        <f t="shared" si="1710"/>
        <v/>
      </c>
      <c r="DJ479" s="325" t="str">
        <f t="shared" si="1711"/>
        <v/>
      </c>
      <c r="DK479" s="324" t="str">
        <f t="shared" si="1712"/>
        <v/>
      </c>
      <c r="DL479" s="428">
        <f t="shared" si="1713"/>
        <v>1</v>
      </c>
      <c r="DM479" s="66">
        <f t="shared" si="1714"/>
        <v>0</v>
      </c>
      <c r="DN479" s="66">
        <f t="shared" si="1715"/>
        <v>0</v>
      </c>
      <c r="DO479" s="66">
        <f t="shared" si="171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721">3550*$K$1</f>
        <v>3550</v>
      </c>
      <c r="D480" s="536">
        <f t="shared" si="1721"/>
        <v>3550</v>
      </c>
      <c r="E480" s="536">
        <f t="shared" si="1721"/>
        <v>3550</v>
      </c>
      <c r="F480" s="536">
        <f t="shared" si="1721"/>
        <v>3550</v>
      </c>
      <c r="G480" s="536">
        <f t="shared" si="1721"/>
        <v>3550</v>
      </c>
      <c r="H480" s="536">
        <f t="shared" si="1721"/>
        <v>3550</v>
      </c>
      <c r="I480" s="536">
        <f t="shared" si="1721"/>
        <v>3550</v>
      </c>
      <c r="J480" s="536">
        <f t="shared" si="1721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722">3550*$K$1</f>
        <v>3550</v>
      </c>
      <c r="V480" s="536">
        <f t="shared" si="1722"/>
        <v>3550</v>
      </c>
      <c r="W480" s="536">
        <f t="shared" si="1722"/>
        <v>3550</v>
      </c>
      <c r="X480" s="536">
        <f t="shared" si="1722"/>
        <v>3550</v>
      </c>
      <c r="Y480" s="536">
        <f t="shared" si="1722"/>
        <v>3550</v>
      </c>
      <c r="Z480" s="536">
        <f t="shared" si="1722"/>
        <v>3550</v>
      </c>
      <c r="AA480" s="536">
        <f t="shared" si="1722"/>
        <v>3550</v>
      </c>
      <c r="AB480" s="536">
        <f t="shared" si="1722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723">3550*$K$1</f>
        <v>3550</v>
      </c>
      <c r="AN480" s="536">
        <f t="shared" si="1723"/>
        <v>3550</v>
      </c>
      <c r="AO480" s="536">
        <f t="shared" si="1723"/>
        <v>3550</v>
      </c>
      <c r="AP480" s="536">
        <f t="shared" si="1723"/>
        <v>3550</v>
      </c>
      <c r="AQ480" s="536">
        <f t="shared" si="1723"/>
        <v>3550</v>
      </c>
      <c r="AR480" s="536">
        <f t="shared" si="1723"/>
        <v>3550</v>
      </c>
      <c r="AS480" s="536">
        <f t="shared" si="1723"/>
        <v>3550</v>
      </c>
      <c r="AT480" s="536">
        <f t="shared" si="1723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724">3550*$K$1</f>
        <v>3550</v>
      </c>
      <c r="BF480" s="536">
        <f t="shared" si="1724"/>
        <v>3550</v>
      </c>
      <c r="BG480" s="536">
        <f t="shared" si="1724"/>
        <v>3550</v>
      </c>
      <c r="BH480" s="536">
        <f t="shared" si="1724"/>
        <v>3550</v>
      </c>
      <c r="BI480" s="536">
        <f t="shared" si="1724"/>
        <v>3550</v>
      </c>
      <c r="BJ480" s="536">
        <f t="shared" si="1724"/>
        <v>3550</v>
      </c>
      <c r="BK480" s="536">
        <f t="shared" si="1724"/>
        <v>3550</v>
      </c>
      <c r="BL480" s="536">
        <f t="shared" si="1724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724"/>
        <v>3550</v>
      </c>
      <c r="BW480" s="536">
        <f t="shared" si="1724"/>
        <v>3550</v>
      </c>
      <c r="BX480" s="536">
        <f t="shared" si="1724"/>
        <v>3550</v>
      </c>
      <c r="BY480" s="536">
        <f t="shared" si="1724"/>
        <v>3550</v>
      </c>
      <c r="BZ480" s="373">
        <f t="shared" si="1541"/>
        <v>3550</v>
      </c>
      <c r="CA480" s="373">
        <f t="shared" si="1542"/>
        <v>3550</v>
      </c>
      <c r="CB480" s="373">
        <f t="shared" si="1543"/>
        <v>3550</v>
      </c>
      <c r="CC480" s="462">
        <f t="shared" si="1544"/>
        <v>3550</v>
      </c>
      <c r="CD480" s="110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0" t="str">
        <f t="shared" si="1695"/>
        <v/>
      </c>
      <c r="CF480" s="1111" t="str">
        <f t="shared" si="1695"/>
        <v/>
      </c>
      <c r="CG480" s="1111" t="str">
        <f t="shared" si="1695"/>
        <v/>
      </c>
      <c r="CH480" s="1111">
        <f t="shared" si="1695"/>
        <v>3550</v>
      </c>
      <c r="CI480" s="1111">
        <f t="shared" si="1695"/>
        <v>3550</v>
      </c>
      <c r="CJ480" s="1111">
        <f t="shared" si="1695"/>
        <v>3550</v>
      </c>
      <c r="CK480" s="1112">
        <f t="shared" si="1695"/>
        <v>3550</v>
      </c>
      <c r="CL480" s="1112">
        <f t="shared" si="1695"/>
        <v>3550</v>
      </c>
      <c r="CM480" s="1112">
        <f t="shared" si="1695"/>
        <v>3550</v>
      </c>
      <c r="CN480" s="1111">
        <f t="shared" si="1695"/>
        <v>3550</v>
      </c>
      <c r="CO480" s="1111">
        <f t="shared" si="1695"/>
        <v>3550</v>
      </c>
      <c r="CP480" s="1111">
        <f t="shared" si="1695"/>
        <v>3550</v>
      </c>
      <c r="CQ480" s="1111" t="str">
        <f t="shared" si="1695"/>
        <v/>
      </c>
      <c r="CR480" s="1111" t="str">
        <f t="shared" si="1695"/>
        <v/>
      </c>
      <c r="CS480" s="1110" t="str">
        <f t="shared" si="1695"/>
        <v/>
      </c>
      <c r="CT480" s="1113" t="str">
        <f t="shared" si="1695"/>
        <v/>
      </c>
      <c r="CU480" s="324" t="str">
        <f t="shared" si="1696"/>
        <v/>
      </c>
      <c r="CV480" s="325" t="str">
        <f t="shared" si="1697"/>
        <v/>
      </c>
      <c r="CW480" s="326" t="str">
        <f t="shared" si="1698"/>
        <v/>
      </c>
      <c r="CX480" s="326" t="str">
        <f t="shared" si="1699"/>
        <v/>
      </c>
      <c r="CY480" s="326">
        <f t="shared" si="1700"/>
        <v>3550</v>
      </c>
      <c r="CZ480" s="326">
        <f t="shared" si="1701"/>
        <v>3550</v>
      </c>
      <c r="DA480" s="326">
        <f t="shared" si="1702"/>
        <v>3550</v>
      </c>
      <c r="DB480" s="327">
        <f t="shared" si="1703"/>
        <v>3550</v>
      </c>
      <c r="DC480" s="327">
        <f t="shared" si="1704"/>
        <v>3550</v>
      </c>
      <c r="DD480" s="327">
        <f t="shared" si="1705"/>
        <v>3550</v>
      </c>
      <c r="DE480" s="326">
        <f t="shared" si="1706"/>
        <v>3550</v>
      </c>
      <c r="DF480" s="326">
        <f t="shared" si="1707"/>
        <v>3550</v>
      </c>
      <c r="DG480" s="326">
        <f t="shared" si="1708"/>
        <v>3550</v>
      </c>
      <c r="DH480" s="326" t="str">
        <f t="shared" si="1709"/>
        <v/>
      </c>
      <c r="DI480" s="326" t="str">
        <f t="shared" si="1710"/>
        <v/>
      </c>
      <c r="DJ480" s="325" t="str">
        <f t="shared" si="1711"/>
        <v/>
      </c>
      <c r="DK480" s="324" t="str">
        <f t="shared" si="1712"/>
        <v/>
      </c>
      <c r="DL480" s="428">
        <f t="shared" si="1713"/>
        <v>9</v>
      </c>
      <c r="DM480" s="66">
        <f t="shared" si="1714"/>
        <v>9</v>
      </c>
      <c r="DN480" s="66">
        <f t="shared" si="1715"/>
        <v>9</v>
      </c>
      <c r="DO480" s="66">
        <f t="shared" si="1716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725">IF(B479="","",B479*B480/B$46/365/$G$1)</f>
        <v/>
      </c>
      <c r="C481" s="408" t="str">
        <f t="shared" si="1725"/>
        <v/>
      </c>
      <c r="D481" s="408" t="str">
        <f t="shared" si="1725"/>
        <v/>
      </c>
      <c r="E481" s="408" t="str">
        <f t="shared" si="1725"/>
        <v/>
      </c>
      <c r="F481" s="408" t="str">
        <f t="shared" si="1725"/>
        <v/>
      </c>
      <c r="G481" s="408" t="str">
        <f t="shared" si="1725"/>
        <v/>
      </c>
      <c r="H481" s="408">
        <f t="shared" si="1725"/>
        <v>7.7190693629049806E-3</v>
      </c>
      <c r="I481" s="408" t="str">
        <f t="shared" si="1725"/>
        <v/>
      </c>
      <c r="J481" s="408" t="str">
        <f t="shared" si="1725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726">IF(T479="","",T479*T480/T$46/365/$G$1)</f>
        <v/>
      </c>
      <c r="U481" s="408" t="str">
        <f t="shared" si="1726"/>
        <v/>
      </c>
      <c r="V481" s="408" t="str">
        <f t="shared" si="1726"/>
        <v/>
      </c>
      <c r="W481" s="408" t="str">
        <f t="shared" si="1726"/>
        <v/>
      </c>
      <c r="X481" s="408" t="str">
        <f t="shared" si="1726"/>
        <v/>
      </c>
      <c r="Y481" s="408" t="str">
        <f t="shared" si="1726"/>
        <v/>
      </c>
      <c r="Z481" s="408" t="str">
        <f t="shared" si="1726"/>
        <v/>
      </c>
      <c r="AA481" s="408" t="str">
        <f t="shared" si="1726"/>
        <v/>
      </c>
      <c r="AB481" s="408" t="str">
        <f t="shared" si="1726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727">IF(AL479="","",AL479*AL480/AL$46/365/$G$1)</f>
        <v/>
      </c>
      <c r="AM481" s="408" t="str">
        <f t="shared" si="1727"/>
        <v/>
      </c>
      <c r="AN481" s="408" t="str">
        <f t="shared" si="1727"/>
        <v/>
      </c>
      <c r="AO481" s="408" t="str">
        <f t="shared" si="1727"/>
        <v/>
      </c>
      <c r="AP481" s="408" t="str">
        <f t="shared" si="1727"/>
        <v/>
      </c>
      <c r="AQ481" s="408" t="str">
        <f t="shared" si="1727"/>
        <v/>
      </c>
      <c r="AR481" s="408" t="str">
        <f t="shared" si="1727"/>
        <v/>
      </c>
      <c r="AS481" s="408" t="str">
        <f t="shared" si="1727"/>
        <v/>
      </c>
      <c r="AT481" s="408" t="str">
        <f t="shared" si="1727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728">IF(BD479="","",BD479*BD480/BD$46/365/$G$1)</f>
        <v/>
      </c>
      <c r="BE481" s="408" t="str">
        <f t="shared" si="1728"/>
        <v/>
      </c>
      <c r="BF481" s="408" t="str">
        <f t="shared" si="1728"/>
        <v/>
      </c>
      <c r="BG481" s="408" t="str">
        <f t="shared" si="1728"/>
        <v/>
      </c>
      <c r="BH481" s="408" t="str">
        <f t="shared" si="1728"/>
        <v/>
      </c>
      <c r="BI481" s="408" t="str">
        <f t="shared" si="1728"/>
        <v/>
      </c>
      <c r="BJ481" s="408" t="str">
        <f t="shared" si="1728"/>
        <v/>
      </c>
      <c r="BK481" s="408" t="str">
        <f t="shared" si="1728"/>
        <v/>
      </c>
      <c r="BL481" s="408" t="str">
        <f t="shared" si="1728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542"/>
        <v/>
      </c>
      <c r="CB481" s="398" t="str">
        <f t="shared" si="1543"/>
        <v/>
      </c>
      <c r="CC481" s="398" t="str">
        <f t="shared" si="1544"/>
        <v/>
      </c>
      <c r="CD481" s="111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5" t="str">
        <f t="shared" si="1695"/>
        <v/>
      </c>
      <c r="CF481" s="1116" t="str">
        <f t="shared" si="1695"/>
        <v/>
      </c>
      <c r="CG481" s="1116" t="str">
        <f t="shared" si="1695"/>
        <v/>
      </c>
      <c r="CH481" s="1116" t="str">
        <f t="shared" si="1695"/>
        <v/>
      </c>
      <c r="CI481" s="1116" t="str">
        <f t="shared" si="1695"/>
        <v/>
      </c>
      <c r="CJ481" s="1116" t="str">
        <f t="shared" si="1695"/>
        <v/>
      </c>
      <c r="CK481" s="1117" t="str">
        <f t="shared" si="1695"/>
        <v/>
      </c>
      <c r="CL481" s="1117">
        <f t="shared" si="1695"/>
        <v>7.7190693629049806E-3</v>
      </c>
      <c r="CM481" s="1117" t="str">
        <f t="shared" si="1695"/>
        <v/>
      </c>
      <c r="CN481" s="1116" t="str">
        <f t="shared" si="1695"/>
        <v/>
      </c>
      <c r="CO481" s="1116" t="str">
        <f t="shared" si="1695"/>
        <v/>
      </c>
      <c r="CP481" s="1116" t="str">
        <f t="shared" si="1695"/>
        <v/>
      </c>
      <c r="CQ481" s="1116" t="str">
        <f t="shared" si="1695"/>
        <v/>
      </c>
      <c r="CR481" s="1116" t="str">
        <f t="shared" si="1695"/>
        <v/>
      </c>
      <c r="CS481" s="1115" t="str">
        <f t="shared" si="1695"/>
        <v/>
      </c>
      <c r="CT481" s="1118" t="str">
        <f t="shared" si="1695"/>
        <v/>
      </c>
      <c r="CU481" s="312" t="str">
        <f t="shared" si="1696"/>
        <v/>
      </c>
      <c r="CV481" s="313" t="str">
        <f t="shared" si="1697"/>
        <v/>
      </c>
      <c r="CW481" s="314" t="str">
        <f t="shared" si="1698"/>
        <v/>
      </c>
      <c r="CX481" s="314" t="str">
        <f t="shared" si="1699"/>
        <v/>
      </c>
      <c r="CY481" s="314" t="str">
        <f t="shared" si="1700"/>
        <v/>
      </c>
      <c r="CZ481" s="314" t="str">
        <f t="shared" si="1701"/>
        <v/>
      </c>
      <c r="DA481" s="314" t="str">
        <f t="shared" si="1702"/>
        <v/>
      </c>
      <c r="DB481" s="315" t="str">
        <f t="shared" si="1703"/>
        <v/>
      </c>
      <c r="DC481" s="315" t="str">
        <f t="shared" si="1704"/>
        <v/>
      </c>
      <c r="DD481" s="315" t="str">
        <f t="shared" si="1705"/>
        <v/>
      </c>
      <c r="DE481" s="314" t="str">
        <f t="shared" si="1706"/>
        <v/>
      </c>
      <c r="DF481" s="314" t="str">
        <f t="shared" si="1707"/>
        <v/>
      </c>
      <c r="DG481" s="314" t="str">
        <f t="shared" si="1708"/>
        <v/>
      </c>
      <c r="DH481" s="314" t="str">
        <f t="shared" si="1709"/>
        <v/>
      </c>
      <c r="DI481" s="314" t="str">
        <f t="shared" si="1710"/>
        <v/>
      </c>
      <c r="DJ481" s="313" t="str">
        <f t="shared" si="1711"/>
        <v/>
      </c>
      <c r="DK481" s="312" t="str">
        <f t="shared" si="1712"/>
        <v/>
      </c>
      <c r="DL481" s="428">
        <f t="shared" si="1713"/>
        <v>1</v>
      </c>
      <c r="DM481" s="66">
        <f t="shared" si="1714"/>
        <v>0</v>
      </c>
      <c r="DN481" s="66">
        <f t="shared" si="1715"/>
        <v>0</v>
      </c>
      <c r="DO481" s="66">
        <f t="shared" si="171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541"/>
        <v/>
      </c>
      <c r="CA482" s="373" t="str">
        <f t="shared" si="1542"/>
        <v/>
      </c>
      <c r="CB482" s="373" t="str">
        <f t="shared" si="1543"/>
        <v/>
      </c>
      <c r="CC482" s="462" t="str">
        <f t="shared" si="1544"/>
        <v/>
      </c>
      <c r="CD482" s="1109" t="str">
        <f t="shared" ref="CD482:CS483" si="17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0" t="str">
        <f t="shared" si="1729"/>
        <v/>
      </c>
      <c r="CF482" s="1111" t="str">
        <f t="shared" si="1729"/>
        <v/>
      </c>
      <c r="CG482" s="1111" t="str">
        <f t="shared" si="1729"/>
        <v/>
      </c>
      <c r="CH482" s="1111" t="str">
        <f t="shared" si="1729"/>
        <v/>
      </c>
      <c r="CI482" s="1111" t="str">
        <f t="shared" si="1729"/>
        <v/>
      </c>
      <c r="CJ482" s="1111" t="str">
        <f t="shared" si="1729"/>
        <v/>
      </c>
      <c r="CK482" s="1112" t="str">
        <f t="shared" si="1729"/>
        <v/>
      </c>
      <c r="CL482" s="1112">
        <f t="shared" si="1729"/>
        <v>5</v>
      </c>
      <c r="CM482" s="1112" t="str">
        <f t="shared" si="1729"/>
        <v/>
      </c>
      <c r="CN482" s="1111" t="str">
        <f t="shared" si="1729"/>
        <v/>
      </c>
      <c r="CO482" s="1111" t="str">
        <f t="shared" si="1729"/>
        <v/>
      </c>
      <c r="CP482" s="1111" t="str">
        <f t="shared" si="1729"/>
        <v/>
      </c>
      <c r="CQ482" s="1111" t="str">
        <f t="shared" si="1729"/>
        <v/>
      </c>
      <c r="CR482" s="1111" t="str">
        <f t="shared" si="1729"/>
        <v/>
      </c>
      <c r="CS482" s="1110" t="str">
        <f t="shared" si="1729"/>
        <v/>
      </c>
      <c r="CT482" s="1113" t="str">
        <f t="shared" ref="CE482:CT483" si="17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696"/>
        <v/>
      </c>
      <c r="CV482" s="325" t="str">
        <f t="shared" si="1697"/>
        <v/>
      </c>
      <c r="CW482" s="326" t="str">
        <f t="shared" si="1698"/>
        <v/>
      </c>
      <c r="CX482" s="326" t="str">
        <f t="shared" si="1699"/>
        <v/>
      </c>
      <c r="CY482" s="326" t="str">
        <f t="shared" si="1700"/>
        <v/>
      </c>
      <c r="CZ482" s="326" t="str">
        <f t="shared" si="1701"/>
        <v/>
      </c>
      <c r="DA482" s="326" t="str">
        <f t="shared" si="1702"/>
        <v/>
      </c>
      <c r="DB482" s="327" t="str">
        <f t="shared" si="1703"/>
        <v/>
      </c>
      <c r="DC482" s="327" t="str">
        <f t="shared" si="1704"/>
        <v/>
      </c>
      <c r="DD482" s="327" t="str">
        <f t="shared" si="1705"/>
        <v/>
      </c>
      <c r="DE482" s="326" t="str">
        <f t="shared" si="1706"/>
        <v/>
      </c>
      <c r="DF482" s="326" t="str">
        <f t="shared" si="1707"/>
        <v/>
      </c>
      <c r="DG482" s="326" t="str">
        <f t="shared" si="1708"/>
        <v/>
      </c>
      <c r="DH482" s="326" t="str">
        <f t="shared" si="1709"/>
        <v/>
      </c>
      <c r="DI482" s="326" t="str">
        <f t="shared" si="1710"/>
        <v/>
      </c>
      <c r="DJ482" s="325" t="str">
        <f t="shared" si="1711"/>
        <v/>
      </c>
      <c r="DK482" s="324" t="str">
        <f t="shared" si="1712"/>
        <v/>
      </c>
      <c r="DL482" s="428">
        <f t="shared" si="1713"/>
        <v>1</v>
      </c>
      <c r="DM482" s="66">
        <f t="shared" si="1714"/>
        <v>0</v>
      </c>
      <c r="DN482" s="66">
        <f t="shared" si="1715"/>
        <v>0</v>
      </c>
      <c r="DO482" s="66">
        <f t="shared" si="171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731">IF(B482="","",B477*B482*B478)</f>
        <v/>
      </c>
      <c r="C483" s="405" t="str">
        <f t="shared" si="1731"/>
        <v/>
      </c>
      <c r="D483" s="405" t="str">
        <f t="shared" si="1731"/>
        <v/>
      </c>
      <c r="E483" s="405" t="str">
        <f t="shared" si="1731"/>
        <v/>
      </c>
      <c r="F483" s="405" t="str">
        <f t="shared" si="1731"/>
        <v/>
      </c>
      <c r="G483" s="405" t="str">
        <f t="shared" si="1731"/>
        <v/>
      </c>
      <c r="H483" s="405">
        <f t="shared" si="1731"/>
        <v>10</v>
      </c>
      <c r="I483" s="405" t="str">
        <f t="shared" si="1731"/>
        <v/>
      </c>
      <c r="J483" s="405" t="str">
        <f t="shared" si="1731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732">IF(T482="","",T477*T482*T478)</f>
        <v/>
      </c>
      <c r="U483" s="405" t="str">
        <f t="shared" si="1732"/>
        <v/>
      </c>
      <c r="V483" s="405" t="str">
        <f t="shared" si="1732"/>
        <v/>
      </c>
      <c r="W483" s="405" t="str">
        <f t="shared" si="1732"/>
        <v/>
      </c>
      <c r="X483" s="405" t="str">
        <f t="shared" si="1732"/>
        <v/>
      </c>
      <c r="Y483" s="405" t="str">
        <f t="shared" si="1732"/>
        <v/>
      </c>
      <c r="Z483" s="405" t="str">
        <f t="shared" si="1732"/>
        <v/>
      </c>
      <c r="AA483" s="405" t="str">
        <f t="shared" si="1732"/>
        <v/>
      </c>
      <c r="AB483" s="405" t="str">
        <f t="shared" si="1732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733">IF(AL482="","",AL477*AL482*AL478)</f>
        <v/>
      </c>
      <c r="AM483" s="405" t="str">
        <f t="shared" si="1733"/>
        <v/>
      </c>
      <c r="AN483" s="405" t="str">
        <f t="shared" si="1733"/>
        <v/>
      </c>
      <c r="AO483" s="405" t="str">
        <f t="shared" si="1733"/>
        <v/>
      </c>
      <c r="AP483" s="405" t="str">
        <f t="shared" si="1733"/>
        <v/>
      </c>
      <c r="AQ483" s="405" t="str">
        <f t="shared" si="1733"/>
        <v/>
      </c>
      <c r="AR483" s="405" t="str">
        <f t="shared" si="1733"/>
        <v/>
      </c>
      <c r="AS483" s="405" t="str">
        <f t="shared" si="1733"/>
        <v/>
      </c>
      <c r="AT483" s="405" t="str">
        <f t="shared" si="1733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734">IF(BD482="","",BD477*BD482*BD478)</f>
        <v/>
      </c>
      <c r="BE483" s="405" t="str">
        <f t="shared" si="1734"/>
        <v/>
      </c>
      <c r="BF483" s="405" t="str">
        <f t="shared" si="1734"/>
        <v/>
      </c>
      <c r="BG483" s="405" t="str">
        <f t="shared" si="1734"/>
        <v/>
      </c>
      <c r="BH483" s="405" t="str">
        <f t="shared" si="1734"/>
        <v/>
      </c>
      <c r="BI483" s="405" t="str">
        <f t="shared" si="1734"/>
        <v/>
      </c>
      <c r="BJ483" s="405" t="str">
        <f t="shared" si="1734"/>
        <v/>
      </c>
      <c r="BK483" s="405" t="str">
        <f t="shared" si="1734"/>
        <v/>
      </c>
      <c r="BL483" s="405" t="str">
        <f t="shared" si="1734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541"/>
        <v/>
      </c>
      <c r="CA483" s="373" t="str">
        <f t="shared" si="1542"/>
        <v/>
      </c>
      <c r="CB483" s="373" t="str">
        <f t="shared" si="1543"/>
        <v/>
      </c>
      <c r="CC483" s="462" t="str">
        <f t="shared" si="1544"/>
        <v/>
      </c>
      <c r="CD483" s="1109" t="str">
        <f t="shared" si="1729"/>
        <v/>
      </c>
      <c r="CE483" s="1110" t="str">
        <f t="shared" si="1730"/>
        <v/>
      </c>
      <c r="CF483" s="1111" t="str">
        <f t="shared" si="1730"/>
        <v/>
      </c>
      <c r="CG483" s="1111" t="str">
        <f t="shared" si="1730"/>
        <v/>
      </c>
      <c r="CH483" s="1111" t="str">
        <f t="shared" si="1730"/>
        <v/>
      </c>
      <c r="CI483" s="1111" t="str">
        <f t="shared" si="1730"/>
        <v/>
      </c>
      <c r="CJ483" s="1111" t="str">
        <f t="shared" si="1730"/>
        <v/>
      </c>
      <c r="CK483" s="1112" t="str">
        <f t="shared" si="1730"/>
        <v/>
      </c>
      <c r="CL483" s="1112">
        <f t="shared" si="1730"/>
        <v>10</v>
      </c>
      <c r="CM483" s="1112" t="str">
        <f t="shared" si="1730"/>
        <v/>
      </c>
      <c r="CN483" s="1111" t="str">
        <f t="shared" si="1730"/>
        <v/>
      </c>
      <c r="CO483" s="1111" t="str">
        <f t="shared" si="1730"/>
        <v/>
      </c>
      <c r="CP483" s="1111" t="str">
        <f t="shared" si="1730"/>
        <v/>
      </c>
      <c r="CQ483" s="1111" t="str">
        <f t="shared" si="1730"/>
        <v/>
      </c>
      <c r="CR483" s="1111" t="str">
        <f t="shared" si="1730"/>
        <v/>
      </c>
      <c r="CS483" s="1110" t="str">
        <f t="shared" si="1730"/>
        <v/>
      </c>
      <c r="CT483" s="1113" t="str">
        <f t="shared" si="1730"/>
        <v/>
      </c>
      <c r="CU483" s="324" t="str">
        <f t="shared" si="1696"/>
        <v/>
      </c>
      <c r="CV483" s="325" t="str">
        <f t="shared" si="1697"/>
        <v/>
      </c>
      <c r="CW483" s="326" t="str">
        <f t="shared" si="1698"/>
        <v/>
      </c>
      <c r="CX483" s="326" t="str">
        <f t="shared" si="1699"/>
        <v/>
      </c>
      <c r="CY483" s="326" t="str">
        <f t="shared" si="1700"/>
        <v/>
      </c>
      <c r="CZ483" s="326" t="str">
        <f t="shared" si="1701"/>
        <v/>
      </c>
      <c r="DA483" s="326" t="str">
        <f t="shared" si="1702"/>
        <v/>
      </c>
      <c r="DB483" s="327" t="str">
        <f t="shared" si="1703"/>
        <v/>
      </c>
      <c r="DC483" s="327" t="str">
        <f t="shared" si="1704"/>
        <v/>
      </c>
      <c r="DD483" s="327" t="str">
        <f t="shared" si="1705"/>
        <v/>
      </c>
      <c r="DE483" s="326" t="str">
        <f t="shared" si="1706"/>
        <v/>
      </c>
      <c r="DF483" s="326" t="str">
        <f t="shared" si="1707"/>
        <v/>
      </c>
      <c r="DG483" s="326" t="str">
        <f t="shared" si="1708"/>
        <v/>
      </c>
      <c r="DH483" s="326" t="str">
        <f t="shared" si="1709"/>
        <v/>
      </c>
      <c r="DI483" s="326" t="str">
        <f t="shared" si="1710"/>
        <v/>
      </c>
      <c r="DJ483" s="325" t="str">
        <f t="shared" si="1711"/>
        <v/>
      </c>
      <c r="DK483" s="324" t="str">
        <f t="shared" si="1712"/>
        <v/>
      </c>
      <c r="DL483" s="428">
        <f t="shared" si="1713"/>
        <v>1</v>
      </c>
      <c r="DM483" s="66">
        <f t="shared" si="1714"/>
        <v>0</v>
      </c>
      <c r="DN483" s="66">
        <f t="shared" si="1715"/>
        <v>0</v>
      </c>
      <c r="DO483" s="66">
        <f t="shared" si="171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2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541"/>
        <v/>
      </c>
      <c r="CA484" s="365" t="str">
        <f t="shared" si="1542"/>
        <v/>
      </c>
      <c r="CB484" s="365" t="str">
        <f t="shared" si="1543"/>
        <v/>
      </c>
      <c r="CC484" s="461" t="str">
        <f t="shared" si="1544"/>
        <v/>
      </c>
      <c r="CD484" s="1120"/>
      <c r="CE484" s="1120"/>
      <c r="CF484" s="1120"/>
      <c r="CG484" s="1120"/>
      <c r="CH484" s="1120"/>
      <c r="CI484" s="1120"/>
      <c r="CJ484" s="1120"/>
      <c r="CK484" s="1120"/>
      <c r="CL484" s="1120"/>
      <c r="CM484" s="1120"/>
      <c r="CN484" s="1120"/>
      <c r="CO484" s="1120"/>
      <c r="CP484" s="1120"/>
      <c r="CQ484" s="1120"/>
      <c r="CR484" s="1120"/>
      <c r="CS484" s="1120"/>
      <c r="CT484" s="1121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541"/>
        <v/>
      </c>
      <c r="CA485" s="373">
        <f t="shared" si="1542"/>
        <v>7.5</v>
      </c>
      <c r="CB485" s="373" t="str">
        <f t="shared" si="1543"/>
        <v/>
      </c>
      <c r="CC485" s="462" t="str">
        <f t="shared" si="1544"/>
        <v/>
      </c>
      <c r="CD485" s="1109" t="str">
        <f t="shared" ref="CD485:CS485" si="17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0" t="str">
        <f t="shared" si="1735"/>
        <v/>
      </c>
      <c r="CF485" s="1111" t="str">
        <f t="shared" si="1735"/>
        <v/>
      </c>
      <c r="CG485" s="1111" t="str">
        <f t="shared" si="1735"/>
        <v/>
      </c>
      <c r="CH485" s="1111" t="str">
        <f t="shared" si="1735"/>
        <v/>
      </c>
      <c r="CI485" s="1111" t="str">
        <f t="shared" si="1735"/>
        <v/>
      </c>
      <c r="CJ485" s="1111" t="str">
        <f t="shared" si="1735"/>
        <v/>
      </c>
      <c r="CK485" s="1112" t="str">
        <f t="shared" si="1735"/>
        <v/>
      </c>
      <c r="CL485" s="1112">
        <f t="shared" si="1735"/>
        <v>5</v>
      </c>
      <c r="CM485" s="1112" t="str">
        <f t="shared" si="1735"/>
        <v/>
      </c>
      <c r="CN485" s="1111" t="str">
        <f t="shared" si="1735"/>
        <v/>
      </c>
      <c r="CO485" s="1111" t="str">
        <f t="shared" si="1735"/>
        <v/>
      </c>
      <c r="CP485" s="1111" t="str">
        <f t="shared" si="1735"/>
        <v/>
      </c>
      <c r="CQ485" s="1111" t="str">
        <f t="shared" si="1735"/>
        <v/>
      </c>
      <c r="CR485" s="1111" t="str">
        <f t="shared" si="1735"/>
        <v/>
      </c>
      <c r="CS485" s="1110" t="str">
        <f t="shared" si="1735"/>
        <v/>
      </c>
      <c r="CT485" s="1113" t="str">
        <f t="shared" ref="CE485:CT490" si="17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7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7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7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7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7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754">COUNT(B485:R485)</f>
        <v>1</v>
      </c>
      <c r="DM485" s="66">
        <f t="shared" ref="DM485:DM492" si="1755">COUNT(T485:AJ485)</f>
        <v>4</v>
      </c>
      <c r="DN485" s="66">
        <f t="shared" ref="DN485:DN492" si="1756">COUNT(AL485:BB485)</f>
        <v>1</v>
      </c>
      <c r="DO485" s="66">
        <f t="shared" ref="DO485:DO492" si="1757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541"/>
        <v/>
      </c>
      <c r="CA486" s="373">
        <f t="shared" si="1542"/>
        <v>3</v>
      </c>
      <c r="CB486" s="373" t="str">
        <f t="shared" si="1543"/>
        <v/>
      </c>
      <c r="CC486" s="462" t="str">
        <f t="shared" si="1544"/>
        <v/>
      </c>
      <c r="CD486" s="110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0" t="str">
        <f t="shared" si="1736"/>
        <v/>
      </c>
      <c r="CF486" s="1111" t="str">
        <f t="shared" si="1736"/>
        <v/>
      </c>
      <c r="CG486" s="1111" t="str">
        <f t="shared" si="1736"/>
        <v/>
      </c>
      <c r="CH486" s="1111" t="str">
        <f t="shared" si="1736"/>
        <v/>
      </c>
      <c r="CI486" s="1111" t="str">
        <f t="shared" si="1736"/>
        <v/>
      </c>
      <c r="CJ486" s="1111" t="str">
        <f t="shared" si="1736"/>
        <v/>
      </c>
      <c r="CK486" s="1112" t="str">
        <f t="shared" si="1736"/>
        <v/>
      </c>
      <c r="CL486" s="1112">
        <f t="shared" si="1736"/>
        <v>4</v>
      </c>
      <c r="CM486" s="1112" t="str">
        <f t="shared" si="1736"/>
        <v/>
      </c>
      <c r="CN486" s="1111" t="str">
        <f t="shared" si="1736"/>
        <v/>
      </c>
      <c r="CO486" s="1111" t="str">
        <f t="shared" si="1736"/>
        <v/>
      </c>
      <c r="CP486" s="1111" t="str">
        <f t="shared" si="1736"/>
        <v/>
      </c>
      <c r="CQ486" s="1111" t="str">
        <f t="shared" si="1736"/>
        <v/>
      </c>
      <c r="CR486" s="1111" t="str">
        <f t="shared" si="1736"/>
        <v/>
      </c>
      <c r="CS486" s="1110" t="str">
        <f t="shared" si="1736"/>
        <v/>
      </c>
      <c r="CT486" s="1113" t="str">
        <f t="shared" si="1736"/>
        <v/>
      </c>
      <c r="CU486" s="324" t="str">
        <f t="shared" si="1737"/>
        <v/>
      </c>
      <c r="CV486" s="325" t="str">
        <f t="shared" si="1738"/>
        <v/>
      </c>
      <c r="CW486" s="326" t="str">
        <f t="shared" si="1739"/>
        <v/>
      </c>
      <c r="CX486" s="326" t="str">
        <f t="shared" si="1740"/>
        <v/>
      </c>
      <c r="CY486" s="326" t="str">
        <f t="shared" si="1741"/>
        <v/>
      </c>
      <c r="CZ486" s="326" t="str">
        <f t="shared" si="1742"/>
        <v/>
      </c>
      <c r="DA486" s="326" t="str">
        <f t="shared" si="1743"/>
        <v/>
      </c>
      <c r="DB486" s="327">
        <f t="shared" si="1744"/>
        <v>1</v>
      </c>
      <c r="DC486" s="327">
        <f t="shared" si="1745"/>
        <v>2</v>
      </c>
      <c r="DD486" s="327">
        <f t="shared" si="1746"/>
        <v>4</v>
      </c>
      <c r="DE486" s="326">
        <f t="shared" si="1747"/>
        <v>20</v>
      </c>
      <c r="DF486" s="326" t="str">
        <f t="shared" si="1748"/>
        <v/>
      </c>
      <c r="DG486" s="326" t="str">
        <f t="shared" si="1749"/>
        <v/>
      </c>
      <c r="DH486" s="326" t="str">
        <f t="shared" si="1750"/>
        <v/>
      </c>
      <c r="DI486" s="326" t="str">
        <f t="shared" si="1751"/>
        <v/>
      </c>
      <c r="DJ486" s="325" t="str">
        <f t="shared" si="1752"/>
        <v/>
      </c>
      <c r="DK486" s="324" t="str">
        <f t="shared" si="1753"/>
        <v/>
      </c>
      <c r="DL486" s="428">
        <f t="shared" si="1754"/>
        <v>1</v>
      </c>
      <c r="DM486" s="66">
        <f t="shared" si="1755"/>
        <v>4</v>
      </c>
      <c r="DN486" s="66">
        <f t="shared" si="1756"/>
        <v>1</v>
      </c>
      <c r="DO486" s="66">
        <f t="shared" si="1757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541"/>
        <v/>
      </c>
      <c r="CA487" s="373">
        <f t="shared" si="1542"/>
        <v>2.5</v>
      </c>
      <c r="CB487" s="373" t="str">
        <f t="shared" si="1543"/>
        <v/>
      </c>
      <c r="CC487" s="462" t="str">
        <f t="shared" si="1544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si="1736"/>
        <v/>
      </c>
      <c r="CF487" s="1111" t="str">
        <f t="shared" si="1736"/>
        <v/>
      </c>
      <c r="CG487" s="1111" t="str">
        <f t="shared" si="1736"/>
        <v/>
      </c>
      <c r="CH487" s="1111" t="str">
        <f t="shared" si="1736"/>
        <v/>
      </c>
      <c r="CI487" s="1111" t="str">
        <f t="shared" si="1736"/>
        <v/>
      </c>
      <c r="CJ487" s="1111" t="str">
        <f t="shared" si="1736"/>
        <v/>
      </c>
      <c r="CK487" s="1112" t="str">
        <f t="shared" si="1736"/>
        <v/>
      </c>
      <c r="CL487" s="1112">
        <f t="shared" si="1736"/>
        <v>3</v>
      </c>
      <c r="CM487" s="1112" t="str">
        <f t="shared" si="1736"/>
        <v/>
      </c>
      <c r="CN487" s="1111" t="str">
        <f t="shared" si="1736"/>
        <v/>
      </c>
      <c r="CO487" s="1111" t="str">
        <f t="shared" si="1736"/>
        <v/>
      </c>
      <c r="CP487" s="1111" t="str">
        <f t="shared" si="1736"/>
        <v/>
      </c>
      <c r="CQ487" s="1111" t="str">
        <f t="shared" si="1736"/>
        <v/>
      </c>
      <c r="CR487" s="1111" t="str">
        <f t="shared" si="1736"/>
        <v/>
      </c>
      <c r="CS487" s="1110" t="str">
        <f t="shared" si="1736"/>
        <v/>
      </c>
      <c r="CT487" s="1113" t="str">
        <f t="shared" si="1736"/>
        <v/>
      </c>
      <c r="CU487" s="324" t="str">
        <f t="shared" si="1737"/>
        <v/>
      </c>
      <c r="CV487" s="325" t="str">
        <f t="shared" si="1738"/>
        <v/>
      </c>
      <c r="CW487" s="326" t="str">
        <f t="shared" si="1739"/>
        <v/>
      </c>
      <c r="CX487" s="326" t="str">
        <f t="shared" si="1740"/>
        <v/>
      </c>
      <c r="CY487" s="326" t="str">
        <f t="shared" si="1741"/>
        <v/>
      </c>
      <c r="CZ487" s="326" t="str">
        <f t="shared" si="1742"/>
        <v/>
      </c>
      <c r="DA487" s="326" t="str">
        <f t="shared" si="1743"/>
        <v/>
      </c>
      <c r="DB487" s="327">
        <f t="shared" si="1744"/>
        <v>1</v>
      </c>
      <c r="DC487" s="327">
        <f t="shared" si="1745"/>
        <v>2</v>
      </c>
      <c r="DD487" s="327">
        <f t="shared" si="1746"/>
        <v>3</v>
      </c>
      <c r="DE487" s="326">
        <f t="shared" si="1747"/>
        <v>4</v>
      </c>
      <c r="DF487" s="326" t="str">
        <f t="shared" si="1748"/>
        <v/>
      </c>
      <c r="DG487" s="326" t="str">
        <f t="shared" si="1749"/>
        <v/>
      </c>
      <c r="DH487" s="326" t="str">
        <f t="shared" si="1750"/>
        <v/>
      </c>
      <c r="DI487" s="326" t="str">
        <f t="shared" si="1751"/>
        <v/>
      </c>
      <c r="DJ487" s="325" t="str">
        <f t="shared" si="1752"/>
        <v/>
      </c>
      <c r="DK487" s="324" t="str">
        <f t="shared" si="1753"/>
        <v/>
      </c>
      <c r="DL487" s="428">
        <f t="shared" si="1754"/>
        <v>1</v>
      </c>
      <c r="DM487" s="66">
        <f t="shared" si="1755"/>
        <v>4</v>
      </c>
      <c r="DN487" s="66">
        <f t="shared" si="1756"/>
        <v>1</v>
      </c>
      <c r="DO487" s="66">
        <f t="shared" si="1757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758">IF(B486="","",B485*B486*B487)</f>
        <v/>
      </c>
      <c r="C488" s="405" t="str">
        <f t="shared" si="1758"/>
        <v/>
      </c>
      <c r="D488" s="405" t="str">
        <f t="shared" si="1758"/>
        <v/>
      </c>
      <c r="E488" s="405" t="str">
        <f t="shared" si="1758"/>
        <v/>
      </c>
      <c r="F488" s="405" t="str">
        <f t="shared" si="1758"/>
        <v/>
      </c>
      <c r="G488" s="405" t="str">
        <f t="shared" si="1758"/>
        <v/>
      </c>
      <c r="H488" s="405">
        <f t="shared" si="1758"/>
        <v>60</v>
      </c>
      <c r="I488" s="405" t="str">
        <f t="shared" si="1758"/>
        <v/>
      </c>
      <c r="J488" s="405" t="str">
        <f t="shared" si="1758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759">IF(T486="","",T485*T486*T487)</f>
        <v>30</v>
      </c>
      <c r="U488" s="405" t="str">
        <f t="shared" si="1759"/>
        <v/>
      </c>
      <c r="V488" s="405" t="str">
        <f t="shared" si="1759"/>
        <v/>
      </c>
      <c r="W488" s="405" t="str">
        <f t="shared" si="1759"/>
        <v/>
      </c>
      <c r="X488" s="405" t="str">
        <f t="shared" si="1759"/>
        <v/>
      </c>
      <c r="Y488" s="405">
        <f t="shared" si="1759"/>
        <v>80</v>
      </c>
      <c r="Z488" s="405" t="str">
        <f t="shared" si="1759"/>
        <v/>
      </c>
      <c r="AA488" s="405">
        <f t="shared" si="1759"/>
        <v>20</v>
      </c>
      <c r="AB488" s="405">
        <f t="shared" si="1759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760">IF(AL486="","",AL485*AL486*AL487)</f>
        <v/>
      </c>
      <c r="AM488" s="405" t="str">
        <f t="shared" si="1760"/>
        <v/>
      </c>
      <c r="AN488" s="405" t="str">
        <f t="shared" si="1760"/>
        <v/>
      </c>
      <c r="AO488" s="405" t="str">
        <f t="shared" si="1760"/>
        <v/>
      </c>
      <c r="AP488" s="405" t="str">
        <f t="shared" si="1760"/>
        <v/>
      </c>
      <c r="AQ488" s="405" t="str">
        <f t="shared" si="1760"/>
        <v/>
      </c>
      <c r="AR488" s="405">
        <f t="shared" si="1760"/>
        <v>160</v>
      </c>
      <c r="AS488" s="405" t="str">
        <f t="shared" si="1760"/>
        <v/>
      </c>
      <c r="AT488" s="405" t="str">
        <f t="shared" si="1760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761">IF(BD486="","",BD485*BD486*BD487)</f>
        <v/>
      </c>
      <c r="BE488" s="405" t="str">
        <f t="shared" si="1761"/>
        <v/>
      </c>
      <c r="BF488" s="405" t="str">
        <f t="shared" si="1761"/>
        <v/>
      </c>
      <c r="BG488" s="405" t="str">
        <f t="shared" si="1761"/>
        <v/>
      </c>
      <c r="BH488" s="405" t="str">
        <f t="shared" si="1761"/>
        <v/>
      </c>
      <c r="BI488" s="405" t="str">
        <f t="shared" si="1761"/>
        <v/>
      </c>
      <c r="BJ488" s="405" t="str">
        <f t="shared" si="1761"/>
        <v/>
      </c>
      <c r="BK488" s="405" t="str">
        <f t="shared" si="1761"/>
        <v/>
      </c>
      <c r="BL488" s="405" t="str">
        <f t="shared" si="1761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541"/>
        <v/>
      </c>
      <c r="CA488" s="373">
        <f t="shared" si="1542"/>
        <v>35</v>
      </c>
      <c r="CB488" s="373" t="str">
        <f t="shared" si="1543"/>
        <v/>
      </c>
      <c r="CC488" s="462" t="str">
        <f t="shared" si="1544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736"/>
        <v/>
      </c>
      <c r="CF488" s="1111" t="str">
        <f t="shared" si="1736"/>
        <v/>
      </c>
      <c r="CG488" s="1111" t="str">
        <f t="shared" si="1736"/>
        <v/>
      </c>
      <c r="CH488" s="1111" t="str">
        <f t="shared" si="1736"/>
        <v/>
      </c>
      <c r="CI488" s="1111" t="str">
        <f t="shared" si="1736"/>
        <v/>
      </c>
      <c r="CJ488" s="1111" t="str">
        <f t="shared" si="1736"/>
        <v/>
      </c>
      <c r="CK488" s="1112" t="str">
        <f t="shared" si="1736"/>
        <v/>
      </c>
      <c r="CL488" s="1112">
        <f t="shared" si="1736"/>
        <v>60</v>
      </c>
      <c r="CM488" s="1112" t="str">
        <f t="shared" si="1736"/>
        <v/>
      </c>
      <c r="CN488" s="1111" t="str">
        <f t="shared" si="1736"/>
        <v/>
      </c>
      <c r="CO488" s="1111" t="str">
        <f t="shared" si="1736"/>
        <v/>
      </c>
      <c r="CP488" s="1111" t="str">
        <f t="shared" si="1736"/>
        <v/>
      </c>
      <c r="CQ488" s="1111" t="str">
        <f t="shared" si="1736"/>
        <v/>
      </c>
      <c r="CR488" s="1111" t="str">
        <f t="shared" si="1736"/>
        <v/>
      </c>
      <c r="CS488" s="1110" t="str">
        <f t="shared" si="1736"/>
        <v/>
      </c>
      <c r="CT488" s="1113" t="str">
        <f t="shared" si="1736"/>
        <v/>
      </c>
      <c r="CU488" s="324" t="str">
        <f t="shared" si="1737"/>
        <v/>
      </c>
      <c r="CV488" s="325" t="str">
        <f t="shared" si="1738"/>
        <v/>
      </c>
      <c r="CW488" s="326" t="str">
        <f t="shared" si="1739"/>
        <v/>
      </c>
      <c r="CX488" s="326" t="str">
        <f t="shared" si="1740"/>
        <v/>
      </c>
      <c r="CY488" s="326" t="str">
        <f t="shared" si="1741"/>
        <v/>
      </c>
      <c r="CZ488" s="326" t="str">
        <f t="shared" si="1742"/>
        <v/>
      </c>
      <c r="DA488" s="326" t="str">
        <f t="shared" si="1743"/>
        <v/>
      </c>
      <c r="DB488" s="327">
        <f t="shared" si="1744"/>
        <v>20</v>
      </c>
      <c r="DC488" s="327">
        <f t="shared" si="1745"/>
        <v>30</v>
      </c>
      <c r="DD488" s="327">
        <f t="shared" si="1746"/>
        <v>40</v>
      </c>
      <c r="DE488" s="326">
        <f t="shared" si="1747"/>
        <v>80</v>
      </c>
      <c r="DF488" s="326" t="str">
        <f t="shared" si="1748"/>
        <v/>
      </c>
      <c r="DG488" s="326" t="str">
        <f t="shared" si="1749"/>
        <v/>
      </c>
      <c r="DH488" s="326" t="str">
        <f t="shared" si="1750"/>
        <v/>
      </c>
      <c r="DI488" s="326" t="str">
        <f t="shared" si="1751"/>
        <v/>
      </c>
      <c r="DJ488" s="325" t="str">
        <f t="shared" si="1752"/>
        <v/>
      </c>
      <c r="DK488" s="324" t="str">
        <f t="shared" si="1753"/>
        <v/>
      </c>
      <c r="DL488" s="428">
        <f t="shared" si="1754"/>
        <v>1</v>
      </c>
      <c r="DM488" s="66">
        <f t="shared" si="1755"/>
        <v>4</v>
      </c>
      <c r="DN488" s="66">
        <f t="shared" si="1756"/>
        <v>1</v>
      </c>
      <c r="DO488" s="66">
        <f t="shared" si="1757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762">3630*$K$1</f>
        <v>3630</v>
      </c>
      <c r="D489" s="536">
        <f t="shared" si="1762"/>
        <v>3630</v>
      </c>
      <c r="E489" s="536">
        <f t="shared" si="1762"/>
        <v>3630</v>
      </c>
      <c r="F489" s="536">
        <f t="shared" si="1762"/>
        <v>3630</v>
      </c>
      <c r="G489" s="536">
        <f t="shared" si="1762"/>
        <v>3630</v>
      </c>
      <c r="H489" s="536">
        <f t="shared" si="1762"/>
        <v>3630</v>
      </c>
      <c r="I489" s="536">
        <f t="shared" si="1762"/>
        <v>3630</v>
      </c>
      <c r="J489" s="536">
        <f t="shared" si="1762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763">3630*$K$1</f>
        <v>3630</v>
      </c>
      <c r="V489" s="536">
        <f t="shared" si="1763"/>
        <v>3630</v>
      </c>
      <c r="W489" s="536">
        <f t="shared" si="1763"/>
        <v>3630</v>
      </c>
      <c r="X489" s="536">
        <f t="shared" si="1763"/>
        <v>3630</v>
      </c>
      <c r="Y489" s="536">
        <f t="shared" si="1763"/>
        <v>3630</v>
      </c>
      <c r="Z489" s="536">
        <f t="shared" si="1763"/>
        <v>3630</v>
      </c>
      <c r="AA489" s="536">
        <f t="shared" si="1763"/>
        <v>3630</v>
      </c>
      <c r="AB489" s="536">
        <f t="shared" si="1763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764">3630*$K$1</f>
        <v>3630</v>
      </c>
      <c r="AN489" s="536">
        <f t="shared" si="1764"/>
        <v>3630</v>
      </c>
      <c r="AO489" s="536">
        <f t="shared" si="1764"/>
        <v>3630</v>
      </c>
      <c r="AP489" s="536">
        <f t="shared" si="1764"/>
        <v>3630</v>
      </c>
      <c r="AQ489" s="536">
        <f t="shared" si="1764"/>
        <v>3630</v>
      </c>
      <c r="AR489" s="536">
        <f t="shared" si="1764"/>
        <v>3630</v>
      </c>
      <c r="AS489" s="536">
        <f t="shared" si="1764"/>
        <v>3630</v>
      </c>
      <c r="AT489" s="536">
        <f t="shared" si="1764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765">3630*$K$1</f>
        <v>3630</v>
      </c>
      <c r="BF489" s="536">
        <f t="shared" si="1765"/>
        <v>3630</v>
      </c>
      <c r="BG489" s="536">
        <f t="shared" si="1765"/>
        <v>3630</v>
      </c>
      <c r="BH489" s="536">
        <f t="shared" si="1765"/>
        <v>3630</v>
      </c>
      <c r="BI489" s="536">
        <f t="shared" si="1765"/>
        <v>3630</v>
      </c>
      <c r="BJ489" s="536">
        <f t="shared" si="1765"/>
        <v>3630</v>
      </c>
      <c r="BK489" s="536">
        <f t="shared" si="1765"/>
        <v>3630</v>
      </c>
      <c r="BL489" s="536">
        <f t="shared" si="1765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765"/>
        <v>3630</v>
      </c>
      <c r="BW489" s="536">
        <f t="shared" si="1765"/>
        <v>3630</v>
      </c>
      <c r="BX489" s="536">
        <f t="shared" si="1765"/>
        <v>3630</v>
      </c>
      <c r="BY489" s="536">
        <f t="shared" si="1765"/>
        <v>3630</v>
      </c>
      <c r="BZ489" s="373">
        <f t="shared" si="1541"/>
        <v>3630</v>
      </c>
      <c r="CA489" s="373">
        <f t="shared" si="1542"/>
        <v>3630</v>
      </c>
      <c r="CB489" s="373">
        <f t="shared" si="1543"/>
        <v>3630</v>
      </c>
      <c r="CC489" s="462">
        <f t="shared" si="1544"/>
        <v>3630</v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736"/>
        <v/>
      </c>
      <c r="CF489" s="1111" t="str">
        <f t="shared" si="1736"/>
        <v/>
      </c>
      <c r="CG489" s="1111" t="str">
        <f t="shared" si="1736"/>
        <v/>
      </c>
      <c r="CH489" s="1111">
        <f t="shared" si="1736"/>
        <v>3630</v>
      </c>
      <c r="CI489" s="1111">
        <f t="shared" si="1736"/>
        <v>3630</v>
      </c>
      <c r="CJ489" s="1111">
        <f t="shared" si="1736"/>
        <v>3630</v>
      </c>
      <c r="CK489" s="1112">
        <f t="shared" si="1736"/>
        <v>3630</v>
      </c>
      <c r="CL489" s="1112">
        <f t="shared" si="1736"/>
        <v>3630</v>
      </c>
      <c r="CM489" s="1112">
        <f t="shared" si="1736"/>
        <v>3630</v>
      </c>
      <c r="CN489" s="1111">
        <f t="shared" si="1736"/>
        <v>3630</v>
      </c>
      <c r="CO489" s="1111">
        <f t="shared" si="1736"/>
        <v>3630</v>
      </c>
      <c r="CP489" s="1111">
        <f t="shared" si="1736"/>
        <v>3630</v>
      </c>
      <c r="CQ489" s="1111" t="str">
        <f t="shared" si="1736"/>
        <v/>
      </c>
      <c r="CR489" s="1111" t="str">
        <f t="shared" si="1736"/>
        <v/>
      </c>
      <c r="CS489" s="1110" t="str">
        <f t="shared" si="1736"/>
        <v/>
      </c>
      <c r="CT489" s="1113" t="str">
        <f t="shared" si="1736"/>
        <v/>
      </c>
      <c r="CU489" s="324" t="str">
        <f t="shared" si="1737"/>
        <v/>
      </c>
      <c r="CV489" s="325" t="str">
        <f t="shared" si="1738"/>
        <v/>
      </c>
      <c r="CW489" s="326" t="str">
        <f t="shared" si="1739"/>
        <v/>
      </c>
      <c r="CX489" s="326" t="str">
        <f t="shared" si="1740"/>
        <v/>
      </c>
      <c r="CY489" s="326">
        <f t="shared" si="1741"/>
        <v>3630</v>
      </c>
      <c r="CZ489" s="326">
        <f t="shared" si="1742"/>
        <v>3630</v>
      </c>
      <c r="DA489" s="326">
        <f t="shared" si="1743"/>
        <v>3630</v>
      </c>
      <c r="DB489" s="327">
        <f t="shared" si="1744"/>
        <v>3630</v>
      </c>
      <c r="DC489" s="327">
        <f t="shared" si="1745"/>
        <v>3630</v>
      </c>
      <c r="DD489" s="327">
        <f t="shared" si="1746"/>
        <v>3630</v>
      </c>
      <c r="DE489" s="326">
        <f t="shared" si="1747"/>
        <v>3630</v>
      </c>
      <c r="DF489" s="326">
        <f t="shared" si="1748"/>
        <v>3630</v>
      </c>
      <c r="DG489" s="326">
        <f t="shared" si="1749"/>
        <v>3630</v>
      </c>
      <c r="DH489" s="326" t="str">
        <f t="shared" si="1750"/>
        <v/>
      </c>
      <c r="DI489" s="326" t="str">
        <f t="shared" si="1751"/>
        <v/>
      </c>
      <c r="DJ489" s="325" t="str">
        <f t="shared" si="1752"/>
        <v/>
      </c>
      <c r="DK489" s="324" t="str">
        <f t="shared" si="1753"/>
        <v/>
      </c>
      <c r="DL489" s="428">
        <f t="shared" si="1754"/>
        <v>9</v>
      </c>
      <c r="DM489" s="66">
        <f t="shared" si="1755"/>
        <v>9</v>
      </c>
      <c r="DN489" s="66">
        <f t="shared" si="1756"/>
        <v>9</v>
      </c>
      <c r="DO489" s="66">
        <f t="shared" si="1757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766">IF(B488="","",B488*B489/B$46/365/$G$1)</f>
        <v/>
      </c>
      <c r="C490" s="408" t="str">
        <f t="shared" si="1766"/>
        <v/>
      </c>
      <c r="D490" s="408" t="str">
        <f t="shared" si="1766"/>
        <v/>
      </c>
      <c r="E490" s="408" t="str">
        <f t="shared" si="1766"/>
        <v/>
      </c>
      <c r="F490" s="408" t="str">
        <f t="shared" si="1766"/>
        <v/>
      </c>
      <c r="G490" s="408" t="str">
        <f t="shared" si="1766"/>
        <v/>
      </c>
      <c r="H490" s="408">
        <f t="shared" si="1766"/>
        <v>4.7358121330724069E-2</v>
      </c>
      <c r="I490" s="408" t="str">
        <f t="shared" si="1766"/>
        <v/>
      </c>
      <c r="J490" s="408" t="str">
        <f t="shared" si="1766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767">IF(T488="","",T488*T489/T$46/365/$G$1)</f>
        <v>1.7759295499021527E-2</v>
      </c>
      <c r="U490" s="408" t="str">
        <f t="shared" si="1767"/>
        <v/>
      </c>
      <c r="V490" s="408" t="str">
        <f t="shared" si="1767"/>
        <v/>
      </c>
      <c r="W490" s="408" t="str">
        <f t="shared" si="1767"/>
        <v/>
      </c>
      <c r="X490" s="408" t="str">
        <f t="shared" si="1767"/>
        <v/>
      </c>
      <c r="Y490" s="408">
        <f t="shared" si="1767"/>
        <v>5.4123567235113218E-2</v>
      </c>
      <c r="Z490" s="408" t="str">
        <f t="shared" si="1767"/>
        <v/>
      </c>
      <c r="AA490" s="408">
        <f t="shared" si="1767"/>
        <v>9.4716242661448142E-3</v>
      </c>
      <c r="AB490" s="408">
        <f t="shared" si="1767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768">IF(AL488="","",AL488*AL489/AL$46/365/$G$1)</f>
        <v/>
      </c>
      <c r="AM490" s="408" t="str">
        <f t="shared" si="1768"/>
        <v/>
      </c>
      <c r="AN490" s="408" t="str">
        <f t="shared" si="1768"/>
        <v/>
      </c>
      <c r="AO490" s="408" t="str">
        <f t="shared" si="1768"/>
        <v/>
      </c>
      <c r="AP490" s="408" t="str">
        <f t="shared" si="1768"/>
        <v/>
      </c>
      <c r="AQ490" s="408" t="str">
        <f t="shared" si="1768"/>
        <v/>
      </c>
      <c r="AR490" s="408">
        <f t="shared" si="1768"/>
        <v>9.4716242661448138E-2</v>
      </c>
      <c r="AS490" s="408" t="str">
        <f t="shared" si="1768"/>
        <v/>
      </c>
      <c r="AT490" s="408" t="str">
        <f t="shared" si="1768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769">IF(BD488="","",BD488*BD489/BD$46/365/$G$1)</f>
        <v/>
      </c>
      <c r="BE490" s="408" t="str">
        <f t="shared" si="1769"/>
        <v/>
      </c>
      <c r="BF490" s="408" t="str">
        <f t="shared" si="1769"/>
        <v/>
      </c>
      <c r="BG490" s="408" t="str">
        <f t="shared" si="1769"/>
        <v/>
      </c>
      <c r="BH490" s="408" t="str">
        <f t="shared" si="1769"/>
        <v/>
      </c>
      <c r="BI490" s="408" t="str">
        <f t="shared" si="1769"/>
        <v/>
      </c>
      <c r="BJ490" s="408" t="str">
        <f t="shared" si="1769"/>
        <v/>
      </c>
      <c r="BK490" s="408" t="str">
        <f t="shared" si="1769"/>
        <v/>
      </c>
      <c r="BL490" s="408" t="str">
        <f t="shared" si="1769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542"/>
        <v>2.2410539558289068E-2</v>
      </c>
      <c r="CB490" s="398" t="str">
        <f t="shared" si="1543"/>
        <v/>
      </c>
      <c r="CC490" s="398" t="str">
        <f t="shared" si="1544"/>
        <v/>
      </c>
      <c r="CD490" s="111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5" t="str">
        <f t="shared" si="1736"/>
        <v/>
      </c>
      <c r="CF490" s="1116" t="str">
        <f t="shared" si="1736"/>
        <v/>
      </c>
      <c r="CG490" s="1116" t="str">
        <f t="shared" si="1736"/>
        <v/>
      </c>
      <c r="CH490" s="1116" t="str">
        <f t="shared" si="1736"/>
        <v/>
      </c>
      <c r="CI490" s="1116" t="str">
        <f t="shared" si="1736"/>
        <v/>
      </c>
      <c r="CJ490" s="1116" t="str">
        <f t="shared" si="1736"/>
        <v/>
      </c>
      <c r="CK490" s="1117" t="str">
        <f t="shared" si="1736"/>
        <v/>
      </c>
      <c r="CL490" s="1117">
        <f t="shared" si="1736"/>
        <v>4.7358121330724069E-2</v>
      </c>
      <c r="CM490" s="1117" t="str">
        <f t="shared" si="1736"/>
        <v/>
      </c>
      <c r="CN490" s="1116" t="str">
        <f t="shared" si="1736"/>
        <v/>
      </c>
      <c r="CO490" s="1116" t="str">
        <f t="shared" si="1736"/>
        <v/>
      </c>
      <c r="CP490" s="1116" t="str">
        <f t="shared" si="1736"/>
        <v/>
      </c>
      <c r="CQ490" s="1116" t="str">
        <f t="shared" si="1736"/>
        <v/>
      </c>
      <c r="CR490" s="1116" t="str">
        <f t="shared" si="1736"/>
        <v/>
      </c>
      <c r="CS490" s="1115" t="str">
        <f t="shared" si="1736"/>
        <v/>
      </c>
      <c r="CT490" s="1118" t="str">
        <f t="shared" si="1736"/>
        <v/>
      </c>
      <c r="CU490" s="312" t="str">
        <f t="shared" si="1737"/>
        <v/>
      </c>
      <c r="CV490" s="313" t="str">
        <f t="shared" si="1738"/>
        <v/>
      </c>
      <c r="CW490" s="314" t="str">
        <f t="shared" si="1739"/>
        <v/>
      </c>
      <c r="CX490" s="314" t="str">
        <f t="shared" si="1740"/>
        <v/>
      </c>
      <c r="CY490" s="314" t="str">
        <f t="shared" si="1741"/>
        <v/>
      </c>
      <c r="CZ490" s="314" t="str">
        <f t="shared" si="1742"/>
        <v/>
      </c>
      <c r="DA490" s="314" t="str">
        <f t="shared" si="1743"/>
        <v/>
      </c>
      <c r="DB490" s="315">
        <f t="shared" si="1744"/>
        <v>9.4716242661448142E-3</v>
      </c>
      <c r="DC490" s="315">
        <f t="shared" si="1745"/>
        <v>1.7759295499021527E-2</v>
      </c>
      <c r="DD490" s="315">
        <f t="shared" si="1746"/>
        <v>2.7061783617556609E-2</v>
      </c>
      <c r="DE490" s="314">
        <f t="shared" si="1747"/>
        <v>5.4123567235113218E-2</v>
      </c>
      <c r="DF490" s="314" t="str">
        <f t="shared" si="1748"/>
        <v/>
      </c>
      <c r="DG490" s="314" t="str">
        <f t="shared" si="1749"/>
        <v/>
      </c>
      <c r="DH490" s="314" t="str">
        <f t="shared" si="1750"/>
        <v/>
      </c>
      <c r="DI490" s="314" t="str">
        <f t="shared" si="1751"/>
        <v/>
      </c>
      <c r="DJ490" s="313" t="str">
        <f t="shared" si="1752"/>
        <v/>
      </c>
      <c r="DK490" s="312" t="str">
        <f t="shared" si="1753"/>
        <v/>
      </c>
      <c r="DL490" s="428">
        <f t="shared" si="1754"/>
        <v>1</v>
      </c>
      <c r="DM490" s="66">
        <f t="shared" si="1755"/>
        <v>4</v>
      </c>
      <c r="DN490" s="66">
        <f t="shared" si="1756"/>
        <v>1</v>
      </c>
      <c r="DO490" s="66">
        <f t="shared" si="1757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541"/>
        <v/>
      </c>
      <c r="CA491" s="373">
        <f t="shared" si="1542"/>
        <v>1.75</v>
      </c>
      <c r="CB491" s="373" t="str">
        <f t="shared" si="1543"/>
        <v/>
      </c>
      <c r="CC491" s="462" t="str">
        <f t="shared" si="1544"/>
        <v/>
      </c>
      <c r="CD491" s="1109" t="str">
        <f t="shared" ref="CD491:CS492" si="17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0" t="str">
        <f t="shared" si="1770"/>
        <v/>
      </c>
      <c r="CF491" s="1111" t="str">
        <f t="shared" si="1770"/>
        <v/>
      </c>
      <c r="CG491" s="1111" t="str">
        <f t="shared" si="1770"/>
        <v/>
      </c>
      <c r="CH491" s="1111" t="str">
        <f t="shared" si="1770"/>
        <v/>
      </c>
      <c r="CI491" s="1111" t="str">
        <f t="shared" si="1770"/>
        <v/>
      </c>
      <c r="CJ491" s="1111" t="str">
        <f t="shared" si="1770"/>
        <v/>
      </c>
      <c r="CK491" s="1112" t="str">
        <f t="shared" si="1770"/>
        <v/>
      </c>
      <c r="CL491" s="1112" t="str">
        <f t="shared" si="1770"/>
        <v/>
      </c>
      <c r="CM491" s="1112" t="str">
        <f t="shared" si="1770"/>
        <v/>
      </c>
      <c r="CN491" s="1111" t="str">
        <f t="shared" si="1770"/>
        <v/>
      </c>
      <c r="CO491" s="1111" t="str">
        <f t="shared" si="1770"/>
        <v/>
      </c>
      <c r="CP491" s="1111" t="str">
        <f t="shared" si="1770"/>
        <v/>
      </c>
      <c r="CQ491" s="1111" t="str">
        <f t="shared" si="1770"/>
        <v/>
      </c>
      <c r="CR491" s="1111" t="str">
        <f t="shared" si="1770"/>
        <v/>
      </c>
      <c r="CS491" s="1110" t="str">
        <f t="shared" si="1770"/>
        <v/>
      </c>
      <c r="CT491" s="1113" t="str">
        <f t="shared" ref="CE491:CT492" si="17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737"/>
        <v/>
      </c>
      <c r="CV491" s="325" t="str">
        <f t="shared" si="1738"/>
        <v/>
      </c>
      <c r="CW491" s="326" t="str">
        <f t="shared" si="1739"/>
        <v/>
      </c>
      <c r="CX491" s="326" t="str">
        <f t="shared" si="1740"/>
        <v/>
      </c>
      <c r="CY491" s="326" t="str">
        <f t="shared" si="1741"/>
        <v/>
      </c>
      <c r="CZ491" s="326" t="str">
        <f t="shared" si="1742"/>
        <v/>
      </c>
      <c r="DA491" s="326" t="str">
        <f t="shared" si="1743"/>
        <v/>
      </c>
      <c r="DB491" s="327">
        <f t="shared" si="1744"/>
        <v>1</v>
      </c>
      <c r="DC491" s="327">
        <f t="shared" si="1745"/>
        <v>1.5</v>
      </c>
      <c r="DD491" s="327">
        <f t="shared" si="1746"/>
        <v>2</v>
      </c>
      <c r="DE491" s="326">
        <f t="shared" si="1747"/>
        <v>10</v>
      </c>
      <c r="DF491" s="326" t="str">
        <f t="shared" si="1748"/>
        <v/>
      </c>
      <c r="DG491" s="326" t="str">
        <f t="shared" si="1749"/>
        <v/>
      </c>
      <c r="DH491" s="326" t="str">
        <f t="shared" si="1750"/>
        <v/>
      </c>
      <c r="DI491" s="326" t="str">
        <f t="shared" si="1751"/>
        <v/>
      </c>
      <c r="DJ491" s="325" t="str">
        <f t="shared" si="1752"/>
        <v/>
      </c>
      <c r="DK491" s="324" t="str">
        <f t="shared" si="1753"/>
        <v/>
      </c>
      <c r="DL491" s="428">
        <f t="shared" si="1754"/>
        <v>0</v>
      </c>
      <c r="DM491" s="66">
        <f t="shared" si="1755"/>
        <v>4</v>
      </c>
      <c r="DN491" s="66">
        <f t="shared" si="1756"/>
        <v>1</v>
      </c>
      <c r="DO491" s="66">
        <f t="shared" si="1757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772">IF(B491="","",B486*B491*B487)</f>
        <v/>
      </c>
      <c r="C492" s="405" t="str">
        <f t="shared" si="1772"/>
        <v/>
      </c>
      <c r="D492" s="405" t="str">
        <f t="shared" si="1772"/>
        <v/>
      </c>
      <c r="E492" s="405" t="str">
        <f t="shared" si="1772"/>
        <v/>
      </c>
      <c r="F492" s="405" t="str">
        <f t="shared" si="1772"/>
        <v/>
      </c>
      <c r="G492" s="405" t="str">
        <f t="shared" si="1772"/>
        <v/>
      </c>
      <c r="H492" s="405" t="str">
        <f t="shared" si="1772"/>
        <v/>
      </c>
      <c r="I492" s="405" t="str">
        <f t="shared" si="1772"/>
        <v/>
      </c>
      <c r="J492" s="405" t="str">
        <f t="shared" si="1772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773">IF(T491="","",T488*T491)</f>
        <v>30</v>
      </c>
      <c r="U492" s="405" t="str">
        <f t="shared" si="1773"/>
        <v/>
      </c>
      <c r="V492" s="405" t="str">
        <f t="shared" si="1773"/>
        <v/>
      </c>
      <c r="W492" s="405" t="str">
        <f t="shared" si="1773"/>
        <v/>
      </c>
      <c r="X492" s="405" t="str">
        <f t="shared" si="1773"/>
        <v/>
      </c>
      <c r="Y492" s="405">
        <f t="shared" si="1773"/>
        <v>120</v>
      </c>
      <c r="Z492" s="405" t="str">
        <f t="shared" si="1773"/>
        <v/>
      </c>
      <c r="AA492" s="405">
        <f t="shared" si="1773"/>
        <v>40</v>
      </c>
      <c r="AB492" s="405">
        <f t="shared" si="1773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774">IF(AL491="","",AL488*AL491)</f>
        <v/>
      </c>
      <c r="AM492" s="405" t="str">
        <f t="shared" si="1774"/>
        <v/>
      </c>
      <c r="AN492" s="405" t="str">
        <f t="shared" si="1774"/>
        <v/>
      </c>
      <c r="AO492" s="405" t="str">
        <f t="shared" si="1774"/>
        <v/>
      </c>
      <c r="AP492" s="405" t="str">
        <f t="shared" si="1774"/>
        <v/>
      </c>
      <c r="AQ492" s="405" t="str">
        <f t="shared" si="1774"/>
        <v/>
      </c>
      <c r="AR492" s="405">
        <f t="shared" si="1774"/>
        <v>160</v>
      </c>
      <c r="AS492" s="405" t="str">
        <f t="shared" si="1774"/>
        <v/>
      </c>
      <c r="AT492" s="405" t="str">
        <f t="shared" si="1774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775">IF(BD491="","",BD488*BD491)</f>
        <v/>
      </c>
      <c r="BE492" s="405" t="str">
        <f t="shared" si="1775"/>
        <v/>
      </c>
      <c r="BF492" s="405" t="str">
        <f t="shared" si="1775"/>
        <v/>
      </c>
      <c r="BG492" s="405" t="str">
        <f t="shared" si="1775"/>
        <v/>
      </c>
      <c r="BH492" s="405" t="str">
        <f t="shared" si="1775"/>
        <v/>
      </c>
      <c r="BI492" s="405" t="str">
        <f t="shared" si="1775"/>
        <v/>
      </c>
      <c r="BJ492" s="405" t="str">
        <f t="shared" si="1775"/>
        <v/>
      </c>
      <c r="BK492" s="405" t="str">
        <f t="shared" si="1775"/>
        <v/>
      </c>
      <c r="BL492" s="405" t="str">
        <f t="shared" si="1775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541"/>
        <v/>
      </c>
      <c r="CA492" s="373">
        <f t="shared" si="1542"/>
        <v>80</v>
      </c>
      <c r="CB492" s="373" t="str">
        <f t="shared" si="1543"/>
        <v/>
      </c>
      <c r="CC492" s="462" t="str">
        <f t="shared" si="1544"/>
        <v/>
      </c>
      <c r="CD492" s="1109" t="str">
        <f t="shared" si="1770"/>
        <v/>
      </c>
      <c r="CE492" s="1110" t="str">
        <f t="shared" si="1771"/>
        <v/>
      </c>
      <c r="CF492" s="1111" t="str">
        <f t="shared" si="1771"/>
        <v/>
      </c>
      <c r="CG492" s="1111" t="str">
        <f t="shared" si="1771"/>
        <v/>
      </c>
      <c r="CH492" s="1111" t="str">
        <f t="shared" si="1771"/>
        <v/>
      </c>
      <c r="CI492" s="1111" t="str">
        <f t="shared" si="1771"/>
        <v/>
      </c>
      <c r="CJ492" s="1111" t="str">
        <f t="shared" si="1771"/>
        <v/>
      </c>
      <c r="CK492" s="1112" t="str">
        <f t="shared" si="1771"/>
        <v/>
      </c>
      <c r="CL492" s="1112" t="str">
        <f t="shared" si="1771"/>
        <v/>
      </c>
      <c r="CM492" s="1112" t="str">
        <f t="shared" si="1771"/>
        <v/>
      </c>
      <c r="CN492" s="1111" t="str">
        <f t="shared" si="1771"/>
        <v/>
      </c>
      <c r="CO492" s="1111" t="str">
        <f t="shared" si="1771"/>
        <v/>
      </c>
      <c r="CP492" s="1111" t="str">
        <f t="shared" si="1771"/>
        <v/>
      </c>
      <c r="CQ492" s="1111" t="str">
        <f t="shared" si="1771"/>
        <v/>
      </c>
      <c r="CR492" s="1111" t="str">
        <f t="shared" si="1771"/>
        <v/>
      </c>
      <c r="CS492" s="1110" t="str">
        <f t="shared" si="1771"/>
        <v/>
      </c>
      <c r="CT492" s="1113" t="str">
        <f t="shared" si="1771"/>
        <v/>
      </c>
      <c r="CU492" s="324" t="str">
        <f t="shared" si="1737"/>
        <v/>
      </c>
      <c r="CV492" s="325" t="str">
        <f t="shared" si="1738"/>
        <v/>
      </c>
      <c r="CW492" s="326" t="str">
        <f t="shared" si="1739"/>
        <v/>
      </c>
      <c r="CX492" s="326" t="str">
        <f t="shared" si="1740"/>
        <v/>
      </c>
      <c r="CY492" s="326" t="str">
        <f t="shared" si="1741"/>
        <v/>
      </c>
      <c r="CZ492" s="326" t="str">
        <f t="shared" si="1742"/>
        <v/>
      </c>
      <c r="DA492" s="326" t="str">
        <f t="shared" si="1743"/>
        <v/>
      </c>
      <c r="DB492" s="327">
        <f t="shared" si="1744"/>
        <v>30</v>
      </c>
      <c r="DC492" s="327">
        <f t="shared" si="1745"/>
        <v>40</v>
      </c>
      <c r="DD492" s="327">
        <f t="shared" si="1746"/>
        <v>120</v>
      </c>
      <c r="DE492" s="326">
        <f t="shared" si="1747"/>
        <v>400</v>
      </c>
      <c r="DF492" s="326" t="str">
        <f t="shared" si="1748"/>
        <v/>
      </c>
      <c r="DG492" s="326" t="str">
        <f t="shared" si="1749"/>
        <v/>
      </c>
      <c r="DH492" s="326" t="str">
        <f t="shared" si="1750"/>
        <v/>
      </c>
      <c r="DI492" s="326" t="str">
        <f t="shared" si="1751"/>
        <v/>
      </c>
      <c r="DJ492" s="325" t="str">
        <f t="shared" si="1752"/>
        <v/>
      </c>
      <c r="DK492" s="324" t="str">
        <f t="shared" si="1753"/>
        <v/>
      </c>
      <c r="DL492" s="428">
        <f t="shared" si="1754"/>
        <v>0</v>
      </c>
      <c r="DM492" s="66">
        <f t="shared" si="1755"/>
        <v>4</v>
      </c>
      <c r="DN492" s="66">
        <f t="shared" si="1756"/>
        <v>1</v>
      </c>
      <c r="DO492" s="66">
        <f t="shared" si="1757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2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541"/>
        <v/>
      </c>
      <c r="CA493" s="365" t="str">
        <f t="shared" si="1542"/>
        <v/>
      </c>
      <c r="CB493" s="365" t="str">
        <f t="shared" si="1543"/>
        <v/>
      </c>
      <c r="CC493" s="461" t="str">
        <f t="shared" si="1544"/>
        <v/>
      </c>
      <c r="CD493" s="1120"/>
      <c r="CE493" s="1120"/>
      <c r="CF493" s="1120"/>
      <c r="CG493" s="1120"/>
      <c r="CH493" s="1120"/>
      <c r="CI493" s="1120"/>
      <c r="CJ493" s="1120"/>
      <c r="CK493" s="1120"/>
      <c r="CL493" s="1120"/>
      <c r="CM493" s="1120"/>
      <c r="CN493" s="1120"/>
      <c r="CO493" s="1120"/>
      <c r="CP493" s="1120"/>
      <c r="CQ493" s="1120"/>
      <c r="CR493" s="1120"/>
      <c r="CS493" s="1120"/>
      <c r="CT493" s="1121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541"/>
        <v>0.70000000000000007</v>
      </c>
      <c r="CA494" s="373">
        <f t="shared" si="1542"/>
        <v>0.70000000000000007</v>
      </c>
      <c r="CB494" s="373">
        <f t="shared" si="1543"/>
        <v>0.70000000000000007</v>
      </c>
      <c r="CC494" s="462">
        <f t="shared" si="1544"/>
        <v>0.70000000000000007</v>
      </c>
      <c r="CD494" s="1109" t="str">
        <f t="shared" ref="CD494:CS494" si="17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0" t="str">
        <f t="shared" si="1776"/>
        <v/>
      </c>
      <c r="CF494" s="1111" t="str">
        <f t="shared" si="1776"/>
        <v/>
      </c>
      <c r="CG494" s="1111" t="str">
        <f t="shared" si="1776"/>
        <v/>
      </c>
      <c r="CH494" s="1111">
        <f t="shared" si="1776"/>
        <v>0</v>
      </c>
      <c r="CI494" s="1111">
        <f t="shared" si="1776"/>
        <v>0.7</v>
      </c>
      <c r="CJ494" s="1111">
        <f t="shared" si="1776"/>
        <v>0.7</v>
      </c>
      <c r="CK494" s="1112">
        <f t="shared" si="1776"/>
        <v>0.7</v>
      </c>
      <c r="CL494" s="1112">
        <f t="shared" si="1776"/>
        <v>0.7</v>
      </c>
      <c r="CM494" s="1112">
        <f t="shared" si="1776"/>
        <v>0.7</v>
      </c>
      <c r="CN494" s="1111">
        <f t="shared" si="1776"/>
        <v>0.7</v>
      </c>
      <c r="CO494" s="1111">
        <f t="shared" si="1776"/>
        <v>0.7</v>
      </c>
      <c r="CP494" s="1111">
        <f t="shared" si="1776"/>
        <v>0.7</v>
      </c>
      <c r="CQ494" s="1111" t="str">
        <f t="shared" si="1776"/>
        <v/>
      </c>
      <c r="CR494" s="1111" t="str">
        <f t="shared" si="1776"/>
        <v/>
      </c>
      <c r="CS494" s="1110" t="str">
        <f t="shared" si="1776"/>
        <v/>
      </c>
      <c r="CT494" s="1113" t="str">
        <f t="shared" ref="CE494:CT499" si="17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7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7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7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7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7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7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7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7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7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7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7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7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7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7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7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7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7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795">COUNT(B494:R494)</f>
        <v>9</v>
      </c>
      <c r="DM494" s="66">
        <f t="shared" ref="DM494:DM519" si="1796">COUNT(T494:AJ494)</f>
        <v>9</v>
      </c>
      <c r="DN494" s="66">
        <f t="shared" ref="DN494:DN519" si="1797">COUNT(AL494:BB494)</f>
        <v>9</v>
      </c>
      <c r="DO494" s="66">
        <f t="shared" ref="DO494:DO519" si="1798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541"/>
        <v/>
      </c>
      <c r="CA495" s="373" t="str">
        <f t="shared" si="1542"/>
        <v/>
      </c>
      <c r="CB495" s="373">
        <f t="shared" si="1543"/>
        <v>8.8000000000000007</v>
      </c>
      <c r="CC495" s="462">
        <f t="shared" si="1544"/>
        <v>8.6</v>
      </c>
      <c r="CD495" s="1109" t="str">
        <f t="shared" ref="CD495:CD525" si="17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0" t="str">
        <f t="shared" si="1777"/>
        <v/>
      </c>
      <c r="CF495" s="1111" t="str">
        <f t="shared" si="1777"/>
        <v/>
      </c>
      <c r="CG495" s="1111" t="str">
        <f t="shared" si="1777"/>
        <v/>
      </c>
      <c r="CH495" s="1111" t="str">
        <f t="shared" si="1777"/>
        <v/>
      </c>
      <c r="CI495" s="1111" t="str">
        <f t="shared" si="1777"/>
        <v/>
      </c>
      <c r="CJ495" s="1111" t="str">
        <f t="shared" si="1777"/>
        <v/>
      </c>
      <c r="CK495" s="1112" t="str">
        <f t="shared" si="1777"/>
        <v/>
      </c>
      <c r="CL495" s="1112" t="str">
        <f t="shared" si="1777"/>
        <v/>
      </c>
      <c r="CM495" s="1112" t="str">
        <f t="shared" si="1777"/>
        <v/>
      </c>
      <c r="CN495" s="1111" t="str">
        <f t="shared" si="1777"/>
        <v/>
      </c>
      <c r="CO495" s="1111" t="str">
        <f t="shared" si="1777"/>
        <v/>
      </c>
      <c r="CP495" s="1111" t="str">
        <f t="shared" si="1777"/>
        <v/>
      </c>
      <c r="CQ495" s="1111" t="str">
        <f t="shared" si="1777"/>
        <v/>
      </c>
      <c r="CR495" s="1111" t="str">
        <f t="shared" si="1777"/>
        <v/>
      </c>
      <c r="CS495" s="1110" t="str">
        <f t="shared" si="1777"/>
        <v/>
      </c>
      <c r="CT495" s="1113" t="str">
        <f t="shared" si="1777"/>
        <v/>
      </c>
      <c r="CU495" s="324" t="str">
        <f t="shared" si="1778"/>
        <v/>
      </c>
      <c r="CV495" s="325" t="str">
        <f t="shared" si="1779"/>
        <v/>
      </c>
      <c r="CW495" s="326" t="str">
        <f t="shared" si="1780"/>
        <v/>
      </c>
      <c r="CX495" s="326" t="str">
        <f t="shared" si="1781"/>
        <v/>
      </c>
      <c r="CY495" s="326" t="str">
        <f t="shared" si="1782"/>
        <v/>
      </c>
      <c r="CZ495" s="326" t="str">
        <f t="shared" si="1783"/>
        <v/>
      </c>
      <c r="DA495" s="326" t="str">
        <f t="shared" si="1784"/>
        <v/>
      </c>
      <c r="DB495" s="327" t="str">
        <f t="shared" si="1785"/>
        <v/>
      </c>
      <c r="DC495" s="327">
        <f t="shared" si="1786"/>
        <v>16</v>
      </c>
      <c r="DD495" s="327" t="str">
        <f t="shared" si="1787"/>
        <v/>
      </c>
      <c r="DE495" s="326" t="str">
        <f t="shared" si="1788"/>
        <v/>
      </c>
      <c r="DF495" s="326" t="str">
        <f t="shared" si="1789"/>
        <v/>
      </c>
      <c r="DG495" s="326" t="str">
        <f t="shared" si="1790"/>
        <v/>
      </c>
      <c r="DH495" s="326" t="str">
        <f t="shared" si="1791"/>
        <v/>
      </c>
      <c r="DI495" s="326" t="str">
        <f t="shared" si="1792"/>
        <v/>
      </c>
      <c r="DJ495" s="325" t="str">
        <f t="shared" si="1793"/>
        <v/>
      </c>
      <c r="DK495" s="324" t="str">
        <f t="shared" si="1794"/>
        <v/>
      </c>
      <c r="DL495" s="428">
        <f t="shared" si="1795"/>
        <v>0</v>
      </c>
      <c r="DM495" s="66">
        <f t="shared" si="1796"/>
        <v>1</v>
      </c>
      <c r="DN495" s="66">
        <f t="shared" si="1797"/>
        <v>7</v>
      </c>
      <c r="DO495" s="66">
        <f t="shared" si="1798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541"/>
        <v/>
      </c>
      <c r="CA496" s="373" t="str">
        <f t="shared" si="1542"/>
        <v/>
      </c>
      <c r="CB496" s="373">
        <f t="shared" si="1543"/>
        <v>5.6</v>
      </c>
      <c r="CC496" s="462">
        <f t="shared" si="1544"/>
        <v>6.4</v>
      </c>
      <c r="CD496" s="1109" t="str">
        <f t="shared" si="1799"/>
        <v/>
      </c>
      <c r="CE496" s="1110" t="str">
        <f t="shared" si="1777"/>
        <v/>
      </c>
      <c r="CF496" s="1111" t="str">
        <f t="shared" si="1777"/>
        <v/>
      </c>
      <c r="CG496" s="1111" t="str">
        <f t="shared" si="1777"/>
        <v/>
      </c>
      <c r="CH496" s="1111" t="str">
        <f t="shared" si="1777"/>
        <v/>
      </c>
      <c r="CI496" s="1111" t="str">
        <f t="shared" si="1777"/>
        <v/>
      </c>
      <c r="CJ496" s="1111" t="str">
        <f t="shared" si="1777"/>
        <v/>
      </c>
      <c r="CK496" s="1112" t="str">
        <f t="shared" si="1777"/>
        <v/>
      </c>
      <c r="CL496" s="1112" t="str">
        <f t="shared" si="1777"/>
        <v/>
      </c>
      <c r="CM496" s="1112" t="str">
        <f t="shared" si="1777"/>
        <v/>
      </c>
      <c r="CN496" s="1111" t="str">
        <f t="shared" si="1777"/>
        <v/>
      </c>
      <c r="CO496" s="1111" t="str">
        <f t="shared" si="1777"/>
        <v/>
      </c>
      <c r="CP496" s="1111" t="str">
        <f t="shared" si="1777"/>
        <v/>
      </c>
      <c r="CQ496" s="1111" t="str">
        <f t="shared" si="1777"/>
        <v/>
      </c>
      <c r="CR496" s="1111" t="str">
        <f t="shared" si="1777"/>
        <v/>
      </c>
      <c r="CS496" s="1110" t="str">
        <f t="shared" si="1777"/>
        <v/>
      </c>
      <c r="CT496" s="1113" t="str">
        <f t="shared" si="1777"/>
        <v/>
      </c>
      <c r="CU496" s="324" t="str">
        <f t="shared" si="1778"/>
        <v/>
      </c>
      <c r="CV496" s="325" t="str">
        <f t="shared" si="1779"/>
        <v/>
      </c>
      <c r="CW496" s="326" t="str">
        <f t="shared" si="1780"/>
        <v/>
      </c>
      <c r="CX496" s="326" t="str">
        <f t="shared" si="1781"/>
        <v/>
      </c>
      <c r="CY496" s="326" t="str">
        <f t="shared" si="1782"/>
        <v/>
      </c>
      <c r="CZ496" s="326" t="str">
        <f t="shared" si="1783"/>
        <v/>
      </c>
      <c r="DA496" s="326" t="str">
        <f t="shared" si="1784"/>
        <v/>
      </c>
      <c r="DB496" s="327" t="str">
        <f t="shared" si="1785"/>
        <v/>
      </c>
      <c r="DC496" s="327">
        <f t="shared" si="1786"/>
        <v>3</v>
      </c>
      <c r="DD496" s="327" t="str">
        <f t="shared" si="1787"/>
        <v/>
      </c>
      <c r="DE496" s="326" t="str">
        <f t="shared" si="1788"/>
        <v/>
      </c>
      <c r="DF496" s="326" t="str">
        <f t="shared" si="1789"/>
        <v/>
      </c>
      <c r="DG496" s="326" t="str">
        <f t="shared" si="1790"/>
        <v/>
      </c>
      <c r="DH496" s="326" t="str">
        <f t="shared" si="1791"/>
        <v/>
      </c>
      <c r="DI496" s="326" t="str">
        <f t="shared" si="1792"/>
        <v/>
      </c>
      <c r="DJ496" s="325" t="str">
        <f t="shared" si="1793"/>
        <v/>
      </c>
      <c r="DK496" s="324" t="str">
        <f t="shared" si="1794"/>
        <v/>
      </c>
      <c r="DL496" s="428">
        <f t="shared" si="1795"/>
        <v>0</v>
      </c>
      <c r="DM496" s="66">
        <f t="shared" si="1796"/>
        <v>1</v>
      </c>
      <c r="DN496" s="66">
        <f t="shared" si="1797"/>
        <v>7</v>
      </c>
      <c r="DO496" s="66">
        <f t="shared" si="1798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800">IF(B495="","",B494*B495*B496)</f>
        <v/>
      </c>
      <c r="C497" s="405" t="str">
        <f t="shared" si="1800"/>
        <v/>
      </c>
      <c r="D497" s="405" t="str">
        <f t="shared" si="1800"/>
        <v/>
      </c>
      <c r="E497" s="405" t="str">
        <f t="shared" si="1800"/>
        <v/>
      </c>
      <c r="F497" s="405" t="str">
        <f t="shared" si="1800"/>
        <v/>
      </c>
      <c r="G497" s="405" t="str">
        <f t="shared" si="1800"/>
        <v/>
      </c>
      <c r="H497" s="405" t="str">
        <f t="shared" si="1800"/>
        <v/>
      </c>
      <c r="I497" s="405" t="str">
        <f t="shared" si="1800"/>
        <v/>
      </c>
      <c r="J497" s="405" t="str">
        <f t="shared" si="1800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801">IF(T495="","",T494*T495*T496)</f>
        <v>33.599999999999994</v>
      </c>
      <c r="U497" s="405" t="str">
        <f t="shared" si="1801"/>
        <v/>
      </c>
      <c r="V497" s="405" t="str">
        <f t="shared" si="1801"/>
        <v/>
      </c>
      <c r="W497" s="405" t="str">
        <f t="shared" si="1801"/>
        <v/>
      </c>
      <c r="X497" s="405" t="str">
        <f t="shared" si="1801"/>
        <v/>
      </c>
      <c r="Y497" s="405" t="str">
        <f t="shared" si="1801"/>
        <v/>
      </c>
      <c r="Z497" s="405" t="str">
        <f t="shared" si="1801"/>
        <v/>
      </c>
      <c r="AA497" s="405" t="str">
        <f t="shared" si="1801"/>
        <v/>
      </c>
      <c r="AB497" s="405" t="str">
        <f t="shared" si="1801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802">IF(AL495="","",AL494*AL495*AL496)</f>
        <v>100.79999999999998</v>
      </c>
      <c r="AM497" s="405">
        <f t="shared" si="1802"/>
        <v>16.799999999999997</v>
      </c>
      <c r="AN497" s="405">
        <v>6</v>
      </c>
      <c r="AO497" s="405" t="str">
        <f t="shared" si="1802"/>
        <v/>
      </c>
      <c r="AP497" s="405">
        <f t="shared" si="1802"/>
        <v>11.2</v>
      </c>
      <c r="AQ497" s="405">
        <f t="shared" si="1802"/>
        <v>8.3999999999999986</v>
      </c>
      <c r="AR497" s="405" t="str">
        <f t="shared" si="1802"/>
        <v/>
      </c>
      <c r="AS497" s="405">
        <f t="shared" si="1802"/>
        <v>67.199999999999989</v>
      </c>
      <c r="AT497" s="405">
        <f t="shared" si="1802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803">IF(BD495="","",BD494*BD495*BD496)</f>
        <v>12.599999999999998</v>
      </c>
      <c r="BE497" s="405">
        <f t="shared" si="1803"/>
        <v>67.199999999999989</v>
      </c>
      <c r="BF497" s="405">
        <f t="shared" si="1803"/>
        <v>5.6</v>
      </c>
      <c r="BG497" s="405" t="str">
        <f t="shared" si="1803"/>
        <v/>
      </c>
      <c r="BH497" s="405">
        <f t="shared" si="1803"/>
        <v>67.199999999999989</v>
      </c>
      <c r="BI497" s="405">
        <f t="shared" si="1803"/>
        <v>8.3999999999999986</v>
      </c>
      <c r="BJ497" s="405">
        <f t="shared" si="1803"/>
        <v>201.59999999999997</v>
      </c>
      <c r="BK497" s="405">
        <f t="shared" si="1803"/>
        <v>73.5</v>
      </c>
      <c r="BL497" s="405" t="str">
        <f t="shared" si="1803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541"/>
        <v/>
      </c>
      <c r="CA497" s="373" t="str">
        <f t="shared" si="1542"/>
        <v/>
      </c>
      <c r="CB497" s="373">
        <f t="shared" si="1543"/>
        <v>28.559999999999995</v>
      </c>
      <c r="CC497" s="462">
        <f t="shared" si="1544"/>
        <v>45.779999999999987</v>
      </c>
      <c r="CD497" s="1109" t="str">
        <f t="shared" si="1799"/>
        <v/>
      </c>
      <c r="CE497" s="1110" t="str">
        <f t="shared" si="1777"/>
        <v/>
      </c>
      <c r="CF497" s="1111" t="str">
        <f t="shared" si="1777"/>
        <v/>
      </c>
      <c r="CG497" s="1111" t="str">
        <f t="shared" si="1777"/>
        <v/>
      </c>
      <c r="CH497" s="1111" t="str">
        <f t="shared" si="1777"/>
        <v/>
      </c>
      <c r="CI497" s="1111" t="str">
        <f t="shared" si="1777"/>
        <v/>
      </c>
      <c r="CJ497" s="1111" t="str">
        <f t="shared" si="1777"/>
        <v/>
      </c>
      <c r="CK497" s="1112" t="str">
        <f t="shared" si="1777"/>
        <v/>
      </c>
      <c r="CL497" s="1112" t="str">
        <f t="shared" si="1777"/>
        <v/>
      </c>
      <c r="CM497" s="1112" t="str">
        <f t="shared" si="1777"/>
        <v/>
      </c>
      <c r="CN497" s="1111" t="str">
        <f t="shared" si="1777"/>
        <v/>
      </c>
      <c r="CO497" s="1111" t="str">
        <f t="shared" si="1777"/>
        <v/>
      </c>
      <c r="CP497" s="1111" t="str">
        <f t="shared" si="1777"/>
        <v/>
      </c>
      <c r="CQ497" s="1111" t="str">
        <f t="shared" si="1777"/>
        <v/>
      </c>
      <c r="CR497" s="1111" t="str">
        <f t="shared" si="1777"/>
        <v/>
      </c>
      <c r="CS497" s="1110" t="str">
        <f t="shared" si="1777"/>
        <v/>
      </c>
      <c r="CT497" s="1113" t="str">
        <f t="shared" si="1777"/>
        <v/>
      </c>
      <c r="CU497" s="324" t="str">
        <f t="shared" si="1778"/>
        <v/>
      </c>
      <c r="CV497" s="325" t="str">
        <f t="shared" si="1779"/>
        <v/>
      </c>
      <c r="CW497" s="326" t="str">
        <f t="shared" si="1780"/>
        <v/>
      </c>
      <c r="CX497" s="326" t="str">
        <f t="shared" si="1781"/>
        <v/>
      </c>
      <c r="CY497" s="326" t="str">
        <f t="shared" si="1782"/>
        <v/>
      </c>
      <c r="CZ497" s="326" t="str">
        <f t="shared" si="1783"/>
        <v/>
      </c>
      <c r="DA497" s="326" t="str">
        <f t="shared" si="1784"/>
        <v/>
      </c>
      <c r="DB497" s="327" t="str">
        <f t="shared" si="1785"/>
        <v/>
      </c>
      <c r="DC497" s="327">
        <f t="shared" si="1786"/>
        <v>33.599999999999994</v>
      </c>
      <c r="DD497" s="327" t="str">
        <f t="shared" si="1787"/>
        <v/>
      </c>
      <c r="DE497" s="326" t="str">
        <f t="shared" si="1788"/>
        <v/>
      </c>
      <c r="DF497" s="326" t="str">
        <f t="shared" si="1789"/>
        <v/>
      </c>
      <c r="DG497" s="326" t="str">
        <f t="shared" si="1790"/>
        <v/>
      </c>
      <c r="DH497" s="326" t="str">
        <f t="shared" si="1791"/>
        <v/>
      </c>
      <c r="DI497" s="326" t="str">
        <f t="shared" si="1792"/>
        <v/>
      </c>
      <c r="DJ497" s="325" t="str">
        <f t="shared" si="1793"/>
        <v/>
      </c>
      <c r="DK497" s="324" t="str">
        <f t="shared" si="1794"/>
        <v/>
      </c>
      <c r="DL497" s="428">
        <f t="shared" si="1795"/>
        <v>0</v>
      </c>
      <c r="DM497" s="66">
        <f t="shared" si="1796"/>
        <v>1</v>
      </c>
      <c r="DN497" s="66">
        <f t="shared" si="1797"/>
        <v>7</v>
      </c>
      <c r="DO497" s="66">
        <f t="shared" si="1798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804">2640*$K$1</f>
        <v>2640</v>
      </c>
      <c r="D498" s="536">
        <f t="shared" si="1804"/>
        <v>2640</v>
      </c>
      <c r="E498" s="536">
        <f t="shared" si="1804"/>
        <v>2640</v>
      </c>
      <c r="F498" s="536">
        <f t="shared" si="1804"/>
        <v>2640</v>
      </c>
      <c r="G498" s="536">
        <f t="shared" si="1804"/>
        <v>2640</v>
      </c>
      <c r="H498" s="536">
        <f t="shared" si="1804"/>
        <v>2640</v>
      </c>
      <c r="I498" s="536">
        <f t="shared" si="1804"/>
        <v>2640</v>
      </c>
      <c r="J498" s="536">
        <f t="shared" si="1804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805">2640*$K$1</f>
        <v>2640</v>
      </c>
      <c r="V498" s="536">
        <f t="shared" si="1805"/>
        <v>2640</v>
      </c>
      <c r="W498" s="536">
        <f t="shared" si="1805"/>
        <v>2640</v>
      </c>
      <c r="X498" s="536">
        <f t="shared" si="1805"/>
        <v>2640</v>
      </c>
      <c r="Y498" s="536">
        <f t="shared" si="1805"/>
        <v>2640</v>
      </c>
      <c r="Z498" s="536">
        <f t="shared" si="1805"/>
        <v>2640</v>
      </c>
      <c r="AA498" s="536">
        <f t="shared" si="1805"/>
        <v>2640</v>
      </c>
      <c r="AB498" s="536">
        <f t="shared" si="1805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806">2640*$K$1</f>
        <v>2640</v>
      </c>
      <c r="AN498" s="536">
        <f t="shared" si="1806"/>
        <v>2640</v>
      </c>
      <c r="AO498" s="536">
        <f t="shared" si="1806"/>
        <v>2640</v>
      </c>
      <c r="AP498" s="536">
        <f t="shared" si="1806"/>
        <v>2640</v>
      </c>
      <c r="AQ498" s="536">
        <f t="shared" si="1806"/>
        <v>2640</v>
      </c>
      <c r="AR498" s="536">
        <f t="shared" si="1806"/>
        <v>2640</v>
      </c>
      <c r="AS498" s="536">
        <f t="shared" si="1806"/>
        <v>2640</v>
      </c>
      <c r="AT498" s="536">
        <f t="shared" si="1806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807">2640*$K$1</f>
        <v>2640</v>
      </c>
      <c r="BF498" s="536">
        <f t="shared" si="1807"/>
        <v>2640</v>
      </c>
      <c r="BG498" s="536">
        <f t="shared" si="1807"/>
        <v>2640</v>
      </c>
      <c r="BH498" s="536">
        <f t="shared" si="1807"/>
        <v>2640</v>
      </c>
      <c r="BI498" s="536">
        <f t="shared" si="1807"/>
        <v>2640</v>
      </c>
      <c r="BJ498" s="536">
        <f t="shared" si="1807"/>
        <v>2640</v>
      </c>
      <c r="BK498" s="536">
        <f t="shared" si="1807"/>
        <v>2640</v>
      </c>
      <c r="BL498" s="536">
        <f t="shared" si="1807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807"/>
        <v>2640</v>
      </c>
      <c r="BW498" s="536">
        <f t="shared" si="1807"/>
        <v>2640</v>
      </c>
      <c r="BX498" s="536">
        <f t="shared" si="1807"/>
        <v>2640</v>
      </c>
      <c r="BY498" s="536">
        <f t="shared" si="1807"/>
        <v>2640</v>
      </c>
      <c r="BZ498" s="373">
        <f t="shared" si="1541"/>
        <v>2640</v>
      </c>
      <c r="CA498" s="373">
        <f t="shared" si="1542"/>
        <v>2640</v>
      </c>
      <c r="CB498" s="373">
        <f t="shared" si="1543"/>
        <v>2640</v>
      </c>
      <c r="CC498" s="462">
        <f t="shared" si="1544"/>
        <v>2640</v>
      </c>
      <c r="CD498" s="1109" t="str">
        <f t="shared" si="1799"/>
        <v/>
      </c>
      <c r="CE498" s="1110" t="str">
        <f t="shared" si="1777"/>
        <v/>
      </c>
      <c r="CF498" s="1111" t="str">
        <f t="shared" si="1777"/>
        <v/>
      </c>
      <c r="CG498" s="1111" t="str">
        <f t="shared" si="1777"/>
        <v/>
      </c>
      <c r="CH498" s="1111">
        <f t="shared" si="1777"/>
        <v>2640</v>
      </c>
      <c r="CI498" s="1111">
        <f t="shared" si="1777"/>
        <v>2640</v>
      </c>
      <c r="CJ498" s="1111">
        <f t="shared" si="1777"/>
        <v>2640</v>
      </c>
      <c r="CK498" s="1112">
        <f t="shared" si="1777"/>
        <v>2640</v>
      </c>
      <c r="CL498" s="1112">
        <f t="shared" si="1777"/>
        <v>2640</v>
      </c>
      <c r="CM498" s="1112">
        <f t="shared" si="1777"/>
        <v>2640</v>
      </c>
      <c r="CN498" s="1111">
        <f t="shared" si="1777"/>
        <v>2640</v>
      </c>
      <c r="CO498" s="1111">
        <f t="shared" si="1777"/>
        <v>2640</v>
      </c>
      <c r="CP498" s="1111">
        <f t="shared" si="1777"/>
        <v>2640</v>
      </c>
      <c r="CQ498" s="1111" t="str">
        <f t="shared" si="1777"/>
        <v/>
      </c>
      <c r="CR498" s="1111" t="str">
        <f t="shared" si="1777"/>
        <v/>
      </c>
      <c r="CS498" s="1110" t="str">
        <f t="shared" si="1777"/>
        <v/>
      </c>
      <c r="CT498" s="1113" t="str">
        <f t="shared" si="1777"/>
        <v/>
      </c>
      <c r="CU498" s="324" t="str">
        <f t="shared" si="1778"/>
        <v/>
      </c>
      <c r="CV498" s="325" t="str">
        <f t="shared" si="1779"/>
        <v/>
      </c>
      <c r="CW498" s="326" t="str">
        <f t="shared" si="1780"/>
        <v/>
      </c>
      <c r="CX498" s="326" t="str">
        <f t="shared" si="1781"/>
        <v/>
      </c>
      <c r="CY498" s="326">
        <f t="shared" si="1782"/>
        <v>2640</v>
      </c>
      <c r="CZ498" s="326">
        <f t="shared" si="1783"/>
        <v>2640</v>
      </c>
      <c r="DA498" s="326">
        <f t="shared" si="1784"/>
        <v>2640</v>
      </c>
      <c r="DB498" s="327">
        <f t="shared" si="1785"/>
        <v>2640</v>
      </c>
      <c r="DC498" s="327">
        <f t="shared" si="1786"/>
        <v>2640</v>
      </c>
      <c r="DD498" s="327">
        <f t="shared" si="1787"/>
        <v>2640</v>
      </c>
      <c r="DE498" s="326">
        <f t="shared" si="1788"/>
        <v>2640</v>
      </c>
      <c r="DF498" s="326">
        <f t="shared" si="1789"/>
        <v>2640</v>
      </c>
      <c r="DG498" s="326">
        <f t="shared" si="1790"/>
        <v>2640</v>
      </c>
      <c r="DH498" s="326" t="str">
        <f t="shared" si="1791"/>
        <v/>
      </c>
      <c r="DI498" s="326" t="str">
        <f t="shared" si="1792"/>
        <v/>
      </c>
      <c r="DJ498" s="325" t="str">
        <f t="shared" si="1793"/>
        <v/>
      </c>
      <c r="DK498" s="324" t="str">
        <f t="shared" si="1794"/>
        <v/>
      </c>
      <c r="DL498" s="428">
        <f t="shared" si="1795"/>
        <v>9</v>
      </c>
      <c r="DM498" s="66">
        <f t="shared" si="1796"/>
        <v>9</v>
      </c>
      <c r="DN498" s="66">
        <f t="shared" si="1797"/>
        <v>9</v>
      </c>
      <c r="DO498" s="66">
        <f t="shared" si="1798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808">IF(B497="","",B497*B498/B$46/365/$G$1)</f>
        <v/>
      </c>
      <c r="C499" s="408" t="str">
        <f t="shared" si="1808"/>
        <v/>
      </c>
      <c r="D499" s="408" t="str">
        <f t="shared" si="1808"/>
        <v/>
      </c>
      <c r="E499" s="408" t="str">
        <f t="shared" si="1808"/>
        <v/>
      </c>
      <c r="F499" s="408" t="str">
        <f t="shared" si="1808"/>
        <v/>
      </c>
      <c r="G499" s="408" t="str">
        <f t="shared" si="1808"/>
        <v/>
      </c>
      <c r="H499" s="408" t="str">
        <f t="shared" si="1808"/>
        <v/>
      </c>
      <c r="I499" s="408" t="str">
        <f t="shared" si="1808"/>
        <v/>
      </c>
      <c r="J499" s="408" t="str">
        <f t="shared" si="1808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809">IF(T497="","",T497*T498/T$46/365/$G$1)</f>
        <v>1.4465753424657531E-2</v>
      </c>
      <c r="U499" s="408" t="str">
        <f t="shared" si="1809"/>
        <v/>
      </c>
      <c r="V499" s="408" t="str">
        <f t="shared" si="1809"/>
        <v/>
      </c>
      <c r="W499" s="408" t="str">
        <f t="shared" si="1809"/>
        <v/>
      </c>
      <c r="X499" s="408" t="str">
        <f t="shared" si="1809"/>
        <v/>
      </c>
      <c r="Y499" s="408" t="str">
        <f t="shared" si="1809"/>
        <v/>
      </c>
      <c r="Z499" s="408" t="str">
        <f t="shared" si="1809"/>
        <v/>
      </c>
      <c r="AA499" s="408" t="str">
        <f t="shared" si="1809"/>
        <v/>
      </c>
      <c r="AB499" s="408" t="str">
        <f t="shared" si="1809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810">IF(AL497="","",AL497*AL498/AL$46/365/$G$1)</f>
        <v>3.1561643835616431E-2</v>
      </c>
      <c r="AM499" s="408">
        <f t="shared" si="1810"/>
        <v>4.8219178082191776E-3</v>
      </c>
      <c r="AN499" s="408">
        <f t="shared" si="1810"/>
        <v>2.5831702544031315E-3</v>
      </c>
      <c r="AO499" s="408" t="str">
        <f t="shared" si="1810"/>
        <v/>
      </c>
      <c r="AP499" s="408">
        <f t="shared" si="1810"/>
        <v>6.4292237442922368E-3</v>
      </c>
      <c r="AQ499" s="408">
        <f t="shared" si="1810"/>
        <v>4.8219178082191776E-3</v>
      </c>
      <c r="AR499" s="408" t="str">
        <f t="shared" si="1810"/>
        <v/>
      </c>
      <c r="AS499" s="408">
        <f t="shared" si="1810"/>
        <v>2.8931506849315062E-2</v>
      </c>
      <c r="AT499" s="408">
        <f t="shared" si="1810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811">IF(BD497="","",BD497*BD498/BD$46/365/$G$1)</f>
        <v>3.6164383561643827E-3</v>
      </c>
      <c r="BE499" s="408">
        <f t="shared" si="1811"/>
        <v>1.928767123287671E-2</v>
      </c>
      <c r="BF499" s="408">
        <f t="shared" si="1811"/>
        <v>1.9287671232876712E-3</v>
      </c>
      <c r="BG499" s="408" t="str">
        <f t="shared" si="1811"/>
        <v/>
      </c>
      <c r="BH499" s="408">
        <f t="shared" si="1811"/>
        <v>2.314520547945205E-2</v>
      </c>
      <c r="BI499" s="408">
        <f t="shared" si="1811"/>
        <v>4.1330724070450086E-3</v>
      </c>
      <c r="BJ499" s="408">
        <f t="shared" si="1811"/>
        <v>0.11572602739726025</v>
      </c>
      <c r="BK499" s="408">
        <f t="shared" si="1811"/>
        <v>2.1095890410958905E-2</v>
      </c>
      <c r="BL499" s="408" t="str">
        <f t="shared" si="1811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542"/>
        <v/>
      </c>
      <c r="CB499" s="398">
        <f t="shared" si="1543"/>
        <v>1.170118721461187E-2</v>
      </c>
      <c r="CC499" s="398">
        <f t="shared" si="1544"/>
        <v>1.4255655577299412E-2</v>
      </c>
      <c r="CD499" s="1114" t="str">
        <f t="shared" si="1799"/>
        <v/>
      </c>
      <c r="CE499" s="1115" t="str">
        <f t="shared" si="1777"/>
        <v/>
      </c>
      <c r="CF499" s="1116" t="str">
        <f t="shared" si="1777"/>
        <v/>
      </c>
      <c r="CG499" s="1116" t="str">
        <f t="shared" si="1777"/>
        <v/>
      </c>
      <c r="CH499" s="1116" t="str">
        <f t="shared" si="1777"/>
        <v/>
      </c>
      <c r="CI499" s="1116" t="str">
        <f t="shared" si="1777"/>
        <v/>
      </c>
      <c r="CJ499" s="1116" t="str">
        <f t="shared" si="1777"/>
        <v/>
      </c>
      <c r="CK499" s="1117" t="str">
        <f t="shared" si="1777"/>
        <v/>
      </c>
      <c r="CL499" s="1117" t="str">
        <f t="shared" si="1777"/>
        <v/>
      </c>
      <c r="CM499" s="1117" t="str">
        <f t="shared" si="1777"/>
        <v/>
      </c>
      <c r="CN499" s="1116" t="str">
        <f t="shared" si="1777"/>
        <v/>
      </c>
      <c r="CO499" s="1116" t="str">
        <f t="shared" si="1777"/>
        <v/>
      </c>
      <c r="CP499" s="1116" t="str">
        <f t="shared" si="1777"/>
        <v/>
      </c>
      <c r="CQ499" s="1116" t="str">
        <f t="shared" si="1777"/>
        <v/>
      </c>
      <c r="CR499" s="1116" t="str">
        <f t="shared" si="1777"/>
        <v/>
      </c>
      <c r="CS499" s="1115" t="str">
        <f t="shared" si="1777"/>
        <v/>
      </c>
      <c r="CT499" s="1118" t="str">
        <f t="shared" si="1777"/>
        <v/>
      </c>
      <c r="CU499" s="312" t="str">
        <f t="shared" si="1778"/>
        <v/>
      </c>
      <c r="CV499" s="313" t="str">
        <f t="shared" si="1779"/>
        <v/>
      </c>
      <c r="CW499" s="314" t="str">
        <f t="shared" si="1780"/>
        <v/>
      </c>
      <c r="CX499" s="314" t="str">
        <f t="shared" si="1781"/>
        <v/>
      </c>
      <c r="CY499" s="314" t="str">
        <f t="shared" si="1782"/>
        <v/>
      </c>
      <c r="CZ499" s="314" t="str">
        <f t="shared" si="1783"/>
        <v/>
      </c>
      <c r="DA499" s="314" t="str">
        <f t="shared" si="1784"/>
        <v/>
      </c>
      <c r="DB499" s="315" t="str">
        <f t="shared" si="1785"/>
        <v/>
      </c>
      <c r="DC499" s="315">
        <f t="shared" si="1786"/>
        <v>1.4465753424657531E-2</v>
      </c>
      <c r="DD499" s="315" t="str">
        <f t="shared" si="1787"/>
        <v/>
      </c>
      <c r="DE499" s="314" t="str">
        <f t="shared" si="1788"/>
        <v/>
      </c>
      <c r="DF499" s="314" t="str">
        <f t="shared" si="1789"/>
        <v/>
      </c>
      <c r="DG499" s="314" t="str">
        <f t="shared" si="1790"/>
        <v/>
      </c>
      <c r="DH499" s="314" t="str">
        <f t="shared" si="1791"/>
        <v/>
      </c>
      <c r="DI499" s="314" t="str">
        <f t="shared" si="1792"/>
        <v/>
      </c>
      <c r="DJ499" s="313" t="str">
        <f t="shared" si="1793"/>
        <v/>
      </c>
      <c r="DK499" s="312" t="str">
        <f t="shared" si="1794"/>
        <v/>
      </c>
      <c r="DL499" s="428">
        <f t="shared" si="1795"/>
        <v>0</v>
      </c>
      <c r="DM499" s="66">
        <f t="shared" si="1796"/>
        <v>1</v>
      </c>
      <c r="DN499" s="66">
        <f t="shared" si="1797"/>
        <v>7</v>
      </c>
      <c r="DO499" s="66">
        <f t="shared" si="1798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541"/>
        <v/>
      </c>
      <c r="CA500" s="373" t="str">
        <f t="shared" si="1542"/>
        <v/>
      </c>
      <c r="CB500" s="373">
        <f t="shared" si="1543"/>
        <v>5.5200000000000005</v>
      </c>
      <c r="CC500" s="462">
        <f t="shared" si="1544"/>
        <v>3.9199999999999995</v>
      </c>
      <c r="CD500" s="1109" t="str">
        <f t="shared" si="1799"/>
        <v/>
      </c>
      <c r="CE500" s="1110" t="str">
        <f t="shared" ref="CE500:CS500" si="18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1" t="str">
        <f t="shared" si="1812"/>
        <v/>
      </c>
      <c r="CG500" s="1111" t="str">
        <f t="shared" si="1812"/>
        <v/>
      </c>
      <c r="CH500" s="1111" t="str">
        <f t="shared" si="1812"/>
        <v/>
      </c>
      <c r="CI500" s="1111" t="str">
        <f t="shared" si="1812"/>
        <v/>
      </c>
      <c r="CJ500" s="1111" t="str">
        <f t="shared" si="1812"/>
        <v/>
      </c>
      <c r="CK500" s="1112" t="str">
        <f t="shared" si="1812"/>
        <v/>
      </c>
      <c r="CL500" s="1112" t="str">
        <f t="shared" si="1812"/>
        <v/>
      </c>
      <c r="CM500" s="1112" t="str">
        <f t="shared" si="1812"/>
        <v/>
      </c>
      <c r="CN500" s="1111" t="str">
        <f t="shared" si="1812"/>
        <v/>
      </c>
      <c r="CO500" s="1111" t="str">
        <f t="shared" si="1812"/>
        <v/>
      </c>
      <c r="CP500" s="1111" t="str">
        <f t="shared" si="1812"/>
        <v/>
      </c>
      <c r="CQ500" s="1111" t="str">
        <f t="shared" si="1812"/>
        <v/>
      </c>
      <c r="CR500" s="1111" t="str">
        <f t="shared" si="1812"/>
        <v/>
      </c>
      <c r="CS500" s="1110" t="str">
        <f t="shared" si="1812"/>
        <v/>
      </c>
      <c r="CT500" s="1113" t="str">
        <f t="shared" ref="CE500:CT505" si="18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778"/>
        <v/>
      </c>
      <c r="CV500" s="325" t="str">
        <f t="shared" si="1779"/>
        <v/>
      </c>
      <c r="CW500" s="326" t="str">
        <f t="shared" si="1780"/>
        <v/>
      </c>
      <c r="CX500" s="326" t="str">
        <f t="shared" si="1781"/>
        <v/>
      </c>
      <c r="CY500" s="326" t="str">
        <f t="shared" si="1782"/>
        <v/>
      </c>
      <c r="CZ500" s="326" t="str">
        <f t="shared" si="1783"/>
        <v/>
      </c>
      <c r="DA500" s="326" t="str">
        <f t="shared" si="1784"/>
        <v/>
      </c>
      <c r="DB500" s="327" t="str">
        <f t="shared" si="1785"/>
        <v/>
      </c>
      <c r="DC500" s="327">
        <f t="shared" si="1786"/>
        <v>0.5</v>
      </c>
      <c r="DD500" s="327" t="str">
        <f t="shared" si="1787"/>
        <v/>
      </c>
      <c r="DE500" s="326" t="str">
        <f t="shared" si="1788"/>
        <v/>
      </c>
      <c r="DF500" s="326" t="str">
        <f t="shared" si="1789"/>
        <v/>
      </c>
      <c r="DG500" s="326" t="str">
        <f t="shared" si="1790"/>
        <v/>
      </c>
      <c r="DH500" s="326" t="str">
        <f t="shared" si="1791"/>
        <v/>
      </c>
      <c r="DI500" s="326" t="str">
        <f t="shared" si="1792"/>
        <v/>
      </c>
      <c r="DJ500" s="325" t="str">
        <f t="shared" si="1793"/>
        <v/>
      </c>
      <c r="DK500" s="324" t="str">
        <f t="shared" si="1794"/>
        <v/>
      </c>
      <c r="DL500" s="428">
        <f t="shared" si="1795"/>
        <v>0</v>
      </c>
      <c r="DM500" s="66">
        <f t="shared" si="1796"/>
        <v>1</v>
      </c>
      <c r="DN500" s="66">
        <f t="shared" si="1797"/>
        <v>7</v>
      </c>
      <c r="DO500" s="66">
        <f t="shared" si="1798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814">IF(B500="","",B495*B500*B496)</f>
        <v/>
      </c>
      <c r="C501" s="405" t="str">
        <f t="shared" si="1814"/>
        <v/>
      </c>
      <c r="D501" s="405" t="str">
        <f t="shared" si="1814"/>
        <v/>
      </c>
      <c r="E501" s="405" t="str">
        <f t="shared" si="1814"/>
        <v/>
      </c>
      <c r="F501" s="405" t="str">
        <f t="shared" si="1814"/>
        <v/>
      </c>
      <c r="G501" s="405" t="str">
        <f t="shared" si="1814"/>
        <v/>
      </c>
      <c r="H501" s="405" t="str">
        <f t="shared" si="1814"/>
        <v/>
      </c>
      <c r="I501" s="405" t="str">
        <f t="shared" si="1814"/>
        <v/>
      </c>
      <c r="J501" s="405" t="str">
        <f t="shared" si="1814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815">IF(T500="","",T495*T500*T496)</f>
        <v>24</v>
      </c>
      <c r="U501" s="405" t="str">
        <f t="shared" si="1815"/>
        <v/>
      </c>
      <c r="V501" s="405" t="str">
        <f t="shared" si="1815"/>
        <v/>
      </c>
      <c r="W501" s="405" t="str">
        <f t="shared" si="1815"/>
        <v/>
      </c>
      <c r="X501" s="405" t="str">
        <f t="shared" si="1815"/>
        <v/>
      </c>
      <c r="Y501" s="405" t="str">
        <f t="shared" si="1815"/>
        <v/>
      </c>
      <c r="Z501" s="405" t="str">
        <f t="shared" si="1815"/>
        <v/>
      </c>
      <c r="AA501" s="405" t="str">
        <f t="shared" si="1815"/>
        <v/>
      </c>
      <c r="AB501" s="405" t="str">
        <f t="shared" si="1815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816">IF(AL500="","",AL495*AL500*AL496)</f>
        <v>1080</v>
      </c>
      <c r="AM501" s="405">
        <f t="shared" si="1816"/>
        <v>96</v>
      </c>
      <c r="AN501" s="405">
        <f t="shared" si="1816"/>
        <v>72</v>
      </c>
      <c r="AO501" s="405" t="str">
        <f t="shared" si="1816"/>
        <v/>
      </c>
      <c r="AP501" s="405">
        <f t="shared" si="1816"/>
        <v>105.6</v>
      </c>
      <c r="AQ501" s="405">
        <f t="shared" si="1816"/>
        <v>60</v>
      </c>
      <c r="AR501" s="405" t="str">
        <f t="shared" si="1816"/>
        <v/>
      </c>
      <c r="AS501" s="405">
        <f t="shared" si="1816"/>
        <v>576</v>
      </c>
      <c r="AT501" s="405">
        <f t="shared" si="1816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817">IF(BD500="","",BD495*BD500*BD496)</f>
        <v>32.400000000000006</v>
      </c>
      <c r="BE501" s="405">
        <f t="shared" si="1817"/>
        <v>76.800000000000011</v>
      </c>
      <c r="BF501" s="405">
        <f t="shared" si="1817"/>
        <v>42.4</v>
      </c>
      <c r="BG501" s="405" t="str">
        <f t="shared" si="1817"/>
        <v/>
      </c>
      <c r="BH501" s="405">
        <f t="shared" si="1817"/>
        <v>960</v>
      </c>
      <c r="BI501" s="405">
        <f t="shared" si="1817"/>
        <v>120</v>
      </c>
      <c r="BJ501" s="405">
        <f t="shared" si="1817"/>
        <v>432</v>
      </c>
      <c r="BK501" s="405">
        <f t="shared" si="1817"/>
        <v>105</v>
      </c>
      <c r="BL501" s="405" t="str">
        <f t="shared" si="1817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541"/>
        <v/>
      </c>
      <c r="CA501" s="373" t="str">
        <f t="shared" si="1542"/>
        <v/>
      </c>
      <c r="CB501" s="373">
        <f t="shared" si="1543"/>
        <v>237.11999999999998</v>
      </c>
      <c r="CC501" s="462">
        <f t="shared" si="1544"/>
        <v>155.23999999999995</v>
      </c>
      <c r="CD501" s="1109" t="str">
        <f t="shared" si="1799"/>
        <v/>
      </c>
      <c r="CE501" s="1110" t="str">
        <f t="shared" si="1813"/>
        <v/>
      </c>
      <c r="CF501" s="1111" t="str">
        <f t="shared" si="1813"/>
        <v/>
      </c>
      <c r="CG501" s="1111" t="str">
        <f t="shared" si="1813"/>
        <v/>
      </c>
      <c r="CH501" s="1111" t="str">
        <f t="shared" si="1813"/>
        <v/>
      </c>
      <c r="CI501" s="1111" t="str">
        <f t="shared" si="1813"/>
        <v/>
      </c>
      <c r="CJ501" s="1111" t="str">
        <f t="shared" si="1813"/>
        <v/>
      </c>
      <c r="CK501" s="1112" t="str">
        <f t="shared" si="1813"/>
        <v/>
      </c>
      <c r="CL501" s="1112" t="str">
        <f t="shared" si="1813"/>
        <v/>
      </c>
      <c r="CM501" s="1112" t="str">
        <f t="shared" si="1813"/>
        <v/>
      </c>
      <c r="CN501" s="1111" t="str">
        <f t="shared" si="1813"/>
        <v/>
      </c>
      <c r="CO501" s="1111" t="str">
        <f t="shared" si="1813"/>
        <v/>
      </c>
      <c r="CP501" s="1111" t="str">
        <f t="shared" si="1813"/>
        <v/>
      </c>
      <c r="CQ501" s="1111" t="str">
        <f t="shared" si="1813"/>
        <v/>
      </c>
      <c r="CR501" s="1111" t="str">
        <f t="shared" si="1813"/>
        <v/>
      </c>
      <c r="CS501" s="1110" t="str">
        <f t="shared" si="1813"/>
        <v/>
      </c>
      <c r="CT501" s="1113" t="str">
        <f t="shared" si="1813"/>
        <v/>
      </c>
      <c r="CU501" s="324" t="str">
        <f t="shared" si="1778"/>
        <v/>
      </c>
      <c r="CV501" s="325" t="str">
        <f t="shared" si="1779"/>
        <v/>
      </c>
      <c r="CW501" s="326" t="str">
        <f t="shared" si="1780"/>
        <v/>
      </c>
      <c r="CX501" s="326" t="str">
        <f t="shared" si="1781"/>
        <v/>
      </c>
      <c r="CY501" s="326" t="str">
        <f t="shared" si="1782"/>
        <v/>
      </c>
      <c r="CZ501" s="326" t="str">
        <f t="shared" si="1783"/>
        <v/>
      </c>
      <c r="DA501" s="326" t="str">
        <f t="shared" si="1784"/>
        <v/>
      </c>
      <c r="DB501" s="327" t="str">
        <f t="shared" si="1785"/>
        <v/>
      </c>
      <c r="DC501" s="327">
        <f t="shared" si="1786"/>
        <v>24</v>
      </c>
      <c r="DD501" s="327" t="str">
        <f t="shared" si="1787"/>
        <v/>
      </c>
      <c r="DE501" s="326" t="str">
        <f t="shared" si="1788"/>
        <v/>
      </c>
      <c r="DF501" s="326" t="str">
        <f t="shared" si="1789"/>
        <v/>
      </c>
      <c r="DG501" s="326" t="str">
        <f t="shared" si="1790"/>
        <v/>
      </c>
      <c r="DH501" s="326" t="str">
        <f t="shared" si="1791"/>
        <v/>
      </c>
      <c r="DI501" s="326" t="str">
        <f t="shared" si="1792"/>
        <v/>
      </c>
      <c r="DJ501" s="325" t="str">
        <f t="shared" si="1793"/>
        <v/>
      </c>
      <c r="DK501" s="324" t="str">
        <f t="shared" si="1794"/>
        <v/>
      </c>
      <c r="DL501" s="428">
        <f t="shared" si="1795"/>
        <v>0</v>
      </c>
      <c r="DM501" s="66">
        <f t="shared" si="1796"/>
        <v>1</v>
      </c>
      <c r="DN501" s="66">
        <f t="shared" si="1797"/>
        <v>7</v>
      </c>
      <c r="DO501" s="66">
        <f t="shared" si="1798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4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541"/>
        <v/>
      </c>
      <c r="CA502" s="373" t="str">
        <f t="shared" si="1542"/>
        <v/>
      </c>
      <c r="CB502" s="373" t="str">
        <f t="shared" si="1543"/>
        <v/>
      </c>
      <c r="CC502" s="462" t="str">
        <f t="shared" si="1544"/>
        <v/>
      </c>
      <c r="CD502" s="1109" t="str">
        <f t="shared" si="1799"/>
        <v/>
      </c>
      <c r="CE502" s="1110" t="str">
        <f t="shared" si="1813"/>
        <v/>
      </c>
      <c r="CF502" s="1111" t="str">
        <f t="shared" si="1813"/>
        <v/>
      </c>
      <c r="CG502" s="1111" t="str">
        <f t="shared" si="1813"/>
        <v/>
      </c>
      <c r="CH502" s="1111" t="str">
        <f t="shared" si="1813"/>
        <v/>
      </c>
      <c r="CI502" s="1111" t="str">
        <f t="shared" si="1813"/>
        <v/>
      </c>
      <c r="CJ502" s="1111" t="str">
        <f t="shared" si="1813"/>
        <v/>
      </c>
      <c r="CK502" s="1112" t="str">
        <f t="shared" si="1813"/>
        <v/>
      </c>
      <c r="CL502" s="1112">
        <f t="shared" si="1813"/>
        <v>1</v>
      </c>
      <c r="CM502" s="1112" t="str">
        <f t="shared" si="1813"/>
        <v/>
      </c>
      <c r="CN502" s="1111" t="str">
        <f t="shared" si="1813"/>
        <v/>
      </c>
      <c r="CO502" s="1111" t="str">
        <f t="shared" si="1813"/>
        <v/>
      </c>
      <c r="CP502" s="1111" t="str">
        <f t="shared" si="1813"/>
        <v/>
      </c>
      <c r="CQ502" s="1111" t="str">
        <f t="shared" si="1813"/>
        <v/>
      </c>
      <c r="CR502" s="1111" t="str">
        <f t="shared" si="1813"/>
        <v/>
      </c>
      <c r="CS502" s="1110" t="str">
        <f t="shared" si="1813"/>
        <v/>
      </c>
      <c r="CT502" s="1113" t="str">
        <f t="shared" si="1813"/>
        <v/>
      </c>
      <c r="CU502" s="324" t="str">
        <f t="shared" si="1778"/>
        <v/>
      </c>
      <c r="CV502" s="325" t="str">
        <f t="shared" si="1779"/>
        <v/>
      </c>
      <c r="CW502" s="326" t="str">
        <f t="shared" si="1780"/>
        <v/>
      </c>
      <c r="CX502" s="326" t="str">
        <f t="shared" si="1781"/>
        <v/>
      </c>
      <c r="CY502" s="326" t="str">
        <f t="shared" si="1782"/>
        <v/>
      </c>
      <c r="CZ502" s="326" t="str">
        <f t="shared" si="1783"/>
        <v/>
      </c>
      <c r="DA502" s="326" t="str">
        <f t="shared" si="1784"/>
        <v/>
      </c>
      <c r="DB502" s="327" t="str">
        <f t="shared" si="1785"/>
        <v/>
      </c>
      <c r="DC502" s="327">
        <f t="shared" si="1786"/>
        <v>5</v>
      </c>
      <c r="DD502" s="327">
        <f t="shared" si="1787"/>
        <v>10</v>
      </c>
      <c r="DE502" s="326" t="str">
        <f t="shared" si="1788"/>
        <v/>
      </c>
      <c r="DF502" s="326" t="str">
        <f t="shared" si="1789"/>
        <v/>
      </c>
      <c r="DG502" s="326" t="str">
        <f t="shared" si="1790"/>
        <v/>
      </c>
      <c r="DH502" s="326" t="str">
        <f t="shared" si="1791"/>
        <v/>
      </c>
      <c r="DI502" s="326" t="str">
        <f t="shared" si="1792"/>
        <v/>
      </c>
      <c r="DJ502" s="325" t="str">
        <f t="shared" si="1793"/>
        <v/>
      </c>
      <c r="DK502" s="324" t="str">
        <f t="shared" si="1794"/>
        <v/>
      </c>
      <c r="DL502" s="428">
        <f t="shared" si="1795"/>
        <v>1</v>
      </c>
      <c r="DM502" s="66">
        <f t="shared" si="1796"/>
        <v>2</v>
      </c>
      <c r="DN502" s="66">
        <f t="shared" si="1797"/>
        <v>2</v>
      </c>
      <c r="DO502" s="66">
        <f t="shared" si="1798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541"/>
        <v/>
      </c>
      <c r="CA503" s="373" t="str">
        <f t="shared" si="1542"/>
        <v/>
      </c>
      <c r="CB503" s="373" t="str">
        <f t="shared" si="1543"/>
        <v/>
      </c>
      <c r="CC503" s="462" t="str">
        <f t="shared" si="1544"/>
        <v/>
      </c>
      <c r="CD503" s="1109" t="str">
        <f t="shared" si="1799"/>
        <v/>
      </c>
      <c r="CE503" s="1110" t="str">
        <f t="shared" si="1813"/>
        <v/>
      </c>
      <c r="CF503" s="1111" t="str">
        <f t="shared" si="1813"/>
        <v/>
      </c>
      <c r="CG503" s="1111" t="str">
        <f t="shared" si="1813"/>
        <v/>
      </c>
      <c r="CH503" s="1111" t="str">
        <f t="shared" si="1813"/>
        <v/>
      </c>
      <c r="CI503" s="1111" t="str">
        <f t="shared" si="1813"/>
        <v/>
      </c>
      <c r="CJ503" s="1111" t="str">
        <f t="shared" si="1813"/>
        <v/>
      </c>
      <c r="CK503" s="1112" t="str">
        <f t="shared" si="1813"/>
        <v/>
      </c>
      <c r="CL503" s="1112">
        <f t="shared" si="1813"/>
        <v>60</v>
      </c>
      <c r="CM503" s="1112" t="str">
        <f t="shared" si="1813"/>
        <v/>
      </c>
      <c r="CN503" s="1111" t="str">
        <f t="shared" si="1813"/>
        <v/>
      </c>
      <c r="CO503" s="1111" t="str">
        <f t="shared" si="1813"/>
        <v/>
      </c>
      <c r="CP503" s="1111" t="str">
        <f t="shared" si="1813"/>
        <v/>
      </c>
      <c r="CQ503" s="1111" t="str">
        <f t="shared" si="1813"/>
        <v/>
      </c>
      <c r="CR503" s="1111" t="str">
        <f t="shared" si="1813"/>
        <v/>
      </c>
      <c r="CS503" s="1110" t="str">
        <f t="shared" si="1813"/>
        <v/>
      </c>
      <c r="CT503" s="1113" t="str">
        <f t="shared" si="1813"/>
        <v/>
      </c>
      <c r="CU503" s="324" t="str">
        <f t="shared" si="1778"/>
        <v/>
      </c>
      <c r="CV503" s="325" t="str">
        <f t="shared" si="1779"/>
        <v/>
      </c>
      <c r="CW503" s="326" t="str">
        <f t="shared" si="1780"/>
        <v/>
      </c>
      <c r="CX503" s="326" t="str">
        <f t="shared" si="1781"/>
        <v/>
      </c>
      <c r="CY503" s="326" t="str">
        <f t="shared" si="1782"/>
        <v/>
      </c>
      <c r="CZ503" s="326" t="str">
        <f t="shared" si="1783"/>
        <v/>
      </c>
      <c r="DA503" s="326" t="str">
        <f t="shared" si="1784"/>
        <v/>
      </c>
      <c r="DB503" s="327" t="str">
        <f t="shared" si="1785"/>
        <v/>
      </c>
      <c r="DC503" s="327">
        <f t="shared" si="1786"/>
        <v>2</v>
      </c>
      <c r="DD503" s="327">
        <f t="shared" si="1787"/>
        <v>4</v>
      </c>
      <c r="DE503" s="326" t="str">
        <f t="shared" si="1788"/>
        <v/>
      </c>
      <c r="DF503" s="326" t="str">
        <f t="shared" si="1789"/>
        <v/>
      </c>
      <c r="DG503" s="326" t="str">
        <f t="shared" si="1790"/>
        <v/>
      </c>
      <c r="DH503" s="326" t="str">
        <f t="shared" si="1791"/>
        <v/>
      </c>
      <c r="DI503" s="326" t="str">
        <f t="shared" si="1792"/>
        <v/>
      </c>
      <c r="DJ503" s="325" t="str">
        <f t="shared" si="1793"/>
        <v/>
      </c>
      <c r="DK503" s="324" t="str">
        <f t="shared" si="1794"/>
        <v/>
      </c>
      <c r="DL503" s="428">
        <f t="shared" si="1795"/>
        <v>1</v>
      </c>
      <c r="DM503" s="66">
        <f t="shared" si="1796"/>
        <v>2</v>
      </c>
      <c r="DN503" s="66">
        <f t="shared" si="1797"/>
        <v>2</v>
      </c>
      <c r="DO503" s="66">
        <f t="shared" si="1798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818">1140*$K$1</f>
        <v>1140</v>
      </c>
      <c r="D504" s="536">
        <f t="shared" si="1818"/>
        <v>1140</v>
      </c>
      <c r="E504" s="536">
        <f t="shared" si="1818"/>
        <v>1140</v>
      </c>
      <c r="F504" s="536">
        <f t="shared" si="1818"/>
        <v>1140</v>
      </c>
      <c r="G504" s="536">
        <f t="shared" si="1818"/>
        <v>1140</v>
      </c>
      <c r="H504" s="536">
        <f t="shared" si="1818"/>
        <v>1140</v>
      </c>
      <c r="I504" s="536">
        <f t="shared" si="1818"/>
        <v>1140</v>
      </c>
      <c r="J504" s="536">
        <f t="shared" si="1818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819">1140*$K$1</f>
        <v>1140</v>
      </c>
      <c r="V504" s="536">
        <f t="shared" si="1819"/>
        <v>1140</v>
      </c>
      <c r="W504" s="536">
        <f t="shared" si="1819"/>
        <v>1140</v>
      </c>
      <c r="X504" s="536">
        <f t="shared" si="1819"/>
        <v>1140</v>
      </c>
      <c r="Y504" s="536">
        <f t="shared" si="1819"/>
        <v>1140</v>
      </c>
      <c r="Z504" s="536">
        <v>1140</v>
      </c>
      <c r="AA504" s="536">
        <f t="shared" si="1819"/>
        <v>1140</v>
      </c>
      <c r="AB504" s="536">
        <f t="shared" si="1819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820">1140*$K$1</f>
        <v>1140</v>
      </c>
      <c r="AN504" s="536">
        <f t="shared" si="1820"/>
        <v>1140</v>
      </c>
      <c r="AO504" s="536">
        <f t="shared" si="1820"/>
        <v>1140</v>
      </c>
      <c r="AP504" s="536">
        <f t="shared" si="1820"/>
        <v>1140</v>
      </c>
      <c r="AQ504" s="536">
        <f t="shared" si="1820"/>
        <v>1140</v>
      </c>
      <c r="AR504" s="536">
        <f t="shared" si="1820"/>
        <v>1140</v>
      </c>
      <c r="AS504" s="536">
        <f t="shared" si="1820"/>
        <v>1140</v>
      </c>
      <c r="AT504" s="536">
        <f t="shared" si="1820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821">1140*$K$1</f>
        <v>1140</v>
      </c>
      <c r="BF504" s="536">
        <f t="shared" si="1821"/>
        <v>1140</v>
      </c>
      <c r="BG504" s="536">
        <f t="shared" si="1821"/>
        <v>1140</v>
      </c>
      <c r="BH504" s="536">
        <f t="shared" si="1821"/>
        <v>1140</v>
      </c>
      <c r="BI504" s="536">
        <f t="shared" si="1821"/>
        <v>1140</v>
      </c>
      <c r="BJ504" s="536">
        <f t="shared" si="1821"/>
        <v>1140</v>
      </c>
      <c r="BK504" s="536">
        <f t="shared" si="1821"/>
        <v>1140</v>
      </c>
      <c r="BL504" s="536">
        <f t="shared" si="1821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821"/>
        <v>1140</v>
      </c>
      <c r="BW504" s="536">
        <f t="shared" si="1821"/>
        <v>1140</v>
      </c>
      <c r="BX504" s="536">
        <f t="shared" si="1821"/>
        <v>1140</v>
      </c>
      <c r="BY504" s="536">
        <f t="shared" si="1821"/>
        <v>1140</v>
      </c>
      <c r="BZ504" s="373">
        <f t="shared" si="1541"/>
        <v>1140</v>
      </c>
      <c r="CA504" s="373">
        <f t="shared" si="1542"/>
        <v>1140</v>
      </c>
      <c r="CB504" s="373">
        <f t="shared" si="1543"/>
        <v>1140</v>
      </c>
      <c r="CC504" s="462">
        <f t="shared" si="1544"/>
        <v>1140</v>
      </c>
      <c r="CD504" s="1109" t="str">
        <f t="shared" si="1799"/>
        <v/>
      </c>
      <c r="CE504" s="1110" t="str">
        <f t="shared" si="1813"/>
        <v/>
      </c>
      <c r="CF504" s="1111" t="str">
        <f t="shared" si="1813"/>
        <v/>
      </c>
      <c r="CG504" s="1111" t="str">
        <f t="shared" si="1813"/>
        <v/>
      </c>
      <c r="CH504" s="1111">
        <f t="shared" si="1813"/>
        <v>1140</v>
      </c>
      <c r="CI504" s="1111">
        <f t="shared" si="1813"/>
        <v>1140</v>
      </c>
      <c r="CJ504" s="1111">
        <f t="shared" si="1813"/>
        <v>1140</v>
      </c>
      <c r="CK504" s="1112">
        <f t="shared" si="1813"/>
        <v>1140</v>
      </c>
      <c r="CL504" s="1112">
        <f t="shared" si="1813"/>
        <v>1140</v>
      </c>
      <c r="CM504" s="1112">
        <f t="shared" si="1813"/>
        <v>1140</v>
      </c>
      <c r="CN504" s="1111">
        <f t="shared" si="1813"/>
        <v>1140</v>
      </c>
      <c r="CO504" s="1111">
        <f t="shared" si="1813"/>
        <v>1140</v>
      </c>
      <c r="CP504" s="1111">
        <f t="shared" si="1813"/>
        <v>1140</v>
      </c>
      <c r="CQ504" s="1111" t="str">
        <f t="shared" si="1813"/>
        <v/>
      </c>
      <c r="CR504" s="1111" t="str">
        <f t="shared" si="1813"/>
        <v/>
      </c>
      <c r="CS504" s="1110" t="str">
        <f t="shared" si="1813"/>
        <v/>
      </c>
      <c r="CT504" s="1113" t="str">
        <f t="shared" si="1813"/>
        <v/>
      </c>
      <c r="CU504" s="324" t="str">
        <f t="shared" si="1778"/>
        <v/>
      </c>
      <c r="CV504" s="325" t="str">
        <f t="shared" si="1779"/>
        <v/>
      </c>
      <c r="CW504" s="326" t="str">
        <f t="shared" si="1780"/>
        <v/>
      </c>
      <c r="CX504" s="326" t="str">
        <f t="shared" si="1781"/>
        <v/>
      </c>
      <c r="CY504" s="326">
        <f t="shared" si="1782"/>
        <v>1140</v>
      </c>
      <c r="CZ504" s="326">
        <f t="shared" si="1783"/>
        <v>1140</v>
      </c>
      <c r="DA504" s="326">
        <f t="shared" si="1784"/>
        <v>1140</v>
      </c>
      <c r="DB504" s="327">
        <f t="shared" si="1785"/>
        <v>1140</v>
      </c>
      <c r="DC504" s="327">
        <f t="shared" si="1786"/>
        <v>1140</v>
      </c>
      <c r="DD504" s="327">
        <f t="shared" si="1787"/>
        <v>1140</v>
      </c>
      <c r="DE504" s="326">
        <f t="shared" si="1788"/>
        <v>1140</v>
      </c>
      <c r="DF504" s="326">
        <f t="shared" si="1789"/>
        <v>1140</v>
      </c>
      <c r="DG504" s="326">
        <f t="shared" si="1790"/>
        <v>1140</v>
      </c>
      <c r="DH504" s="326" t="str">
        <f t="shared" si="1791"/>
        <v/>
      </c>
      <c r="DI504" s="326" t="str">
        <f t="shared" si="1792"/>
        <v/>
      </c>
      <c r="DJ504" s="325" t="str">
        <f t="shared" si="1793"/>
        <v/>
      </c>
      <c r="DK504" s="324" t="str">
        <f t="shared" si="1794"/>
        <v/>
      </c>
      <c r="DL504" s="428">
        <f t="shared" si="1795"/>
        <v>9</v>
      </c>
      <c r="DM504" s="66">
        <f t="shared" si="1796"/>
        <v>9</v>
      </c>
      <c r="DN504" s="66">
        <f t="shared" si="1797"/>
        <v>9</v>
      </c>
      <c r="DO504" s="66">
        <f t="shared" si="1798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822">IF(B502="","",B502*B503*B504/B$46/365/$G$1)</f>
        <v/>
      </c>
      <c r="C505" s="540" t="str">
        <f t="shared" si="1822"/>
        <v/>
      </c>
      <c r="D505" s="540" t="str">
        <f t="shared" si="1822"/>
        <v/>
      </c>
      <c r="E505" s="540" t="str">
        <f t="shared" si="1822"/>
        <v/>
      </c>
      <c r="F505" s="540" t="str">
        <f t="shared" si="1822"/>
        <v/>
      </c>
      <c r="G505" s="540" t="str">
        <f t="shared" si="1822"/>
        <v/>
      </c>
      <c r="H505" s="540" t="str">
        <f t="shared" si="1822"/>
        <v/>
      </c>
      <c r="I505" s="540">
        <f t="shared" si="1822"/>
        <v>1.487279843444227E-2</v>
      </c>
      <c r="J505" s="540" t="str">
        <f t="shared" si="1822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823">IF(T502="","",T502*T503*T504/T$46/365/$G$1)</f>
        <v>3.7181996086105675E-3</v>
      </c>
      <c r="U505" s="408" t="str">
        <f t="shared" si="1823"/>
        <v/>
      </c>
      <c r="V505" s="408" t="str">
        <f t="shared" si="1823"/>
        <v/>
      </c>
      <c r="W505" s="408" t="str">
        <f t="shared" si="1823"/>
        <v/>
      </c>
      <c r="X505" s="408" t="str">
        <f t="shared" si="1823"/>
        <v/>
      </c>
      <c r="Y505" s="408" t="str">
        <f t="shared" si="1823"/>
        <v/>
      </c>
      <c r="Z505" s="408">
        <f t="shared" si="1823"/>
        <v>3.7181996086105675E-3</v>
      </c>
      <c r="AA505" s="408" t="str">
        <f t="shared" si="1823"/>
        <v/>
      </c>
      <c r="AB505" s="408" t="str">
        <f t="shared" si="1823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824">IF(AL502="","",AL502*AL503*AL504/AL$46/365/$G$1)</f>
        <v>2.4337306529087353E-2</v>
      </c>
      <c r="AM505" s="408" t="str">
        <f t="shared" si="1824"/>
        <v/>
      </c>
      <c r="AN505" s="408" t="str">
        <f t="shared" si="1824"/>
        <v/>
      </c>
      <c r="AO505" s="408" t="str">
        <f t="shared" si="1824"/>
        <v/>
      </c>
      <c r="AP505" s="408" t="str">
        <f t="shared" si="1824"/>
        <v/>
      </c>
      <c r="AQ505" s="408" t="str">
        <f t="shared" si="1824"/>
        <v/>
      </c>
      <c r="AR505" s="408">
        <f t="shared" si="1824"/>
        <v>3.346379647749511E-2</v>
      </c>
      <c r="AS505" s="408" t="str">
        <f t="shared" si="1824"/>
        <v/>
      </c>
      <c r="AT505" s="408" t="str">
        <f t="shared" si="1824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825">AT505</f>
        <v/>
      </c>
      <c r="BF505" s="408">
        <f t="shared" si="1825"/>
        <v>0</v>
      </c>
      <c r="BG505" s="408">
        <f t="shared" si="1825"/>
        <v>0</v>
      </c>
      <c r="BH505" s="408">
        <f t="shared" si="1825"/>
        <v>0</v>
      </c>
      <c r="BI505" s="408">
        <f t="shared" si="1825"/>
        <v>0</v>
      </c>
      <c r="BJ505" s="408">
        <f t="shared" si="1825"/>
        <v>0</v>
      </c>
      <c r="BK505" s="408">
        <f t="shared" si="1825"/>
        <v>0</v>
      </c>
      <c r="BL505" s="408">
        <f t="shared" si="1825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542"/>
        <v/>
      </c>
      <c r="CB505" s="398" t="str">
        <f t="shared" si="1543"/>
        <v/>
      </c>
      <c r="CC505" s="398">
        <f t="shared" si="1544"/>
        <v>0</v>
      </c>
      <c r="CD505" s="1114" t="str">
        <f t="shared" si="1799"/>
        <v/>
      </c>
      <c r="CE505" s="1115" t="str">
        <f t="shared" si="1813"/>
        <v/>
      </c>
      <c r="CF505" s="1116" t="str">
        <f t="shared" si="1813"/>
        <v/>
      </c>
      <c r="CG505" s="1116" t="str">
        <f t="shared" si="1813"/>
        <v/>
      </c>
      <c r="CH505" s="1116" t="str">
        <f t="shared" si="1813"/>
        <v/>
      </c>
      <c r="CI505" s="1116" t="str">
        <f t="shared" si="1813"/>
        <v/>
      </c>
      <c r="CJ505" s="1116" t="str">
        <f t="shared" si="1813"/>
        <v/>
      </c>
      <c r="CK505" s="1117" t="str">
        <f t="shared" si="1813"/>
        <v/>
      </c>
      <c r="CL505" s="1117">
        <f t="shared" si="1813"/>
        <v>1.487279843444227E-2</v>
      </c>
      <c r="CM505" s="1117" t="str">
        <f t="shared" si="1813"/>
        <v/>
      </c>
      <c r="CN505" s="1116" t="str">
        <f t="shared" si="1813"/>
        <v/>
      </c>
      <c r="CO505" s="1116" t="str">
        <f t="shared" si="1813"/>
        <v/>
      </c>
      <c r="CP505" s="1116" t="str">
        <f t="shared" si="1813"/>
        <v/>
      </c>
      <c r="CQ505" s="1116" t="str">
        <f t="shared" si="1813"/>
        <v/>
      </c>
      <c r="CR505" s="1116" t="str">
        <f t="shared" si="1813"/>
        <v/>
      </c>
      <c r="CS505" s="1115" t="str">
        <f t="shared" si="1813"/>
        <v/>
      </c>
      <c r="CT505" s="1118" t="str">
        <f t="shared" si="1813"/>
        <v/>
      </c>
      <c r="CU505" s="312" t="str">
        <f t="shared" si="1778"/>
        <v/>
      </c>
      <c r="CV505" s="313" t="str">
        <f t="shared" si="1779"/>
        <v/>
      </c>
      <c r="CW505" s="314" t="str">
        <f t="shared" si="1780"/>
        <v/>
      </c>
      <c r="CX505" s="314" t="str">
        <f t="shared" si="1781"/>
        <v/>
      </c>
      <c r="CY505" s="314" t="str">
        <f t="shared" si="1782"/>
        <v/>
      </c>
      <c r="CZ505" s="314" t="str">
        <f t="shared" si="1783"/>
        <v/>
      </c>
      <c r="DA505" s="314" t="str">
        <f t="shared" si="1784"/>
        <v/>
      </c>
      <c r="DB505" s="315" t="str">
        <f t="shared" si="1785"/>
        <v/>
      </c>
      <c r="DC505" s="315">
        <f t="shared" si="1786"/>
        <v>3.7181996086105675E-3</v>
      </c>
      <c r="DD505" s="315">
        <f t="shared" si="1787"/>
        <v>3.7181996086105675E-3</v>
      </c>
      <c r="DE505" s="314" t="str">
        <f t="shared" si="1788"/>
        <v/>
      </c>
      <c r="DF505" s="314" t="str">
        <f t="shared" si="1789"/>
        <v/>
      </c>
      <c r="DG505" s="314" t="str">
        <f t="shared" si="1790"/>
        <v/>
      </c>
      <c r="DH505" s="314" t="str">
        <f t="shared" si="1791"/>
        <v/>
      </c>
      <c r="DI505" s="314" t="str">
        <f t="shared" si="1792"/>
        <v/>
      </c>
      <c r="DJ505" s="313" t="str">
        <f t="shared" si="1793"/>
        <v/>
      </c>
      <c r="DK505" s="312" t="str">
        <f t="shared" si="1794"/>
        <v/>
      </c>
      <c r="DL505" s="428">
        <f t="shared" si="1795"/>
        <v>1</v>
      </c>
      <c r="DM505" s="66">
        <f t="shared" si="1796"/>
        <v>2</v>
      </c>
      <c r="DN505" s="66">
        <f t="shared" si="1797"/>
        <v>2</v>
      </c>
      <c r="DO505" s="66">
        <f t="shared" si="1798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541"/>
        <v/>
      </c>
      <c r="CA506" s="373" t="str">
        <f t="shared" si="1542"/>
        <v/>
      </c>
      <c r="CB506" s="373" t="str">
        <f t="shared" si="1543"/>
        <v/>
      </c>
      <c r="CC506" s="462" t="str">
        <f t="shared" si="1544"/>
        <v/>
      </c>
      <c r="CD506" s="1109" t="str">
        <f t="shared" si="1799"/>
        <v/>
      </c>
      <c r="CE506" s="1110" t="str">
        <f t="shared" ref="CE506:CS506" si="18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1" t="str">
        <f t="shared" si="1826"/>
        <v/>
      </c>
      <c r="CG506" s="1111" t="str">
        <f t="shared" si="1826"/>
        <v/>
      </c>
      <c r="CH506" s="1111" t="str">
        <f t="shared" si="1826"/>
        <v/>
      </c>
      <c r="CI506" s="1111" t="str">
        <f t="shared" si="1826"/>
        <v/>
      </c>
      <c r="CJ506" s="1111" t="str">
        <f t="shared" si="1826"/>
        <v/>
      </c>
      <c r="CK506" s="1112" t="str">
        <f t="shared" si="1826"/>
        <v/>
      </c>
      <c r="CL506" s="1112">
        <f t="shared" si="1826"/>
        <v>0.5</v>
      </c>
      <c r="CM506" s="1112" t="str">
        <f t="shared" si="1826"/>
        <v/>
      </c>
      <c r="CN506" s="1111" t="str">
        <f t="shared" si="1826"/>
        <v/>
      </c>
      <c r="CO506" s="1111" t="str">
        <f t="shared" si="1826"/>
        <v/>
      </c>
      <c r="CP506" s="1111" t="str">
        <f t="shared" si="1826"/>
        <v/>
      </c>
      <c r="CQ506" s="1111" t="str">
        <f t="shared" si="1826"/>
        <v/>
      </c>
      <c r="CR506" s="1111" t="str">
        <f t="shared" si="1826"/>
        <v/>
      </c>
      <c r="CS506" s="1110" t="str">
        <f t="shared" si="1826"/>
        <v/>
      </c>
      <c r="CT506" s="1113" t="str">
        <f t="shared" ref="CE506:CT510" si="18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78"/>
        <v/>
      </c>
      <c r="CV506" s="325" t="str">
        <f t="shared" si="1779"/>
        <v/>
      </c>
      <c r="CW506" s="326" t="str">
        <f t="shared" si="1780"/>
        <v/>
      </c>
      <c r="CX506" s="326" t="str">
        <f t="shared" si="1781"/>
        <v/>
      </c>
      <c r="CY506" s="326" t="str">
        <f t="shared" si="1782"/>
        <v/>
      </c>
      <c r="CZ506" s="326" t="str">
        <f t="shared" si="1783"/>
        <v/>
      </c>
      <c r="DA506" s="326" t="str">
        <f t="shared" si="1784"/>
        <v/>
      </c>
      <c r="DB506" s="327" t="str">
        <f t="shared" si="1785"/>
        <v/>
      </c>
      <c r="DC506" s="327">
        <f t="shared" si="1786"/>
        <v>1</v>
      </c>
      <c r="DD506" s="327">
        <f t="shared" si="1787"/>
        <v>5</v>
      </c>
      <c r="DE506" s="326" t="str">
        <f t="shared" si="1788"/>
        <v/>
      </c>
      <c r="DF506" s="326" t="str">
        <f t="shared" si="1789"/>
        <v/>
      </c>
      <c r="DG506" s="326" t="str">
        <f t="shared" si="1790"/>
        <v/>
      </c>
      <c r="DH506" s="326" t="str">
        <f t="shared" si="1791"/>
        <v/>
      </c>
      <c r="DI506" s="326" t="str">
        <f t="shared" si="1792"/>
        <v/>
      </c>
      <c r="DJ506" s="325" t="str">
        <f t="shared" si="1793"/>
        <v/>
      </c>
      <c r="DK506" s="324" t="str">
        <f t="shared" si="1794"/>
        <v/>
      </c>
      <c r="DL506" s="428">
        <f t="shared" si="1795"/>
        <v>1</v>
      </c>
      <c r="DM506" s="66">
        <f t="shared" si="1796"/>
        <v>2</v>
      </c>
      <c r="DN506" s="66">
        <f t="shared" si="1797"/>
        <v>2</v>
      </c>
      <c r="DO506" s="66">
        <f t="shared" si="1798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828">IF(D506="","",D502*D503*D506)</f>
        <v/>
      </c>
      <c r="E507" s="405" t="str">
        <f t="shared" si="1828"/>
        <v/>
      </c>
      <c r="F507" s="405" t="str">
        <f t="shared" si="1828"/>
        <v/>
      </c>
      <c r="G507" s="405" t="str">
        <f t="shared" si="1828"/>
        <v/>
      </c>
      <c r="H507" s="405" t="str">
        <f t="shared" si="1828"/>
        <v/>
      </c>
      <c r="I507" s="405">
        <f t="shared" si="1828"/>
        <v>30</v>
      </c>
      <c r="J507" s="405" t="str">
        <f t="shared" si="1828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829">IF(V506="","",V502*V503*V506)</f>
        <v/>
      </c>
      <c r="W507" s="405" t="str">
        <f t="shared" si="1829"/>
        <v/>
      </c>
      <c r="X507" s="405" t="str">
        <f t="shared" si="1829"/>
        <v/>
      </c>
      <c r="Y507" s="405" t="str">
        <f t="shared" si="1829"/>
        <v/>
      </c>
      <c r="Z507" s="405">
        <f t="shared" si="1829"/>
        <v>100</v>
      </c>
      <c r="AA507" s="405" t="str">
        <f t="shared" si="1829"/>
        <v/>
      </c>
      <c r="AB507" s="405" t="str">
        <f t="shared" si="1829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830">IF(AN506="","",AN502*AN503*AN506)</f>
        <v/>
      </c>
      <c r="AO507" s="405" t="str">
        <f t="shared" si="1830"/>
        <v/>
      </c>
      <c r="AP507" s="405" t="str">
        <f t="shared" si="1830"/>
        <v/>
      </c>
      <c r="AQ507" s="405" t="str">
        <f t="shared" si="1830"/>
        <v/>
      </c>
      <c r="AR507" s="405">
        <f t="shared" si="1830"/>
        <v>135</v>
      </c>
      <c r="AS507" s="405" t="str">
        <f t="shared" si="1830"/>
        <v/>
      </c>
      <c r="AT507" s="405" t="str">
        <f t="shared" si="1830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831">IF(BF506="","",BF502*BF503*BF506)</f>
        <v/>
      </c>
      <c r="BG507" s="405" t="str">
        <f t="shared" si="1831"/>
        <v/>
      </c>
      <c r="BH507" s="405" t="str">
        <f t="shared" si="1831"/>
        <v/>
      </c>
      <c r="BI507" s="405" t="str">
        <f t="shared" si="1831"/>
        <v/>
      </c>
      <c r="BJ507" s="405">
        <f t="shared" si="1831"/>
        <v>50</v>
      </c>
      <c r="BK507" s="405" t="str">
        <f t="shared" si="1831"/>
        <v/>
      </c>
      <c r="BL507" s="405" t="str">
        <f t="shared" si="1831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541"/>
        <v/>
      </c>
      <c r="CA507" s="373" t="str">
        <f t="shared" si="1542"/>
        <v/>
      </c>
      <c r="CB507" s="373" t="str">
        <f t="shared" si="1543"/>
        <v/>
      </c>
      <c r="CC507" s="462" t="str">
        <f t="shared" si="1544"/>
        <v/>
      </c>
      <c r="CD507" s="1109" t="str">
        <f t="shared" si="1799"/>
        <v/>
      </c>
      <c r="CE507" s="1110" t="str">
        <f t="shared" si="1827"/>
        <v/>
      </c>
      <c r="CF507" s="1111" t="str">
        <f t="shared" si="1827"/>
        <v/>
      </c>
      <c r="CG507" s="1111" t="str">
        <f t="shared" si="1827"/>
        <v/>
      </c>
      <c r="CH507" s="1111" t="str">
        <f t="shared" si="1827"/>
        <v/>
      </c>
      <c r="CI507" s="1111" t="str">
        <f t="shared" si="1827"/>
        <v/>
      </c>
      <c r="CJ507" s="1111" t="str">
        <f t="shared" si="1827"/>
        <v/>
      </c>
      <c r="CK507" s="1112" t="str">
        <f t="shared" si="1827"/>
        <v/>
      </c>
      <c r="CL507" s="1112">
        <f t="shared" si="1827"/>
        <v>30</v>
      </c>
      <c r="CM507" s="1112" t="str">
        <f t="shared" si="1827"/>
        <v/>
      </c>
      <c r="CN507" s="1111" t="str">
        <f t="shared" si="1827"/>
        <v/>
      </c>
      <c r="CO507" s="1111" t="str">
        <f t="shared" si="1827"/>
        <v/>
      </c>
      <c r="CP507" s="1111" t="str">
        <f t="shared" si="1827"/>
        <v/>
      </c>
      <c r="CQ507" s="1111" t="str">
        <f t="shared" si="1827"/>
        <v/>
      </c>
      <c r="CR507" s="1111" t="str">
        <f t="shared" si="1827"/>
        <v/>
      </c>
      <c r="CS507" s="1110" t="str">
        <f t="shared" si="1827"/>
        <v/>
      </c>
      <c r="CT507" s="1113" t="str">
        <f t="shared" si="1827"/>
        <v/>
      </c>
      <c r="CU507" s="324" t="str">
        <f t="shared" si="1778"/>
        <v/>
      </c>
      <c r="CV507" s="325" t="str">
        <f t="shared" si="1779"/>
        <v/>
      </c>
      <c r="CW507" s="326" t="str">
        <f t="shared" si="1780"/>
        <v/>
      </c>
      <c r="CX507" s="326" t="str">
        <f t="shared" si="1781"/>
        <v/>
      </c>
      <c r="CY507" s="326" t="str">
        <f t="shared" si="1782"/>
        <v/>
      </c>
      <c r="CZ507" s="326" t="str">
        <f t="shared" si="1783"/>
        <v/>
      </c>
      <c r="DA507" s="326" t="str">
        <f t="shared" si="1784"/>
        <v/>
      </c>
      <c r="DB507" s="327" t="str">
        <f t="shared" si="1785"/>
        <v/>
      </c>
      <c r="DC507" s="327">
        <f t="shared" si="1786"/>
        <v>20</v>
      </c>
      <c r="DD507" s="327">
        <f t="shared" si="1787"/>
        <v>100</v>
      </c>
      <c r="DE507" s="326" t="str">
        <f t="shared" si="1788"/>
        <v/>
      </c>
      <c r="DF507" s="326" t="str">
        <f t="shared" si="1789"/>
        <v/>
      </c>
      <c r="DG507" s="326" t="str">
        <f t="shared" si="1790"/>
        <v/>
      </c>
      <c r="DH507" s="326" t="str">
        <f t="shared" si="1791"/>
        <v/>
      </c>
      <c r="DI507" s="326" t="str">
        <f t="shared" si="1792"/>
        <v/>
      </c>
      <c r="DJ507" s="325" t="str">
        <f t="shared" si="1793"/>
        <v/>
      </c>
      <c r="DK507" s="324" t="str">
        <f t="shared" si="1794"/>
        <v/>
      </c>
      <c r="DL507" s="428">
        <f t="shared" si="1795"/>
        <v>1</v>
      </c>
      <c r="DM507" s="66">
        <f t="shared" si="1796"/>
        <v>2</v>
      </c>
      <c r="DN507" s="66">
        <f t="shared" si="1797"/>
        <v>2</v>
      </c>
      <c r="DO507" s="66">
        <f t="shared" si="1798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4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541"/>
        <v>0.25</v>
      </c>
      <c r="CA508" s="373">
        <f t="shared" si="1542"/>
        <v>0.40000000000000008</v>
      </c>
      <c r="CB508" s="373">
        <f t="shared" si="1543"/>
        <v>1</v>
      </c>
      <c r="CC508" s="462">
        <f t="shared" si="1544"/>
        <v>2</v>
      </c>
      <c r="CD508" s="1109" t="str">
        <f t="shared" si="1799"/>
        <v/>
      </c>
      <c r="CE508" s="1110" t="str">
        <f t="shared" si="1827"/>
        <v/>
      </c>
      <c r="CF508" s="1111" t="str">
        <f t="shared" si="1827"/>
        <v/>
      </c>
      <c r="CG508" s="1111" t="str">
        <f t="shared" si="1827"/>
        <v/>
      </c>
      <c r="CH508" s="1111" t="str">
        <f t="shared" si="1827"/>
        <v/>
      </c>
      <c r="CI508" s="1111" t="str">
        <f t="shared" si="1827"/>
        <v/>
      </c>
      <c r="CJ508" s="1111">
        <f t="shared" si="1827"/>
        <v>0.25</v>
      </c>
      <c r="CK508" s="1112">
        <f t="shared" si="1827"/>
        <v>0.25</v>
      </c>
      <c r="CL508" s="1112">
        <f t="shared" si="1827"/>
        <v>0.25</v>
      </c>
      <c r="CM508" s="1112">
        <f t="shared" si="1827"/>
        <v>0.25</v>
      </c>
      <c r="CN508" s="1111">
        <f t="shared" si="1827"/>
        <v>0.25</v>
      </c>
      <c r="CO508" s="1111" t="str">
        <f t="shared" si="1827"/>
        <v/>
      </c>
      <c r="CP508" s="1111" t="str">
        <f t="shared" si="1827"/>
        <v/>
      </c>
      <c r="CQ508" s="1111" t="str">
        <f t="shared" si="1827"/>
        <v/>
      </c>
      <c r="CR508" s="1111" t="str">
        <f t="shared" si="1827"/>
        <v/>
      </c>
      <c r="CS508" s="1110" t="str">
        <f t="shared" si="1827"/>
        <v/>
      </c>
      <c r="CT508" s="1113" t="str">
        <f t="shared" si="1827"/>
        <v/>
      </c>
      <c r="CU508" s="324" t="str">
        <f t="shared" si="1778"/>
        <v/>
      </c>
      <c r="CV508" s="325" t="str">
        <f t="shared" si="1779"/>
        <v/>
      </c>
      <c r="CW508" s="326" t="str">
        <f t="shared" si="1780"/>
        <v/>
      </c>
      <c r="CX508" s="326" t="str">
        <f t="shared" si="1781"/>
        <v/>
      </c>
      <c r="CY508" s="326" t="str">
        <f t="shared" si="1782"/>
        <v/>
      </c>
      <c r="CZ508" s="326" t="str">
        <f t="shared" si="1783"/>
        <v/>
      </c>
      <c r="DA508" s="326">
        <f t="shared" si="1784"/>
        <v>0.1</v>
      </c>
      <c r="DB508" s="327">
        <f t="shared" si="1785"/>
        <v>0.2</v>
      </c>
      <c r="DC508" s="327">
        <f t="shared" si="1786"/>
        <v>0.5</v>
      </c>
      <c r="DD508" s="327">
        <f t="shared" si="1787"/>
        <v>0.5</v>
      </c>
      <c r="DE508" s="326">
        <f t="shared" si="1788"/>
        <v>0.83</v>
      </c>
      <c r="DF508" s="326" t="str">
        <f t="shared" si="1789"/>
        <v/>
      </c>
      <c r="DG508" s="326" t="str">
        <f t="shared" si="1790"/>
        <v/>
      </c>
      <c r="DH508" s="326" t="str">
        <f t="shared" si="1791"/>
        <v/>
      </c>
      <c r="DI508" s="326" t="str">
        <f t="shared" si="1792"/>
        <v/>
      </c>
      <c r="DJ508" s="325" t="str">
        <f t="shared" si="1793"/>
        <v/>
      </c>
      <c r="DK508" s="324" t="str">
        <f t="shared" si="1794"/>
        <v/>
      </c>
      <c r="DL508" s="428">
        <f t="shared" si="1795"/>
        <v>5</v>
      </c>
      <c r="DM508" s="66">
        <f t="shared" si="1796"/>
        <v>5</v>
      </c>
      <c r="DN508" s="66">
        <f t="shared" si="1797"/>
        <v>9</v>
      </c>
      <c r="DO508" s="66">
        <f t="shared" si="1798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541"/>
        <v>87</v>
      </c>
      <c r="CA509" s="373">
        <f t="shared" si="1542"/>
        <v>17.333333333333332</v>
      </c>
      <c r="CB509" s="373">
        <f t="shared" si="1543"/>
        <v>20.571428571428573</v>
      </c>
      <c r="CC509" s="462">
        <f t="shared" si="1544"/>
        <v>18.166666666666668</v>
      </c>
      <c r="CD509" s="1109" t="str">
        <f t="shared" si="1799"/>
        <v/>
      </c>
      <c r="CE509" s="1110" t="str">
        <f t="shared" si="1827"/>
        <v/>
      </c>
      <c r="CF509" s="1111" t="str">
        <f t="shared" si="1827"/>
        <v/>
      </c>
      <c r="CG509" s="1111" t="str">
        <f t="shared" si="1827"/>
        <v/>
      </c>
      <c r="CH509" s="1111" t="str">
        <f t="shared" si="1827"/>
        <v/>
      </c>
      <c r="CI509" s="1111" t="str">
        <f t="shared" si="1827"/>
        <v/>
      </c>
      <c r="CJ509" s="1111">
        <f t="shared" si="1827"/>
        <v>20</v>
      </c>
      <c r="CK509" s="1112">
        <f t="shared" si="1827"/>
        <v>66</v>
      </c>
      <c r="CL509" s="1112">
        <f t="shared" si="1827"/>
        <v>95</v>
      </c>
      <c r="CM509" s="1112">
        <f t="shared" si="1827"/>
        <v>100</v>
      </c>
      <c r="CN509" s="1111">
        <f t="shared" si="1827"/>
        <v>192</v>
      </c>
      <c r="CO509" s="1111" t="str">
        <f t="shared" si="1827"/>
        <v/>
      </c>
      <c r="CP509" s="1111" t="str">
        <f t="shared" si="1827"/>
        <v/>
      </c>
      <c r="CQ509" s="1111" t="str">
        <f t="shared" si="1827"/>
        <v/>
      </c>
      <c r="CR509" s="1111" t="str">
        <f t="shared" si="1827"/>
        <v/>
      </c>
      <c r="CS509" s="1110" t="str">
        <f t="shared" si="1827"/>
        <v/>
      </c>
      <c r="CT509" s="1113" t="str">
        <f t="shared" si="1827"/>
        <v/>
      </c>
      <c r="CU509" s="324" t="str">
        <f t="shared" si="1778"/>
        <v/>
      </c>
      <c r="CV509" s="325" t="str">
        <f t="shared" si="1779"/>
        <v/>
      </c>
      <c r="CW509" s="326" t="str">
        <f t="shared" si="1780"/>
        <v/>
      </c>
      <c r="CX509" s="326" t="str">
        <f t="shared" si="1781"/>
        <v/>
      </c>
      <c r="CY509" s="326" t="str">
        <f t="shared" si="1782"/>
        <v/>
      </c>
      <c r="CZ509" s="326" t="str">
        <f t="shared" si="1783"/>
        <v/>
      </c>
      <c r="DA509" s="326">
        <f t="shared" si="1784"/>
        <v>8</v>
      </c>
      <c r="DB509" s="327">
        <f t="shared" si="1785"/>
        <v>12</v>
      </c>
      <c r="DC509" s="327">
        <f t="shared" si="1786"/>
        <v>16</v>
      </c>
      <c r="DD509" s="327">
        <f t="shared" si="1787"/>
        <v>24</v>
      </c>
      <c r="DE509" s="326">
        <f t="shared" si="1788"/>
        <v>96</v>
      </c>
      <c r="DF509" s="326" t="str">
        <f t="shared" si="1789"/>
        <v/>
      </c>
      <c r="DG509" s="326" t="str">
        <f t="shared" si="1790"/>
        <v/>
      </c>
      <c r="DH509" s="326" t="str">
        <f t="shared" si="1791"/>
        <v/>
      </c>
      <c r="DI509" s="326" t="str">
        <f t="shared" si="1792"/>
        <v/>
      </c>
      <c r="DJ509" s="325" t="str">
        <f t="shared" si="1793"/>
        <v/>
      </c>
      <c r="DK509" s="324" t="str">
        <f t="shared" si="1794"/>
        <v/>
      </c>
      <c r="DL509" s="428">
        <f t="shared" si="1795"/>
        <v>5</v>
      </c>
      <c r="DM509" s="66">
        <f t="shared" si="1796"/>
        <v>5</v>
      </c>
      <c r="DN509" s="66">
        <f t="shared" si="1797"/>
        <v>9</v>
      </c>
      <c r="DO509" s="66">
        <f t="shared" si="1798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832">4000*$K$1</f>
        <v>4000</v>
      </c>
      <c r="C510" s="536">
        <f t="shared" si="1832"/>
        <v>4000</v>
      </c>
      <c r="D510" s="536">
        <f t="shared" si="1832"/>
        <v>4000</v>
      </c>
      <c r="E510" s="536">
        <f t="shared" si="1832"/>
        <v>4000</v>
      </c>
      <c r="F510" s="536">
        <f t="shared" si="1832"/>
        <v>4000</v>
      </c>
      <c r="G510" s="536">
        <f t="shared" si="1832"/>
        <v>4000</v>
      </c>
      <c r="H510" s="536">
        <f t="shared" si="1832"/>
        <v>4000</v>
      </c>
      <c r="I510" s="536">
        <f t="shared" si="1832"/>
        <v>4000</v>
      </c>
      <c r="J510" s="536">
        <f t="shared" si="1832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833">4000*$K$1</f>
        <v>4000</v>
      </c>
      <c r="U510" s="536">
        <f t="shared" si="1833"/>
        <v>4000</v>
      </c>
      <c r="V510" s="536">
        <f t="shared" si="1833"/>
        <v>4000</v>
      </c>
      <c r="W510" s="536">
        <f t="shared" si="1833"/>
        <v>4000</v>
      </c>
      <c r="X510" s="536">
        <f t="shared" si="1833"/>
        <v>4000</v>
      </c>
      <c r="Y510" s="536">
        <f t="shared" si="1833"/>
        <v>4000</v>
      </c>
      <c r="Z510" s="536">
        <f t="shared" si="1833"/>
        <v>4000</v>
      </c>
      <c r="AA510" s="536">
        <f t="shared" si="1833"/>
        <v>4000</v>
      </c>
      <c r="AB510" s="536">
        <f t="shared" si="1833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834">4000*$K$1</f>
        <v>4000</v>
      </c>
      <c r="AM510" s="536">
        <f t="shared" si="1834"/>
        <v>4000</v>
      </c>
      <c r="AN510" s="536">
        <f t="shared" si="1834"/>
        <v>4000</v>
      </c>
      <c r="AO510" s="536">
        <f t="shared" si="1834"/>
        <v>4000</v>
      </c>
      <c r="AP510" s="536">
        <f t="shared" si="1834"/>
        <v>4000</v>
      </c>
      <c r="AQ510" s="536">
        <f t="shared" si="1834"/>
        <v>4000</v>
      </c>
      <c r="AR510" s="536">
        <f t="shared" si="1834"/>
        <v>4000</v>
      </c>
      <c r="AS510" s="536">
        <f t="shared" si="1834"/>
        <v>4000</v>
      </c>
      <c r="AT510" s="536">
        <f t="shared" si="1834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835">4000*$K$1</f>
        <v>4000</v>
      </c>
      <c r="BE510" s="536">
        <f t="shared" si="1835"/>
        <v>4000</v>
      </c>
      <c r="BF510" s="536">
        <f t="shared" si="1835"/>
        <v>4000</v>
      </c>
      <c r="BG510" s="536">
        <f t="shared" si="1835"/>
        <v>4000</v>
      </c>
      <c r="BH510" s="536">
        <f t="shared" si="1835"/>
        <v>4000</v>
      </c>
      <c r="BI510" s="536">
        <f t="shared" si="1835"/>
        <v>4000</v>
      </c>
      <c r="BJ510" s="536">
        <f t="shared" si="1835"/>
        <v>4000</v>
      </c>
      <c r="BK510" s="536">
        <f t="shared" si="1835"/>
        <v>4000</v>
      </c>
      <c r="BL510" s="536">
        <f t="shared" si="1835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836">4000*$K$1</f>
        <v>4000</v>
      </c>
      <c r="BW510" s="536">
        <f t="shared" si="1836"/>
        <v>4000</v>
      </c>
      <c r="BX510" s="536">
        <f t="shared" si="1836"/>
        <v>4000</v>
      </c>
      <c r="BY510" s="536">
        <f t="shared" si="1836"/>
        <v>4000</v>
      </c>
      <c r="BZ510" s="373">
        <f t="shared" si="1541"/>
        <v>4000</v>
      </c>
      <c r="CA510" s="373">
        <f t="shared" si="1542"/>
        <v>4000</v>
      </c>
      <c r="CB510" s="373">
        <f t="shared" si="1543"/>
        <v>4000</v>
      </c>
      <c r="CC510" s="462">
        <f t="shared" si="1544"/>
        <v>4000</v>
      </c>
      <c r="CD510" s="1109" t="str">
        <f t="shared" si="1799"/>
        <v/>
      </c>
      <c r="CE510" s="1110" t="str">
        <f t="shared" si="1827"/>
        <v/>
      </c>
      <c r="CF510" s="1111" t="str">
        <f t="shared" si="1827"/>
        <v/>
      </c>
      <c r="CG510" s="1111" t="str">
        <f t="shared" si="1827"/>
        <v/>
      </c>
      <c r="CH510" s="1111">
        <f t="shared" si="1827"/>
        <v>4000</v>
      </c>
      <c r="CI510" s="1111">
        <f t="shared" si="1827"/>
        <v>4000</v>
      </c>
      <c r="CJ510" s="1111">
        <f t="shared" si="1827"/>
        <v>4000</v>
      </c>
      <c r="CK510" s="1112">
        <f t="shared" si="1827"/>
        <v>4000</v>
      </c>
      <c r="CL510" s="1112">
        <f t="shared" si="1827"/>
        <v>4000</v>
      </c>
      <c r="CM510" s="1112">
        <f t="shared" si="1827"/>
        <v>4000</v>
      </c>
      <c r="CN510" s="1111">
        <f t="shared" si="1827"/>
        <v>4000</v>
      </c>
      <c r="CO510" s="1111">
        <f t="shared" si="1827"/>
        <v>4000</v>
      </c>
      <c r="CP510" s="1111">
        <f t="shared" si="1827"/>
        <v>4000</v>
      </c>
      <c r="CQ510" s="1111" t="str">
        <f t="shared" si="1827"/>
        <v/>
      </c>
      <c r="CR510" s="1111" t="str">
        <f t="shared" si="1827"/>
        <v/>
      </c>
      <c r="CS510" s="1110" t="str">
        <f t="shared" si="1827"/>
        <v/>
      </c>
      <c r="CT510" s="1113" t="str">
        <f t="shared" si="1827"/>
        <v/>
      </c>
      <c r="CU510" s="324" t="str">
        <f t="shared" si="1778"/>
        <v/>
      </c>
      <c r="CV510" s="325" t="str">
        <f t="shared" si="1779"/>
        <v/>
      </c>
      <c r="CW510" s="326" t="str">
        <f t="shared" si="1780"/>
        <v/>
      </c>
      <c r="CX510" s="326" t="str">
        <f t="shared" si="1781"/>
        <v/>
      </c>
      <c r="CY510" s="326">
        <f t="shared" si="1782"/>
        <v>4000</v>
      </c>
      <c r="CZ510" s="326">
        <f t="shared" si="1783"/>
        <v>4000</v>
      </c>
      <c r="DA510" s="326">
        <f t="shared" si="1784"/>
        <v>4000</v>
      </c>
      <c r="DB510" s="327">
        <f t="shared" si="1785"/>
        <v>4000</v>
      </c>
      <c r="DC510" s="327">
        <f t="shared" si="1786"/>
        <v>4000</v>
      </c>
      <c r="DD510" s="327">
        <f t="shared" si="1787"/>
        <v>4000</v>
      </c>
      <c r="DE510" s="326">
        <f t="shared" si="1788"/>
        <v>4000</v>
      </c>
      <c r="DF510" s="326">
        <f t="shared" si="1789"/>
        <v>4000</v>
      </c>
      <c r="DG510" s="326">
        <f t="shared" si="1790"/>
        <v>4000</v>
      </c>
      <c r="DH510" s="326" t="str">
        <f t="shared" si="1791"/>
        <v/>
      </c>
      <c r="DI510" s="326" t="str">
        <f t="shared" si="1792"/>
        <v/>
      </c>
      <c r="DJ510" s="325" t="str">
        <f t="shared" si="1793"/>
        <v/>
      </c>
      <c r="DK510" s="324" t="str">
        <f t="shared" si="1794"/>
        <v/>
      </c>
      <c r="DL510" s="428">
        <f t="shared" si="1795"/>
        <v>9</v>
      </c>
      <c r="DM510" s="66">
        <f t="shared" si="1796"/>
        <v>9</v>
      </c>
      <c r="DN510" s="66">
        <f t="shared" si="1797"/>
        <v>9</v>
      </c>
      <c r="DO510" s="66">
        <f t="shared" si="1798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837">IF(B508="","",B508*B509*B510/B$46/365/$G$1)</f>
        <v>8.6105675146771043E-3</v>
      </c>
      <c r="C511" s="408">
        <f t="shared" si="1837"/>
        <v>1.8637592023110616E-2</v>
      </c>
      <c r="D511" s="408" t="str">
        <f t="shared" si="1837"/>
        <v/>
      </c>
      <c r="E511" s="408">
        <f t="shared" si="1837"/>
        <v>2.0656664492280929E-2</v>
      </c>
      <c r="F511" s="408">
        <f t="shared" si="1837"/>
        <v>4.3487714720591431E-3</v>
      </c>
      <c r="G511" s="408" t="str">
        <f t="shared" si="1837"/>
        <v/>
      </c>
      <c r="H511" s="408">
        <f t="shared" si="1837"/>
        <v>4.1748206131767773E-2</v>
      </c>
      <c r="I511" s="408" t="str">
        <f t="shared" si="1837"/>
        <v/>
      </c>
      <c r="J511" s="408" t="str">
        <f t="shared" si="1837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838">IF(T508="","",T508*T509*T510/T$46/365/$G$1)</f>
        <v/>
      </c>
      <c r="U511" s="408">
        <f t="shared" si="1838"/>
        <v>2.8464685998932579E-3</v>
      </c>
      <c r="V511" s="408">
        <f t="shared" si="1838"/>
        <v>5.2185257664709717E-3</v>
      </c>
      <c r="W511" s="408" t="str">
        <f t="shared" si="1838"/>
        <v/>
      </c>
      <c r="X511" s="408" t="str">
        <f t="shared" si="1838"/>
        <v/>
      </c>
      <c r="Y511" s="408">
        <f t="shared" si="1838"/>
        <v>9.9002888826763575E-3</v>
      </c>
      <c r="Z511" s="408" t="str">
        <f t="shared" si="1838"/>
        <v/>
      </c>
      <c r="AA511" s="408">
        <f t="shared" si="1838"/>
        <v>8.3496412263535543E-4</v>
      </c>
      <c r="AB511" s="408">
        <f t="shared" si="1838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839">IF(AL508="","",AL508*AL509*AL510/AL$46/365/$G$1)</f>
        <v>4.2697028998398862E-2</v>
      </c>
      <c r="AM511" s="408">
        <f t="shared" si="1839"/>
        <v>6.9580343552946289E-3</v>
      </c>
      <c r="AN511" s="408">
        <f t="shared" si="1839"/>
        <v>7.8277886497064592E-3</v>
      </c>
      <c r="AO511" s="408">
        <f t="shared" si="1839"/>
        <v>1.5655577299412918E-2</v>
      </c>
      <c r="AP511" s="408">
        <f t="shared" si="1839"/>
        <v>1.3916068710589258E-2</v>
      </c>
      <c r="AQ511" s="408">
        <f t="shared" si="1839"/>
        <v>7.8277886497064592E-3</v>
      </c>
      <c r="AR511" s="408">
        <f t="shared" si="1839"/>
        <v>1.0437051532941943E-2</v>
      </c>
      <c r="AS511" s="408">
        <f t="shared" si="1839"/>
        <v>3.1311154598825837E-2</v>
      </c>
      <c r="AT511" s="408">
        <f t="shared" si="1839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840">IF(BD508="","",BD508*BD509*BD510/BD$46/365/$G$1)</f>
        <v>1.0437051532941943E-2</v>
      </c>
      <c r="BE511" s="408">
        <f t="shared" si="1840"/>
        <v>1.0437051532941943E-2</v>
      </c>
      <c r="BF511" s="408">
        <f t="shared" si="1840"/>
        <v>2.6092628832354858E-2</v>
      </c>
      <c r="BG511" s="408">
        <f t="shared" si="1840"/>
        <v>5.2185257664709717E-3</v>
      </c>
      <c r="BH511" s="408">
        <f t="shared" si="1840"/>
        <v>3.7573385518590997E-2</v>
      </c>
      <c r="BI511" s="408">
        <f t="shared" si="1840"/>
        <v>3.5784176684372379E-2</v>
      </c>
      <c r="BJ511" s="408" t="str">
        <f t="shared" si="1840"/>
        <v/>
      </c>
      <c r="BK511" s="408">
        <f t="shared" si="1840"/>
        <v>2.0874103065883887E-2</v>
      </c>
      <c r="BL511" s="408">
        <f t="shared" si="1840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542"/>
        <v>5.0739432344129023E-3</v>
      </c>
      <c r="CB511" s="398">
        <f t="shared" si="1543"/>
        <v>1.7792687851396264E-2</v>
      </c>
      <c r="CC511" s="398">
        <f t="shared" si="1544"/>
        <v>2.353306619451433E-2</v>
      </c>
      <c r="CD511" s="1114" t="str">
        <f t="shared" si="1799"/>
        <v/>
      </c>
      <c r="CE511" s="1115" t="str">
        <f t="shared" ref="CE511:CT517" si="18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6" t="str">
        <f t="shared" si="1841"/>
        <v/>
      </c>
      <c r="CG511" s="1116" t="str">
        <f t="shared" si="1841"/>
        <v/>
      </c>
      <c r="CH511" s="1116" t="str">
        <f t="shared" si="1841"/>
        <v/>
      </c>
      <c r="CI511" s="1116" t="str">
        <f t="shared" si="1841"/>
        <v/>
      </c>
      <c r="CJ511" s="1116">
        <f t="shared" si="1841"/>
        <v>4.3487714720591431E-3</v>
      </c>
      <c r="CK511" s="1117">
        <f t="shared" si="1841"/>
        <v>8.6105675146771043E-3</v>
      </c>
      <c r="CL511" s="1117">
        <f t="shared" si="1841"/>
        <v>1.8637592023110616E-2</v>
      </c>
      <c r="CM511" s="1117">
        <f t="shared" si="1841"/>
        <v>2.0656664492280929E-2</v>
      </c>
      <c r="CN511" s="1116">
        <f t="shared" si="1841"/>
        <v>4.1748206131767773E-2</v>
      </c>
      <c r="CO511" s="1116" t="str">
        <f t="shared" si="1841"/>
        <v/>
      </c>
      <c r="CP511" s="1116" t="str">
        <f t="shared" si="1841"/>
        <v/>
      </c>
      <c r="CQ511" s="1116" t="str">
        <f t="shared" si="1841"/>
        <v/>
      </c>
      <c r="CR511" s="1116" t="str">
        <f t="shared" si="1841"/>
        <v/>
      </c>
      <c r="CS511" s="1115" t="str">
        <f t="shared" si="1841"/>
        <v/>
      </c>
      <c r="CT511" s="1118" t="str">
        <f t="shared" si="1841"/>
        <v/>
      </c>
      <c r="CU511" s="312" t="str">
        <f t="shared" si="1778"/>
        <v/>
      </c>
      <c r="CV511" s="313" t="str">
        <f t="shared" si="1779"/>
        <v/>
      </c>
      <c r="CW511" s="314" t="str">
        <f t="shared" si="1780"/>
        <v/>
      </c>
      <c r="CX511" s="314" t="str">
        <f t="shared" si="1781"/>
        <v/>
      </c>
      <c r="CY511" s="314" t="str">
        <f t="shared" si="1782"/>
        <v/>
      </c>
      <c r="CZ511" s="314" t="str">
        <f t="shared" si="1783"/>
        <v/>
      </c>
      <c r="DA511" s="314">
        <f t="shared" si="1784"/>
        <v>8.3496412263535543E-4</v>
      </c>
      <c r="DB511" s="315">
        <f t="shared" si="1785"/>
        <v>2.8464685998932579E-3</v>
      </c>
      <c r="DC511" s="315">
        <f t="shared" si="1786"/>
        <v>5.2185257664709717E-3</v>
      </c>
      <c r="DD511" s="315">
        <f t="shared" si="1787"/>
        <v>7.1568353368744782E-3</v>
      </c>
      <c r="DE511" s="314">
        <f t="shared" si="1788"/>
        <v>9.9002888826763575E-3</v>
      </c>
      <c r="DF511" s="314" t="str">
        <f t="shared" si="1789"/>
        <v/>
      </c>
      <c r="DG511" s="314" t="str">
        <f t="shared" si="1790"/>
        <v/>
      </c>
      <c r="DH511" s="314" t="str">
        <f t="shared" si="1791"/>
        <v/>
      </c>
      <c r="DI511" s="314" t="str">
        <f t="shared" si="1792"/>
        <v/>
      </c>
      <c r="DJ511" s="313" t="str">
        <f t="shared" si="1793"/>
        <v/>
      </c>
      <c r="DK511" s="312" t="str">
        <f t="shared" si="1794"/>
        <v/>
      </c>
      <c r="DL511" s="428">
        <f t="shared" si="1795"/>
        <v>5</v>
      </c>
      <c r="DM511" s="66">
        <f t="shared" si="1796"/>
        <v>5</v>
      </c>
      <c r="DN511" s="66">
        <f t="shared" si="1797"/>
        <v>9</v>
      </c>
      <c r="DO511" s="66">
        <f t="shared" si="1798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541"/>
        <v>4.9333333333333327</v>
      </c>
      <c r="CA512" s="373">
        <f t="shared" si="1542"/>
        <v>5.666666666666667</v>
      </c>
      <c r="CB512" s="373">
        <f t="shared" si="1543"/>
        <v>7.7857142857142856</v>
      </c>
      <c r="CC512" s="462">
        <f t="shared" si="1544"/>
        <v>7.833333333333333</v>
      </c>
      <c r="CD512" s="1109" t="str">
        <f t="shared" si="1799"/>
        <v/>
      </c>
      <c r="CE512" s="1110" t="str">
        <f t="shared" ref="CE512:CS512" si="18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1" t="str">
        <f t="shared" si="1842"/>
        <v/>
      </c>
      <c r="CG512" s="1111" t="str">
        <f t="shared" si="1842"/>
        <v/>
      </c>
      <c r="CH512" s="1111" t="str">
        <f t="shared" si="1842"/>
        <v/>
      </c>
      <c r="CI512" s="1111" t="str">
        <f t="shared" si="1842"/>
        <v/>
      </c>
      <c r="CJ512" s="1111">
        <f t="shared" si="1842"/>
        <v>4</v>
      </c>
      <c r="CK512" s="1112">
        <f t="shared" si="1842"/>
        <v>4.8</v>
      </c>
      <c r="CL512" s="1112">
        <f t="shared" si="1842"/>
        <v>5</v>
      </c>
      <c r="CM512" s="1112">
        <f t="shared" si="1842"/>
        <v>5</v>
      </c>
      <c r="CN512" s="1111">
        <f t="shared" si="1842"/>
        <v>20</v>
      </c>
      <c r="CO512" s="1111" t="str">
        <f t="shared" si="1842"/>
        <v/>
      </c>
      <c r="CP512" s="1111" t="str">
        <f t="shared" si="1842"/>
        <v/>
      </c>
      <c r="CQ512" s="1111" t="str">
        <f t="shared" si="1842"/>
        <v/>
      </c>
      <c r="CR512" s="1111" t="str">
        <f t="shared" si="1842"/>
        <v/>
      </c>
      <c r="CS512" s="1110" t="str">
        <f t="shared" si="1842"/>
        <v/>
      </c>
      <c r="CT512" s="1113" t="str">
        <f t="shared" si="1841"/>
        <v/>
      </c>
      <c r="CU512" s="324" t="str">
        <f t="shared" si="1778"/>
        <v/>
      </c>
      <c r="CV512" s="325" t="str">
        <f t="shared" si="1779"/>
        <v/>
      </c>
      <c r="CW512" s="326" t="str">
        <f t="shared" si="1780"/>
        <v/>
      </c>
      <c r="CX512" s="326" t="str">
        <f t="shared" si="1781"/>
        <v/>
      </c>
      <c r="CY512" s="326" t="str">
        <f t="shared" si="1782"/>
        <v/>
      </c>
      <c r="CZ512" s="326" t="str">
        <f t="shared" si="1783"/>
        <v/>
      </c>
      <c r="DA512" s="326">
        <f t="shared" si="1784"/>
        <v>1</v>
      </c>
      <c r="DB512" s="327">
        <f t="shared" si="1785"/>
        <v>1</v>
      </c>
      <c r="DC512" s="327">
        <f t="shared" si="1786"/>
        <v>6</v>
      </c>
      <c r="DD512" s="327">
        <f t="shared" si="1787"/>
        <v>10</v>
      </c>
      <c r="DE512" s="326">
        <f t="shared" si="1788"/>
        <v>16</v>
      </c>
      <c r="DF512" s="326" t="str">
        <f t="shared" si="1789"/>
        <v/>
      </c>
      <c r="DG512" s="326" t="str">
        <f t="shared" si="1790"/>
        <v/>
      </c>
      <c r="DH512" s="326" t="str">
        <f t="shared" si="1791"/>
        <v/>
      </c>
      <c r="DI512" s="326" t="str">
        <f t="shared" si="1792"/>
        <v/>
      </c>
      <c r="DJ512" s="325" t="str">
        <f t="shared" si="1793"/>
        <v/>
      </c>
      <c r="DK512" s="324" t="str">
        <f t="shared" si="1794"/>
        <v/>
      </c>
      <c r="DL512" s="428">
        <f t="shared" si="1795"/>
        <v>5</v>
      </c>
      <c r="DM512" s="66">
        <f t="shared" si="1796"/>
        <v>5</v>
      </c>
      <c r="DN512" s="66">
        <f t="shared" si="1797"/>
        <v>9</v>
      </c>
      <c r="DO512" s="66">
        <f t="shared" si="1798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843">IF(B512="","",B508*B509*B512)</f>
        <v>82.5</v>
      </c>
      <c r="C513" s="535">
        <f t="shared" si="1843"/>
        <v>120</v>
      </c>
      <c r="D513" s="535" t="str">
        <f t="shared" si="1843"/>
        <v/>
      </c>
      <c r="E513" s="535">
        <f t="shared" si="1843"/>
        <v>118.75</v>
      </c>
      <c r="F513" s="535">
        <f t="shared" si="1843"/>
        <v>20</v>
      </c>
      <c r="G513" s="535" t="str">
        <f t="shared" si="1843"/>
        <v/>
      </c>
      <c r="H513" s="535">
        <f t="shared" si="1843"/>
        <v>960</v>
      </c>
      <c r="I513" s="535" t="str">
        <f t="shared" si="1843"/>
        <v/>
      </c>
      <c r="J513" s="535" t="str">
        <f t="shared" si="1843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844">IF(T512="","",T508*T509*T512)</f>
        <v/>
      </c>
      <c r="U513" s="535">
        <f t="shared" si="1844"/>
        <v>96</v>
      </c>
      <c r="V513" s="535">
        <f t="shared" si="1844"/>
        <v>72</v>
      </c>
      <c r="W513" s="535" t="str">
        <f t="shared" si="1844"/>
        <v/>
      </c>
      <c r="X513" s="535" t="str">
        <f t="shared" si="1844"/>
        <v/>
      </c>
      <c r="Y513" s="535">
        <f t="shared" si="1844"/>
        <v>13.28</v>
      </c>
      <c r="Z513" s="535" t="str">
        <f t="shared" si="1844"/>
        <v/>
      </c>
      <c r="AA513" s="535">
        <f t="shared" si="1844"/>
        <v>1.6</v>
      </c>
      <c r="AB513" s="535">
        <f t="shared" si="1844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845">IF(AL512="","",AL508*AL509*AL512)</f>
        <v>540</v>
      </c>
      <c r="AM513" s="535">
        <f t="shared" si="1845"/>
        <v>96</v>
      </c>
      <c r="AN513" s="535">
        <f t="shared" si="1845"/>
        <v>72</v>
      </c>
      <c r="AO513" s="535">
        <f t="shared" si="1845"/>
        <v>168</v>
      </c>
      <c r="AP513" s="535">
        <f t="shared" si="1845"/>
        <v>128</v>
      </c>
      <c r="AQ513" s="535">
        <f t="shared" si="1845"/>
        <v>117</v>
      </c>
      <c r="AR513" s="535">
        <f t="shared" si="1845"/>
        <v>208</v>
      </c>
      <c r="AS513" s="535">
        <f t="shared" si="1845"/>
        <v>360</v>
      </c>
      <c r="AT513" s="535">
        <f t="shared" si="1845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846">IF(BD512="","",BD508*BD509*BD512)</f>
        <v>144</v>
      </c>
      <c r="BE513" s="535">
        <f t="shared" si="1846"/>
        <v>192</v>
      </c>
      <c r="BF513" s="535">
        <f t="shared" si="1846"/>
        <v>225</v>
      </c>
      <c r="BG513" s="535">
        <f t="shared" si="1846"/>
        <v>70</v>
      </c>
      <c r="BH513" s="535">
        <f t="shared" si="1846"/>
        <v>720</v>
      </c>
      <c r="BI513" s="535">
        <f t="shared" si="1846"/>
        <v>384</v>
      </c>
      <c r="BJ513" s="535" t="str">
        <f t="shared" si="1846"/>
        <v/>
      </c>
      <c r="BK513" s="535">
        <f t="shared" si="1846"/>
        <v>480</v>
      </c>
      <c r="BL513" s="535">
        <f t="shared" si="1846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541"/>
        <v>107.08333333333333</v>
      </c>
      <c r="CA513" s="373">
        <f t="shared" si="1542"/>
        <v>60.426666666666655</v>
      </c>
      <c r="CB513" s="373">
        <f t="shared" si="1543"/>
        <v>225.85714285714286</v>
      </c>
      <c r="CC513" s="462">
        <f t="shared" si="1544"/>
        <v>357.5</v>
      </c>
      <c r="CD513" s="1109" t="str">
        <f t="shared" si="1799"/>
        <v/>
      </c>
      <c r="CE513" s="1110" t="str">
        <f t="shared" si="1841"/>
        <v/>
      </c>
      <c r="CF513" s="1111" t="str">
        <f t="shared" si="1841"/>
        <v/>
      </c>
      <c r="CG513" s="1111" t="str">
        <f t="shared" si="1841"/>
        <v/>
      </c>
      <c r="CH513" s="1111" t="str">
        <f t="shared" si="1841"/>
        <v/>
      </c>
      <c r="CI513" s="1111" t="str">
        <f t="shared" si="1841"/>
        <v/>
      </c>
      <c r="CJ513" s="1111">
        <f t="shared" si="1841"/>
        <v>20</v>
      </c>
      <c r="CK513" s="1112">
        <f t="shared" si="1841"/>
        <v>82.5</v>
      </c>
      <c r="CL513" s="1112">
        <f t="shared" si="1841"/>
        <v>118.75</v>
      </c>
      <c r="CM513" s="1112">
        <f t="shared" si="1841"/>
        <v>120</v>
      </c>
      <c r="CN513" s="1111">
        <f t="shared" si="1841"/>
        <v>960</v>
      </c>
      <c r="CO513" s="1111" t="str">
        <f t="shared" si="1841"/>
        <v/>
      </c>
      <c r="CP513" s="1111" t="str">
        <f t="shared" si="1841"/>
        <v/>
      </c>
      <c r="CQ513" s="1111" t="str">
        <f t="shared" si="1841"/>
        <v/>
      </c>
      <c r="CR513" s="1111" t="str">
        <f t="shared" si="1841"/>
        <v/>
      </c>
      <c r="CS513" s="1110" t="str">
        <f t="shared" si="1841"/>
        <v/>
      </c>
      <c r="CT513" s="1113" t="str">
        <f t="shared" si="1841"/>
        <v/>
      </c>
      <c r="CU513" s="324" t="str">
        <f t="shared" si="1778"/>
        <v/>
      </c>
      <c r="CV513" s="325" t="str">
        <f t="shared" si="1779"/>
        <v/>
      </c>
      <c r="CW513" s="326" t="str">
        <f t="shared" si="1780"/>
        <v/>
      </c>
      <c r="CX513" s="326" t="str">
        <f t="shared" si="1781"/>
        <v/>
      </c>
      <c r="CY513" s="326" t="str">
        <f t="shared" si="1782"/>
        <v/>
      </c>
      <c r="CZ513" s="326" t="str">
        <f t="shared" si="1783"/>
        <v/>
      </c>
      <c r="DA513" s="326">
        <f t="shared" si="1784"/>
        <v>1.6</v>
      </c>
      <c r="DB513" s="327">
        <f t="shared" si="1785"/>
        <v>13.28</v>
      </c>
      <c r="DC513" s="327">
        <f t="shared" si="1786"/>
        <v>72</v>
      </c>
      <c r="DD513" s="327">
        <f t="shared" si="1787"/>
        <v>96</v>
      </c>
      <c r="DE513" s="326">
        <f t="shared" si="1788"/>
        <v>96.000000000000014</v>
      </c>
      <c r="DF513" s="326" t="str">
        <f t="shared" si="1789"/>
        <v/>
      </c>
      <c r="DG513" s="326" t="str">
        <f t="shared" si="1790"/>
        <v/>
      </c>
      <c r="DH513" s="326" t="str">
        <f t="shared" si="1791"/>
        <v/>
      </c>
      <c r="DI513" s="326" t="str">
        <f t="shared" si="1792"/>
        <v/>
      </c>
      <c r="DJ513" s="325" t="str">
        <f t="shared" si="1793"/>
        <v/>
      </c>
      <c r="DK513" s="324" t="str">
        <f t="shared" si="1794"/>
        <v/>
      </c>
      <c r="DL513" s="428">
        <f t="shared" si="1795"/>
        <v>5</v>
      </c>
      <c r="DM513" s="66">
        <f t="shared" si="1796"/>
        <v>5</v>
      </c>
      <c r="DN513" s="66">
        <f t="shared" si="1797"/>
        <v>9</v>
      </c>
      <c r="DO513" s="66">
        <f t="shared" si="1798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5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541"/>
        <v>0.125</v>
      </c>
      <c r="CA514" s="373">
        <f t="shared" si="1542"/>
        <v>0.25</v>
      </c>
      <c r="CB514" s="373">
        <f t="shared" si="1543"/>
        <v>1</v>
      </c>
      <c r="CC514" s="462">
        <f t="shared" si="1544"/>
        <v>5</v>
      </c>
      <c r="CD514" s="1109" t="str">
        <f t="shared" si="1799"/>
        <v/>
      </c>
      <c r="CE514" s="1110" t="str">
        <f t="shared" si="1841"/>
        <v/>
      </c>
      <c r="CF514" s="1111" t="str">
        <f t="shared" si="1841"/>
        <v/>
      </c>
      <c r="CG514" s="1111" t="str">
        <f t="shared" si="1841"/>
        <v/>
      </c>
      <c r="CH514" s="1111" t="str">
        <f t="shared" si="1841"/>
        <v/>
      </c>
      <c r="CI514" s="1111">
        <f t="shared" si="1841"/>
        <v>0.1</v>
      </c>
      <c r="CJ514" s="1111">
        <f t="shared" si="1841"/>
        <v>0.1</v>
      </c>
      <c r="CK514" s="1112">
        <f t="shared" si="1841"/>
        <v>0.1</v>
      </c>
      <c r="CL514" s="1112">
        <f t="shared" si="1841"/>
        <v>0.1</v>
      </c>
      <c r="CM514" s="1112">
        <f t="shared" si="1841"/>
        <v>0.1</v>
      </c>
      <c r="CN514" s="1111">
        <f t="shared" si="1841"/>
        <v>0.1</v>
      </c>
      <c r="CO514" s="1111">
        <f t="shared" si="1841"/>
        <v>0.25</v>
      </c>
      <c r="CP514" s="1111">
        <f t="shared" si="1841"/>
        <v>0.5</v>
      </c>
      <c r="CQ514" s="1111" t="str">
        <f t="shared" si="1841"/>
        <v/>
      </c>
      <c r="CR514" s="1111" t="str">
        <f t="shared" si="1841"/>
        <v/>
      </c>
      <c r="CS514" s="1110" t="str">
        <f t="shared" si="1841"/>
        <v/>
      </c>
      <c r="CT514" s="1113" t="str">
        <f t="shared" si="1841"/>
        <v/>
      </c>
      <c r="CU514" s="324" t="str">
        <f t="shared" si="1778"/>
        <v/>
      </c>
      <c r="CV514" s="325" t="str">
        <f t="shared" si="1779"/>
        <v/>
      </c>
      <c r="CW514" s="326" t="str">
        <f t="shared" si="1780"/>
        <v/>
      </c>
      <c r="CX514" s="326" t="str">
        <f t="shared" si="1781"/>
        <v/>
      </c>
      <c r="CY514" s="326">
        <f t="shared" si="1782"/>
        <v>0.1</v>
      </c>
      <c r="CZ514" s="326">
        <f t="shared" si="1783"/>
        <v>0.25</v>
      </c>
      <c r="DA514" s="326">
        <f t="shared" si="1784"/>
        <v>0.25</v>
      </c>
      <c r="DB514" s="327">
        <f t="shared" si="1785"/>
        <v>0.25</v>
      </c>
      <c r="DC514" s="327">
        <f t="shared" si="1786"/>
        <v>0.25</v>
      </c>
      <c r="DD514" s="327">
        <f t="shared" si="1787"/>
        <v>0.25</v>
      </c>
      <c r="DE514" s="326">
        <f t="shared" si="1788"/>
        <v>0.25</v>
      </c>
      <c r="DF514" s="326">
        <f t="shared" si="1789"/>
        <v>0.25</v>
      </c>
      <c r="DG514" s="326">
        <f t="shared" si="1790"/>
        <v>0.25</v>
      </c>
      <c r="DH514" s="326" t="str">
        <f t="shared" si="1791"/>
        <v/>
      </c>
      <c r="DI514" s="326" t="str">
        <f t="shared" si="1792"/>
        <v/>
      </c>
      <c r="DJ514" s="325" t="str">
        <f t="shared" si="1793"/>
        <v/>
      </c>
      <c r="DK514" s="324" t="str">
        <f t="shared" si="1794"/>
        <v/>
      </c>
      <c r="DL514" s="428">
        <f t="shared" si="1795"/>
        <v>8</v>
      </c>
      <c r="DM514" s="66">
        <f t="shared" si="1796"/>
        <v>9</v>
      </c>
      <c r="DN514" s="66">
        <f t="shared" si="1797"/>
        <v>9</v>
      </c>
      <c r="DO514" s="66">
        <f t="shared" si="1798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541"/>
        <v>33.333333333333336</v>
      </c>
      <c r="CA515" s="373">
        <f t="shared" si="1542"/>
        <v>143</v>
      </c>
      <c r="CB515" s="373">
        <f t="shared" si="1543"/>
        <v>17.714285714285715</v>
      </c>
      <c r="CC515" s="462">
        <f t="shared" si="1544"/>
        <v>7.7142857142857144</v>
      </c>
      <c r="CD515" s="1109" t="str">
        <f t="shared" si="1799"/>
        <v/>
      </c>
      <c r="CE515" s="1110" t="str">
        <f t="shared" si="1841"/>
        <v/>
      </c>
      <c r="CF515" s="1111" t="str">
        <f t="shared" si="1841"/>
        <v/>
      </c>
      <c r="CG515" s="1111" t="str">
        <f t="shared" si="1841"/>
        <v/>
      </c>
      <c r="CH515" s="1111" t="str">
        <f t="shared" si="1841"/>
        <v/>
      </c>
      <c r="CI515" s="1111">
        <f t="shared" si="1841"/>
        <v>7</v>
      </c>
      <c r="CJ515" s="1111">
        <f t="shared" si="1841"/>
        <v>12</v>
      </c>
      <c r="CK515" s="1112">
        <f t="shared" si="1841"/>
        <v>24</v>
      </c>
      <c r="CL515" s="1112">
        <f t="shared" si="1841"/>
        <v>30</v>
      </c>
      <c r="CM515" s="1112">
        <f t="shared" si="1841"/>
        <v>36</v>
      </c>
      <c r="CN515" s="1111">
        <f t="shared" si="1841"/>
        <v>48</v>
      </c>
      <c r="CO515" s="1111">
        <f t="shared" si="1841"/>
        <v>50</v>
      </c>
      <c r="CP515" s="1111">
        <f t="shared" si="1841"/>
        <v>100</v>
      </c>
      <c r="CQ515" s="1111" t="str">
        <f t="shared" si="1841"/>
        <v/>
      </c>
      <c r="CR515" s="1111" t="str">
        <f t="shared" si="1841"/>
        <v/>
      </c>
      <c r="CS515" s="1110" t="str">
        <f t="shared" si="1841"/>
        <v/>
      </c>
      <c r="CT515" s="1113" t="str">
        <f t="shared" si="1841"/>
        <v/>
      </c>
      <c r="CU515" s="324" t="str">
        <f t="shared" si="1778"/>
        <v/>
      </c>
      <c r="CV515" s="325" t="str">
        <f t="shared" si="1779"/>
        <v/>
      </c>
      <c r="CW515" s="326" t="str">
        <f t="shared" si="1780"/>
        <v/>
      </c>
      <c r="CX515" s="326" t="str">
        <f t="shared" si="1781"/>
        <v/>
      </c>
      <c r="CY515" s="326">
        <f t="shared" si="1782"/>
        <v>12</v>
      </c>
      <c r="CZ515" s="326">
        <f t="shared" si="1783"/>
        <v>15</v>
      </c>
      <c r="DA515" s="326">
        <f t="shared" si="1784"/>
        <v>16</v>
      </c>
      <c r="DB515" s="327">
        <f t="shared" si="1785"/>
        <v>80</v>
      </c>
      <c r="DC515" s="327">
        <f t="shared" si="1786"/>
        <v>180</v>
      </c>
      <c r="DD515" s="327">
        <f t="shared" si="1787"/>
        <v>230</v>
      </c>
      <c r="DE515" s="326">
        <f t="shared" si="1788"/>
        <v>240</v>
      </c>
      <c r="DF515" s="326">
        <f t="shared" si="1789"/>
        <v>240</v>
      </c>
      <c r="DG515" s="326">
        <f t="shared" si="1790"/>
        <v>252</v>
      </c>
      <c r="DH515" s="326" t="str">
        <f t="shared" si="1791"/>
        <v/>
      </c>
      <c r="DI515" s="326" t="str">
        <f t="shared" si="1792"/>
        <v/>
      </c>
      <c r="DJ515" s="325" t="str">
        <f t="shared" si="1793"/>
        <v/>
      </c>
      <c r="DK515" s="324" t="str">
        <f t="shared" si="1794"/>
        <v/>
      </c>
      <c r="DL515" s="428">
        <f t="shared" si="1795"/>
        <v>8</v>
      </c>
      <c r="DM515" s="66">
        <f t="shared" si="1796"/>
        <v>9</v>
      </c>
      <c r="DN515" s="66">
        <f t="shared" si="1797"/>
        <v>9</v>
      </c>
      <c r="DO515" s="66">
        <f t="shared" si="1798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847">9000*$K$1</f>
        <v>9000</v>
      </c>
      <c r="C516" s="536">
        <f t="shared" si="1847"/>
        <v>9000</v>
      </c>
      <c r="D516" s="536">
        <f t="shared" si="1847"/>
        <v>9000</v>
      </c>
      <c r="E516" s="536">
        <f t="shared" si="1847"/>
        <v>9000</v>
      </c>
      <c r="F516" s="536">
        <f t="shared" si="1847"/>
        <v>9000</v>
      </c>
      <c r="G516" s="536">
        <f t="shared" si="1847"/>
        <v>9000</v>
      </c>
      <c r="H516" s="536">
        <f t="shared" si="1847"/>
        <v>9000</v>
      </c>
      <c r="I516" s="536">
        <f t="shared" si="1847"/>
        <v>9000</v>
      </c>
      <c r="J516" s="536">
        <f t="shared" si="1847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848">9000*$K$1</f>
        <v>9000</v>
      </c>
      <c r="U516" s="536">
        <f t="shared" si="1848"/>
        <v>9000</v>
      </c>
      <c r="V516" s="536">
        <f t="shared" si="1848"/>
        <v>9000</v>
      </c>
      <c r="W516" s="536">
        <f t="shared" si="1848"/>
        <v>9000</v>
      </c>
      <c r="X516" s="536">
        <f t="shared" si="1848"/>
        <v>9000</v>
      </c>
      <c r="Y516" s="536">
        <f t="shared" si="1848"/>
        <v>9000</v>
      </c>
      <c r="Z516" s="536">
        <f t="shared" si="1848"/>
        <v>9000</v>
      </c>
      <c r="AA516" s="536">
        <f t="shared" si="1848"/>
        <v>9000</v>
      </c>
      <c r="AB516" s="536">
        <f t="shared" si="1848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849">9000*$K$1</f>
        <v>9000</v>
      </c>
      <c r="AM516" s="536">
        <f t="shared" si="1849"/>
        <v>9000</v>
      </c>
      <c r="AN516" s="536">
        <f t="shared" si="1849"/>
        <v>9000</v>
      </c>
      <c r="AO516" s="536">
        <f t="shared" si="1849"/>
        <v>9000</v>
      </c>
      <c r="AP516" s="536">
        <f t="shared" si="1849"/>
        <v>9000</v>
      </c>
      <c r="AQ516" s="536">
        <f t="shared" si="1849"/>
        <v>9000</v>
      </c>
      <c r="AR516" s="536">
        <f t="shared" si="1849"/>
        <v>9000</v>
      </c>
      <c r="AS516" s="536">
        <f t="shared" si="1849"/>
        <v>9000</v>
      </c>
      <c r="AT516" s="536">
        <f t="shared" si="1849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850">9000*$K$1</f>
        <v>9000</v>
      </c>
      <c r="BE516" s="536">
        <f t="shared" si="1850"/>
        <v>9000</v>
      </c>
      <c r="BF516" s="536">
        <f t="shared" si="1850"/>
        <v>9000</v>
      </c>
      <c r="BG516" s="536">
        <f t="shared" si="1850"/>
        <v>9000</v>
      </c>
      <c r="BH516" s="536">
        <f t="shared" si="1850"/>
        <v>9000</v>
      </c>
      <c r="BI516" s="536">
        <f t="shared" si="1850"/>
        <v>9000</v>
      </c>
      <c r="BJ516" s="536">
        <f t="shared" si="1850"/>
        <v>9000</v>
      </c>
      <c r="BK516" s="536">
        <f t="shared" si="1850"/>
        <v>9000</v>
      </c>
      <c r="BL516" s="536">
        <f t="shared" si="1850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541"/>
        <v>9000</v>
      </c>
      <c r="CA516" s="373">
        <f t="shared" si="1542"/>
        <v>9000</v>
      </c>
      <c r="CB516" s="373">
        <f t="shared" si="1543"/>
        <v>9000</v>
      </c>
      <c r="CC516" s="462">
        <f t="shared" si="1544"/>
        <v>9000</v>
      </c>
      <c r="CD516" s="1109" t="str">
        <f t="shared" si="1799"/>
        <v/>
      </c>
      <c r="CE516" s="1110" t="str">
        <f t="shared" si="1841"/>
        <v/>
      </c>
      <c r="CF516" s="1111" t="str">
        <f t="shared" si="1841"/>
        <v/>
      </c>
      <c r="CG516" s="1111" t="str">
        <f t="shared" si="1841"/>
        <v/>
      </c>
      <c r="CH516" s="1111">
        <f t="shared" si="1841"/>
        <v>9000</v>
      </c>
      <c r="CI516" s="1111">
        <f t="shared" si="1841"/>
        <v>9000</v>
      </c>
      <c r="CJ516" s="1111">
        <f t="shared" si="1841"/>
        <v>9000</v>
      </c>
      <c r="CK516" s="1112">
        <f t="shared" si="1841"/>
        <v>9000</v>
      </c>
      <c r="CL516" s="1112">
        <f t="shared" si="1841"/>
        <v>9000</v>
      </c>
      <c r="CM516" s="1112">
        <f t="shared" si="1841"/>
        <v>9000</v>
      </c>
      <c r="CN516" s="1111">
        <f t="shared" si="1841"/>
        <v>9000</v>
      </c>
      <c r="CO516" s="1111">
        <f t="shared" si="1841"/>
        <v>9000</v>
      </c>
      <c r="CP516" s="1111">
        <f t="shared" si="1841"/>
        <v>9000</v>
      </c>
      <c r="CQ516" s="1111" t="str">
        <f t="shared" si="1841"/>
        <v/>
      </c>
      <c r="CR516" s="1111" t="str">
        <f t="shared" si="1841"/>
        <v/>
      </c>
      <c r="CS516" s="1110" t="str">
        <f t="shared" si="1841"/>
        <v/>
      </c>
      <c r="CT516" s="1113" t="str">
        <f t="shared" si="1841"/>
        <v/>
      </c>
      <c r="CU516" s="324" t="str">
        <f t="shared" si="1778"/>
        <v/>
      </c>
      <c r="CV516" s="325" t="str">
        <f t="shared" si="1779"/>
        <v/>
      </c>
      <c r="CW516" s="326" t="str">
        <f t="shared" si="1780"/>
        <v/>
      </c>
      <c r="CX516" s="326" t="str">
        <f t="shared" si="1781"/>
        <v/>
      </c>
      <c r="CY516" s="326">
        <f t="shared" si="1782"/>
        <v>9000</v>
      </c>
      <c r="CZ516" s="326">
        <f t="shared" si="1783"/>
        <v>9000</v>
      </c>
      <c r="DA516" s="326">
        <f t="shared" si="1784"/>
        <v>9000</v>
      </c>
      <c r="DB516" s="327">
        <f t="shared" si="1785"/>
        <v>9000</v>
      </c>
      <c r="DC516" s="327">
        <f t="shared" si="1786"/>
        <v>9000</v>
      </c>
      <c r="DD516" s="327">
        <f t="shared" si="1787"/>
        <v>9000</v>
      </c>
      <c r="DE516" s="326">
        <f t="shared" si="1788"/>
        <v>9000</v>
      </c>
      <c r="DF516" s="326">
        <f t="shared" si="1789"/>
        <v>9000</v>
      </c>
      <c r="DG516" s="326">
        <f t="shared" si="1790"/>
        <v>9000</v>
      </c>
      <c r="DH516" s="326" t="str">
        <f t="shared" si="1791"/>
        <v/>
      </c>
      <c r="DI516" s="326" t="str">
        <f t="shared" si="1792"/>
        <v/>
      </c>
      <c r="DJ516" s="325" t="str">
        <f t="shared" si="1793"/>
        <v/>
      </c>
      <c r="DK516" s="324" t="str">
        <f t="shared" si="1794"/>
        <v/>
      </c>
      <c r="DL516" s="428">
        <f t="shared" si="1795"/>
        <v>9</v>
      </c>
      <c r="DM516" s="66">
        <f t="shared" si="1796"/>
        <v>9</v>
      </c>
      <c r="DN516" s="66">
        <f t="shared" si="1797"/>
        <v>9</v>
      </c>
      <c r="DO516" s="66">
        <f t="shared" si="1798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851">IF(B514="","",B514*B515*B516/B$46/365/$G$1)</f>
        <v>2.8180039138943256E-3</v>
      </c>
      <c r="C517" s="408">
        <f t="shared" si="1851"/>
        <v>6.0385798154878392E-3</v>
      </c>
      <c r="D517" s="408">
        <f t="shared" si="1851"/>
        <v>1.9569471624266144E-2</v>
      </c>
      <c r="E517" s="408">
        <f t="shared" si="1851"/>
        <v>9.7847358121330719E-3</v>
      </c>
      <c r="F517" s="408">
        <f t="shared" si="1851"/>
        <v>1.3698630136986306E-3</v>
      </c>
      <c r="G517" s="408">
        <f t="shared" si="1851"/>
        <v>7.0450097847358133E-3</v>
      </c>
      <c r="H517" s="408">
        <f t="shared" si="1851"/>
        <v>2.9354207436399219E-2</v>
      </c>
      <c r="I517" s="408" t="str">
        <f t="shared" si="1851"/>
        <v/>
      </c>
      <c r="J517" s="408">
        <f t="shared" si="1851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852">IF(T514="","",T514*T515*T516/T$46/365/$G$1)</f>
        <v>8.8062622309197647E-2</v>
      </c>
      <c r="U517" s="540">
        <f t="shared" si="1852"/>
        <v>6.1376979185198355E-2</v>
      </c>
      <c r="V517" s="540">
        <f t="shared" si="1852"/>
        <v>6.1643835616438353E-2</v>
      </c>
      <c r="W517" s="540">
        <f t="shared" si="1852"/>
        <v>7.0450097847358117E-2</v>
      </c>
      <c r="X517" s="540">
        <f t="shared" si="1852"/>
        <v>5.8708414872798431E-3</v>
      </c>
      <c r="Y517" s="540">
        <f t="shared" si="1852"/>
        <v>6.2901873077998325E-3</v>
      </c>
      <c r="Z517" s="540">
        <f t="shared" si="1852"/>
        <v>6.6046966731898249E-2</v>
      </c>
      <c r="AA517" s="540">
        <f t="shared" si="1852"/>
        <v>3.5225048923679062E-3</v>
      </c>
      <c r="AB517" s="540">
        <f t="shared" si="1852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853">IF(AL514="","",AL514*AL515*AL516/AL$46/365/$G$1)</f>
        <v>1.7078811599359544E-2</v>
      </c>
      <c r="AM517" s="408">
        <f t="shared" si="1853"/>
        <v>3.4246575342465752E-2</v>
      </c>
      <c r="AN517" s="408">
        <f t="shared" si="1853"/>
        <v>2.0547945205479454E-2</v>
      </c>
      <c r="AO517" s="408">
        <f t="shared" si="1853"/>
        <v>1.1741682974559686E-2</v>
      </c>
      <c r="AP517" s="408">
        <f t="shared" si="1853"/>
        <v>3.9138943248532287E-2</v>
      </c>
      <c r="AQ517" s="408">
        <f t="shared" si="1853"/>
        <v>3.5225048923679059E-2</v>
      </c>
      <c r="AR517" s="408">
        <f t="shared" si="1853"/>
        <v>7.0450097847358117E-2</v>
      </c>
      <c r="AS517" s="408">
        <f t="shared" si="1853"/>
        <v>1.7612524461839529E-2</v>
      </c>
      <c r="AT517" s="408">
        <f t="shared" si="1853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854">IF(BD514="","",BD514*BD515*BD516/BD$46/365/$G$1)</f>
        <v>2.9354207436399219E-2</v>
      </c>
      <c r="BE517" s="408">
        <f t="shared" si="1854"/>
        <v>4.4031311154598823E-2</v>
      </c>
      <c r="BF517" s="408">
        <f t="shared" si="1854"/>
        <v>1.1741682974559686E-2</v>
      </c>
      <c r="BG517" s="408">
        <f t="shared" si="1854"/>
        <v>1.1741682974559686E-2</v>
      </c>
      <c r="BH517" s="408">
        <f t="shared" si="1854"/>
        <v>8.8062622309197647E-2</v>
      </c>
      <c r="BI517" s="408">
        <f t="shared" si="1854"/>
        <v>5.032149846239866E-2</v>
      </c>
      <c r="BJ517" s="408">
        <f t="shared" si="1854"/>
        <v>7.8277886497064575E-2</v>
      </c>
      <c r="BK517" s="408">
        <f t="shared" si="1854"/>
        <v>0.11741682974559688</v>
      </c>
      <c r="BL517" s="408">
        <f t="shared" si="1854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4" t="str">
        <f t="shared" si="1799"/>
        <v/>
      </c>
      <c r="CE517" s="1115" t="str">
        <f t="shared" si="1841"/>
        <v/>
      </c>
      <c r="CF517" s="1116" t="str">
        <f t="shared" si="1841"/>
        <v/>
      </c>
      <c r="CG517" s="1116" t="str">
        <f t="shared" si="1841"/>
        <v/>
      </c>
      <c r="CH517" s="1116" t="str">
        <f t="shared" si="1841"/>
        <v/>
      </c>
      <c r="CI517" s="1116">
        <f t="shared" si="1841"/>
        <v>1.3698630136986306E-3</v>
      </c>
      <c r="CJ517" s="1116">
        <f t="shared" si="1841"/>
        <v>2.8180039138943256E-3</v>
      </c>
      <c r="CK517" s="1117">
        <f t="shared" si="1841"/>
        <v>5.032149846239866E-3</v>
      </c>
      <c r="CL517" s="1117">
        <f t="shared" si="1841"/>
        <v>6.0385798154878392E-3</v>
      </c>
      <c r="CM517" s="1117">
        <f t="shared" si="1841"/>
        <v>7.0450097847358133E-3</v>
      </c>
      <c r="CN517" s="1116">
        <f t="shared" si="1841"/>
        <v>9.7847358121330719E-3</v>
      </c>
      <c r="CO517" s="1116">
        <f t="shared" si="1841"/>
        <v>1.9569471624266144E-2</v>
      </c>
      <c r="CP517" s="1116">
        <f t="shared" si="1841"/>
        <v>2.9354207436399219E-2</v>
      </c>
      <c r="CQ517" s="1116" t="str">
        <f t="shared" si="1841"/>
        <v/>
      </c>
      <c r="CR517" s="1116" t="str">
        <f t="shared" si="1841"/>
        <v/>
      </c>
      <c r="CS517" s="1115" t="str">
        <f t="shared" si="1841"/>
        <v/>
      </c>
      <c r="CT517" s="1118" t="str">
        <f t="shared" si="1841"/>
        <v/>
      </c>
      <c r="CU517" s="312" t="str">
        <f t="shared" si="1778"/>
        <v/>
      </c>
      <c r="CV517" s="313" t="str">
        <f t="shared" si="1779"/>
        <v/>
      </c>
      <c r="CW517" s="314" t="str">
        <f t="shared" si="1780"/>
        <v/>
      </c>
      <c r="CX517" s="314" t="str">
        <f t="shared" si="1781"/>
        <v/>
      </c>
      <c r="CY517" s="314">
        <f t="shared" si="1782"/>
        <v>3.5225048923679062E-3</v>
      </c>
      <c r="CZ517" s="314">
        <f t="shared" si="1783"/>
        <v>5.8708414872798431E-3</v>
      </c>
      <c r="DA517" s="314">
        <f t="shared" si="1784"/>
        <v>6.2901873077998325E-3</v>
      </c>
      <c r="DB517" s="315">
        <f t="shared" si="1785"/>
        <v>1.3419066256639644E-2</v>
      </c>
      <c r="DC517" s="315">
        <f t="shared" si="1786"/>
        <v>6.1376979185198355E-2</v>
      </c>
      <c r="DD517" s="315">
        <f t="shared" si="1787"/>
        <v>6.1643835616438353E-2</v>
      </c>
      <c r="DE517" s="314">
        <f t="shared" si="1788"/>
        <v>6.6046966731898249E-2</v>
      </c>
      <c r="DF517" s="314">
        <f t="shared" si="1789"/>
        <v>7.0450097847358117E-2</v>
      </c>
      <c r="DG517" s="314">
        <f t="shared" si="1790"/>
        <v>8.8062622309197647E-2</v>
      </c>
      <c r="DH517" s="314" t="str">
        <f t="shared" si="1791"/>
        <v/>
      </c>
      <c r="DI517" s="314" t="str">
        <f t="shared" si="1792"/>
        <v/>
      </c>
      <c r="DJ517" s="313" t="str">
        <f t="shared" si="1793"/>
        <v/>
      </c>
      <c r="DK517" s="312" t="str">
        <f t="shared" si="1794"/>
        <v/>
      </c>
      <c r="DL517" s="428">
        <f t="shared" si="1795"/>
        <v>8</v>
      </c>
      <c r="DM517" s="66">
        <f t="shared" si="1796"/>
        <v>9</v>
      </c>
      <c r="DN517" s="66">
        <f t="shared" si="1797"/>
        <v>9</v>
      </c>
      <c r="DO517" s="66">
        <f t="shared" si="1798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541"/>
        <v>9.4166666666666661</v>
      </c>
      <c r="CA518" s="373">
        <f t="shared" si="1542"/>
        <v>5.7771428571428567</v>
      </c>
      <c r="CB518" s="373">
        <f t="shared" si="1543"/>
        <v>11</v>
      </c>
      <c r="CC518" s="462">
        <f t="shared" si="1544"/>
        <v>9.7999999999999989</v>
      </c>
      <c r="CD518" s="1109" t="str">
        <f t="shared" si="1799"/>
        <v/>
      </c>
      <c r="CE518" s="1110" t="str">
        <f t="shared" ref="CE518:CS518" si="18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1" t="str">
        <f t="shared" si="1855"/>
        <v/>
      </c>
      <c r="CG518" s="1111" t="str">
        <f t="shared" si="1855"/>
        <v/>
      </c>
      <c r="CH518" s="1111" t="str">
        <f t="shared" si="1855"/>
        <v/>
      </c>
      <c r="CI518" s="1111">
        <f t="shared" si="1855"/>
        <v>0.5</v>
      </c>
      <c r="CJ518" s="1111">
        <f t="shared" si="1855"/>
        <v>2.7</v>
      </c>
      <c r="CK518" s="1112">
        <f t="shared" si="1855"/>
        <v>4.8</v>
      </c>
      <c r="CL518" s="1112">
        <f t="shared" si="1855"/>
        <v>5</v>
      </c>
      <c r="CM518" s="1112">
        <f t="shared" si="1855"/>
        <v>12</v>
      </c>
      <c r="CN518" s="1111">
        <f t="shared" si="1855"/>
        <v>12</v>
      </c>
      <c r="CO518" s="1111">
        <f t="shared" si="1855"/>
        <v>20</v>
      </c>
      <c r="CP518" s="1111">
        <f t="shared" si="1855"/>
        <v>24</v>
      </c>
      <c r="CQ518" s="1111" t="str">
        <f t="shared" si="1855"/>
        <v/>
      </c>
      <c r="CR518" s="1111" t="str">
        <f t="shared" si="1855"/>
        <v/>
      </c>
      <c r="CS518" s="1110" t="str">
        <f t="shared" si="1855"/>
        <v/>
      </c>
      <c r="CT518" s="1113" t="str">
        <f t="shared" ref="CE518:CT530" si="18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778"/>
        <v/>
      </c>
      <c r="CV518" s="325" t="str">
        <f t="shared" si="1779"/>
        <v/>
      </c>
      <c r="CW518" s="326" t="str">
        <f t="shared" si="1780"/>
        <v/>
      </c>
      <c r="CX518" s="326" t="str">
        <f t="shared" si="1781"/>
        <v/>
      </c>
      <c r="CY518" s="326">
        <f t="shared" si="1782"/>
        <v>0.5</v>
      </c>
      <c r="CZ518" s="326">
        <f t="shared" si="1783"/>
        <v>1</v>
      </c>
      <c r="DA518" s="326">
        <f t="shared" si="1784"/>
        <v>2.44</v>
      </c>
      <c r="DB518" s="327">
        <f t="shared" si="1785"/>
        <v>3</v>
      </c>
      <c r="DC518" s="327">
        <f t="shared" si="1786"/>
        <v>4</v>
      </c>
      <c r="DD518" s="327">
        <f t="shared" si="1787"/>
        <v>10</v>
      </c>
      <c r="DE518" s="326">
        <f t="shared" si="1788"/>
        <v>10</v>
      </c>
      <c r="DF518" s="326">
        <f t="shared" si="1789"/>
        <v>10</v>
      </c>
      <c r="DG518" s="326">
        <f t="shared" si="1790"/>
        <v>24</v>
      </c>
      <c r="DH518" s="326" t="str">
        <f t="shared" si="1791"/>
        <v/>
      </c>
      <c r="DI518" s="326" t="str">
        <f t="shared" si="1792"/>
        <v/>
      </c>
      <c r="DJ518" s="325" t="str">
        <f t="shared" si="1793"/>
        <v/>
      </c>
      <c r="DK518" s="324" t="str">
        <f t="shared" si="1794"/>
        <v/>
      </c>
      <c r="DL518" s="428">
        <f t="shared" si="1795"/>
        <v>8</v>
      </c>
      <c r="DM518" s="66">
        <f t="shared" si="1796"/>
        <v>9</v>
      </c>
      <c r="DN518" s="66">
        <f t="shared" si="1797"/>
        <v>8</v>
      </c>
      <c r="DO518" s="66">
        <f t="shared" si="1798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857">IF(B518="","",B514*B515*B518)</f>
        <v>12.000000000000002</v>
      </c>
      <c r="C519" s="535">
        <f t="shared" si="1857"/>
        <v>9.7200000000000006</v>
      </c>
      <c r="D519" s="535">
        <f t="shared" si="1857"/>
        <v>120</v>
      </c>
      <c r="E519" s="535">
        <f t="shared" si="1857"/>
        <v>60</v>
      </c>
      <c r="F519" s="535">
        <f t="shared" si="1857"/>
        <v>14.000000000000002</v>
      </c>
      <c r="G519" s="535">
        <f t="shared" si="1857"/>
        <v>23.040000000000003</v>
      </c>
      <c r="H519" s="535">
        <f t="shared" si="1857"/>
        <v>7.5</v>
      </c>
      <c r="I519" s="535" t="str">
        <f t="shared" si="1857"/>
        <v/>
      </c>
      <c r="J519" s="535">
        <f t="shared" si="1857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858">IF(T518="","",T514*T515*T518)</f>
        <v>600</v>
      </c>
      <c r="U519" s="535">
        <f t="shared" si="1858"/>
        <v>140.29999999999998</v>
      </c>
      <c r="V519" s="535">
        <f t="shared" si="1858"/>
        <v>189</v>
      </c>
      <c r="W519" s="535">
        <f t="shared" si="1858"/>
        <v>60</v>
      </c>
      <c r="X519" s="535">
        <f t="shared" si="1858"/>
        <v>96</v>
      </c>
      <c r="Y519" s="535">
        <f t="shared" si="1858"/>
        <v>15</v>
      </c>
      <c r="Z519" s="535">
        <f t="shared" si="1858"/>
        <v>22.5</v>
      </c>
      <c r="AA519" s="535">
        <f t="shared" si="1858"/>
        <v>30</v>
      </c>
      <c r="AB519" s="535">
        <f t="shared" si="1858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859">IF(AL518="","",AL514*AL515*AL518)</f>
        <v>160</v>
      </c>
      <c r="AM519" s="535">
        <f t="shared" si="1859"/>
        <v>350</v>
      </c>
      <c r="AN519" s="535">
        <f t="shared" si="1859"/>
        <v>182</v>
      </c>
      <c r="AO519" s="535">
        <f t="shared" si="1859"/>
        <v>104</v>
      </c>
      <c r="AP519" s="535" t="str">
        <f t="shared" si="1859"/>
        <v/>
      </c>
      <c r="AQ519" s="535">
        <f t="shared" si="1859"/>
        <v>180</v>
      </c>
      <c r="AR519" s="535">
        <f t="shared" si="1859"/>
        <v>480</v>
      </c>
      <c r="AS519" s="535">
        <f t="shared" si="1859"/>
        <v>192</v>
      </c>
      <c r="AT519" s="535">
        <f t="shared" si="1859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860">IF(BD518="","",BD514*BD515*BD518)</f>
        <v>300</v>
      </c>
      <c r="BE519" s="535">
        <f t="shared" si="1860"/>
        <v>450</v>
      </c>
      <c r="BF519" s="535">
        <f t="shared" si="1860"/>
        <v>100</v>
      </c>
      <c r="BG519" s="535">
        <f t="shared" si="1860"/>
        <v>90</v>
      </c>
      <c r="BH519" s="535">
        <f t="shared" si="1860"/>
        <v>600</v>
      </c>
      <c r="BI519" s="535">
        <f t="shared" si="1860"/>
        <v>450</v>
      </c>
      <c r="BJ519" s="535">
        <f t="shared" si="1860"/>
        <v>360</v>
      </c>
      <c r="BK519" s="535" t="str">
        <f t="shared" si="1860"/>
        <v/>
      </c>
      <c r="BL519" s="535">
        <f t="shared" si="1860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541"/>
        <v>31.793333333333333</v>
      </c>
      <c r="CA519" s="373">
        <f t="shared" si="1542"/>
        <v>88.257142857142853</v>
      </c>
      <c r="CB519" s="373">
        <f t="shared" si="1543"/>
        <v>252.33333333333334</v>
      </c>
      <c r="CC519" s="462">
        <f t="shared" si="1544"/>
        <v>376.66666666666669</v>
      </c>
      <c r="CD519" s="1109" t="str">
        <f t="shared" si="1799"/>
        <v/>
      </c>
      <c r="CE519" s="1110" t="str">
        <f t="shared" si="1856"/>
        <v/>
      </c>
      <c r="CF519" s="1111" t="str">
        <f t="shared" si="1856"/>
        <v/>
      </c>
      <c r="CG519" s="1111" t="str">
        <f t="shared" si="1856"/>
        <v/>
      </c>
      <c r="CH519" s="1111" t="str">
        <f t="shared" si="1856"/>
        <v/>
      </c>
      <c r="CI519" s="1111">
        <f t="shared" si="1856"/>
        <v>7.5</v>
      </c>
      <c r="CJ519" s="1111">
        <f t="shared" si="1856"/>
        <v>9.7200000000000006</v>
      </c>
      <c r="CK519" s="1112">
        <f t="shared" si="1856"/>
        <v>12.000000000000002</v>
      </c>
      <c r="CL519" s="1112">
        <f t="shared" si="1856"/>
        <v>14.000000000000002</v>
      </c>
      <c r="CM519" s="1112">
        <f t="shared" si="1856"/>
        <v>23.040000000000003</v>
      </c>
      <c r="CN519" s="1111">
        <f t="shared" si="1856"/>
        <v>60</v>
      </c>
      <c r="CO519" s="1111">
        <f t="shared" si="1856"/>
        <v>72</v>
      </c>
      <c r="CP519" s="1111">
        <f t="shared" si="1856"/>
        <v>120</v>
      </c>
      <c r="CQ519" s="1111" t="str">
        <f t="shared" si="1856"/>
        <v/>
      </c>
      <c r="CR519" s="1111" t="str">
        <f t="shared" si="1856"/>
        <v/>
      </c>
      <c r="CS519" s="1110" t="str">
        <f t="shared" si="1856"/>
        <v/>
      </c>
      <c r="CT519" s="1113" t="str">
        <f t="shared" si="1856"/>
        <v/>
      </c>
      <c r="CU519" s="324" t="str">
        <f t="shared" si="1778"/>
        <v/>
      </c>
      <c r="CV519" s="325" t="str">
        <f t="shared" si="1779"/>
        <v/>
      </c>
      <c r="CW519" s="326" t="str">
        <f t="shared" si="1780"/>
        <v/>
      </c>
      <c r="CX519" s="326" t="str">
        <f t="shared" si="1781"/>
        <v/>
      </c>
      <c r="CY519" s="326">
        <f t="shared" si="1782"/>
        <v>15</v>
      </c>
      <c r="CZ519" s="326">
        <f t="shared" si="1783"/>
        <v>22.5</v>
      </c>
      <c r="DA519" s="326">
        <f t="shared" si="1784"/>
        <v>30</v>
      </c>
      <c r="DB519" s="327">
        <f t="shared" si="1785"/>
        <v>60</v>
      </c>
      <c r="DC519" s="327">
        <f t="shared" si="1786"/>
        <v>80</v>
      </c>
      <c r="DD519" s="327">
        <f t="shared" si="1787"/>
        <v>96</v>
      </c>
      <c r="DE519" s="326">
        <f t="shared" si="1788"/>
        <v>140.29999999999998</v>
      </c>
      <c r="DF519" s="326">
        <f t="shared" si="1789"/>
        <v>189</v>
      </c>
      <c r="DG519" s="326">
        <f t="shared" si="1790"/>
        <v>600</v>
      </c>
      <c r="DH519" s="326" t="str">
        <f t="shared" si="1791"/>
        <v/>
      </c>
      <c r="DI519" s="326" t="str">
        <f t="shared" si="1792"/>
        <v/>
      </c>
      <c r="DJ519" s="325" t="str">
        <f t="shared" si="1793"/>
        <v/>
      </c>
      <c r="DK519" s="324" t="str">
        <f t="shared" si="1794"/>
        <v/>
      </c>
      <c r="DL519" s="428">
        <f t="shared" si="1795"/>
        <v>8</v>
      </c>
      <c r="DM519" s="66">
        <f t="shared" si="1796"/>
        <v>9</v>
      </c>
      <c r="DN519" s="66">
        <f t="shared" si="1797"/>
        <v>8</v>
      </c>
      <c r="DO519" s="66">
        <f t="shared" si="1798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5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861">IF(DL520&lt;3,"",(SUM(B520:R520)-MIN(B520:R520)-MAX(B520:R520))/(DL520-2))</f>
        <v>2.5</v>
      </c>
      <c r="CA520" s="373" t="str">
        <f t="shared" ref="CA520:CA525" si="1862">IF(DM520&lt;3,"",(SUM(T520:AJ520)-MIN(T520:AJ520)-MAX(T520:AJ520))/(DM520-2))</f>
        <v/>
      </c>
      <c r="CB520" s="373">
        <f t="shared" ref="CB520:CB525" si="1863">IF(DN520&lt;3,"",(SUM(AL520:BB520)-MIN(AL520:BB520)-MAX(AL520:BB520))/(DN520-2))</f>
        <v>4.4000000000000004</v>
      </c>
      <c r="CC520" s="462">
        <f t="shared" ref="CC520:CC525" si="1864">IF(DO520&lt;3,"",(SUM(BD520:BT520)-MIN(BD520:BT520)-MAX(BD520:BT520))/(DO520-2))</f>
        <v>5</v>
      </c>
      <c r="CD520" s="1109" t="str">
        <f t="shared" si="1799"/>
        <v/>
      </c>
      <c r="CE520" s="1110" t="str">
        <f t="shared" si="1856"/>
        <v/>
      </c>
      <c r="CF520" s="1111" t="str">
        <f t="shared" si="1856"/>
        <v/>
      </c>
      <c r="CG520" s="1111" t="str">
        <f t="shared" si="1856"/>
        <v/>
      </c>
      <c r="CH520" s="1111" t="str">
        <f t="shared" si="1856"/>
        <v/>
      </c>
      <c r="CI520" s="1111" t="str">
        <f t="shared" si="1856"/>
        <v/>
      </c>
      <c r="CJ520" s="1111" t="str">
        <f t="shared" si="1856"/>
        <v/>
      </c>
      <c r="CK520" s="1112">
        <f t="shared" si="1856"/>
        <v>2.5</v>
      </c>
      <c r="CL520" s="1112">
        <f t="shared" si="1856"/>
        <v>2.5</v>
      </c>
      <c r="CM520" s="1112">
        <f t="shared" si="1856"/>
        <v>2.5</v>
      </c>
      <c r="CN520" s="1111">
        <f t="shared" si="1856"/>
        <v>2.5</v>
      </c>
      <c r="CO520" s="1111" t="str">
        <f t="shared" si="1856"/>
        <v/>
      </c>
      <c r="CP520" s="1111" t="str">
        <f t="shared" si="1856"/>
        <v/>
      </c>
      <c r="CQ520" s="1111" t="str">
        <f t="shared" si="1856"/>
        <v/>
      </c>
      <c r="CR520" s="1111" t="str">
        <f t="shared" si="1856"/>
        <v/>
      </c>
      <c r="CS520" s="1110" t="str">
        <f t="shared" si="1856"/>
        <v/>
      </c>
      <c r="CT520" s="1113" t="str">
        <f t="shared" si="1856"/>
        <v/>
      </c>
      <c r="CU520" s="324" t="str">
        <f t="shared" si="1778"/>
        <v/>
      </c>
      <c r="CV520" s="325" t="str">
        <f t="shared" si="1779"/>
        <v/>
      </c>
      <c r="CW520" s="326" t="str">
        <f t="shared" si="1780"/>
        <v/>
      </c>
      <c r="CX520" s="326" t="str">
        <f t="shared" si="1781"/>
        <v/>
      </c>
      <c r="CY520" s="326" t="str">
        <f t="shared" si="1782"/>
        <v/>
      </c>
      <c r="CZ520" s="326" t="str">
        <f t="shared" si="1783"/>
        <v/>
      </c>
      <c r="DA520" s="326" t="str">
        <f t="shared" si="1784"/>
        <v/>
      </c>
      <c r="DB520" s="327" t="str">
        <f t="shared" si="1785"/>
        <v/>
      </c>
      <c r="DC520" s="327">
        <f t="shared" si="1786"/>
        <v>2.5</v>
      </c>
      <c r="DD520" s="327">
        <f t="shared" si="1787"/>
        <v>2.5</v>
      </c>
      <c r="DE520" s="326" t="str">
        <f t="shared" si="1788"/>
        <v/>
      </c>
      <c r="DF520" s="326" t="str">
        <f t="shared" si="1789"/>
        <v/>
      </c>
      <c r="DG520" s="326" t="str">
        <f t="shared" si="1790"/>
        <v/>
      </c>
      <c r="DH520" s="326" t="str">
        <f t="shared" si="1791"/>
        <v/>
      </c>
      <c r="DI520" s="326" t="str">
        <f t="shared" si="1792"/>
        <v/>
      </c>
      <c r="DJ520" s="325" t="str">
        <f t="shared" si="1793"/>
        <v/>
      </c>
      <c r="DK520" s="324" t="str">
        <f t="shared" si="1794"/>
        <v/>
      </c>
      <c r="DL520" s="428">
        <f t="shared" ref="DL520:DL525" si="1865">COUNT(B520:R520)</f>
        <v>4</v>
      </c>
      <c r="DM520" s="66">
        <f t="shared" ref="DM520:DM525" si="1866">COUNT(T520:AJ520)</f>
        <v>2</v>
      </c>
      <c r="DN520" s="66">
        <f t="shared" ref="DN520:DN525" si="1867">COUNT(AL520:BB520)</f>
        <v>7</v>
      </c>
      <c r="DO520" s="66">
        <f t="shared" ref="DO520:DO525" si="1868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861"/>
        <v>5.5</v>
      </c>
      <c r="CA521" s="373" t="str">
        <f t="shared" si="1862"/>
        <v/>
      </c>
      <c r="CB521" s="373">
        <f t="shared" si="1863"/>
        <v>17</v>
      </c>
      <c r="CC521" s="462">
        <f t="shared" si="1864"/>
        <v>8</v>
      </c>
      <c r="CD521" s="1109" t="str">
        <f t="shared" si="1799"/>
        <v/>
      </c>
      <c r="CE521" s="1110" t="str">
        <f t="shared" si="1856"/>
        <v/>
      </c>
      <c r="CF521" s="1111" t="str">
        <f t="shared" si="1856"/>
        <v/>
      </c>
      <c r="CG521" s="1111" t="str">
        <f t="shared" si="1856"/>
        <v/>
      </c>
      <c r="CH521" s="1111" t="str">
        <f t="shared" si="1856"/>
        <v/>
      </c>
      <c r="CI521" s="1111" t="str">
        <f t="shared" si="1856"/>
        <v/>
      </c>
      <c r="CJ521" s="1111" t="str">
        <f t="shared" si="1856"/>
        <v/>
      </c>
      <c r="CK521" s="1112">
        <f t="shared" si="1856"/>
        <v>2</v>
      </c>
      <c r="CL521" s="1112">
        <f t="shared" si="1856"/>
        <v>5</v>
      </c>
      <c r="CM521" s="1112">
        <f t="shared" si="1856"/>
        <v>6</v>
      </c>
      <c r="CN521" s="1111">
        <f t="shared" si="1856"/>
        <v>6</v>
      </c>
      <c r="CO521" s="1111" t="str">
        <f t="shared" si="1856"/>
        <v/>
      </c>
      <c r="CP521" s="1111" t="str">
        <f t="shared" si="1856"/>
        <v/>
      </c>
      <c r="CQ521" s="1111" t="str">
        <f t="shared" si="1856"/>
        <v/>
      </c>
      <c r="CR521" s="1111" t="str">
        <f t="shared" si="1856"/>
        <v/>
      </c>
      <c r="CS521" s="1110" t="str">
        <f t="shared" si="1856"/>
        <v/>
      </c>
      <c r="CT521" s="1113" t="str">
        <f t="shared" si="1856"/>
        <v/>
      </c>
      <c r="CU521" s="324" t="str">
        <f t="shared" si="1778"/>
        <v/>
      </c>
      <c r="CV521" s="325" t="str">
        <f t="shared" si="1779"/>
        <v/>
      </c>
      <c r="CW521" s="326" t="str">
        <f t="shared" si="1780"/>
        <v/>
      </c>
      <c r="CX521" s="326" t="str">
        <f t="shared" si="1781"/>
        <v/>
      </c>
      <c r="CY521" s="326" t="str">
        <f t="shared" si="1782"/>
        <v/>
      </c>
      <c r="CZ521" s="326" t="str">
        <f t="shared" si="1783"/>
        <v/>
      </c>
      <c r="DA521" s="326" t="str">
        <f t="shared" si="1784"/>
        <v/>
      </c>
      <c r="DB521" s="327" t="str">
        <f t="shared" si="1785"/>
        <v/>
      </c>
      <c r="DC521" s="327">
        <f t="shared" si="1786"/>
        <v>6</v>
      </c>
      <c r="DD521" s="327">
        <f t="shared" si="1787"/>
        <v>36</v>
      </c>
      <c r="DE521" s="326" t="str">
        <f t="shared" si="1788"/>
        <v/>
      </c>
      <c r="DF521" s="326" t="str">
        <f t="shared" si="1789"/>
        <v/>
      </c>
      <c r="DG521" s="326" t="str">
        <f t="shared" si="1790"/>
        <v/>
      </c>
      <c r="DH521" s="326" t="str">
        <f t="shared" si="1791"/>
        <v/>
      </c>
      <c r="DI521" s="326" t="str">
        <f t="shared" si="1792"/>
        <v/>
      </c>
      <c r="DJ521" s="325" t="str">
        <f t="shared" si="1793"/>
        <v/>
      </c>
      <c r="DK521" s="324" t="str">
        <f t="shared" si="1794"/>
        <v/>
      </c>
      <c r="DL521" s="428">
        <f t="shared" si="1865"/>
        <v>4</v>
      </c>
      <c r="DM521" s="66">
        <f t="shared" si="1866"/>
        <v>2</v>
      </c>
      <c r="DN521" s="66">
        <f t="shared" si="1867"/>
        <v>7</v>
      </c>
      <c r="DO521" s="66">
        <f t="shared" si="1868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869">640*$K$1</f>
        <v>640</v>
      </c>
      <c r="D522" s="536">
        <f t="shared" si="1869"/>
        <v>640</v>
      </c>
      <c r="E522" s="536">
        <f t="shared" si="1869"/>
        <v>640</v>
      </c>
      <c r="F522" s="536">
        <f t="shared" si="1869"/>
        <v>640</v>
      </c>
      <c r="G522" s="536">
        <f t="shared" si="1869"/>
        <v>640</v>
      </c>
      <c r="H522" s="536">
        <f t="shared" si="1869"/>
        <v>640</v>
      </c>
      <c r="I522" s="536">
        <f t="shared" si="1869"/>
        <v>640</v>
      </c>
      <c r="J522" s="536">
        <f t="shared" si="1869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870">640*$K$1</f>
        <v>640</v>
      </c>
      <c r="V522" s="536">
        <f t="shared" si="1870"/>
        <v>640</v>
      </c>
      <c r="W522" s="536">
        <f t="shared" si="1870"/>
        <v>640</v>
      </c>
      <c r="X522" s="536">
        <f t="shared" si="1870"/>
        <v>640</v>
      </c>
      <c r="Y522" s="536">
        <f t="shared" si="1870"/>
        <v>640</v>
      </c>
      <c r="Z522" s="536">
        <f t="shared" si="1870"/>
        <v>640</v>
      </c>
      <c r="AA522" s="536">
        <f t="shared" si="1870"/>
        <v>640</v>
      </c>
      <c r="AB522" s="536">
        <f t="shared" si="1870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871">640*$K$1</f>
        <v>640</v>
      </c>
      <c r="AN522" s="536">
        <f t="shared" si="1871"/>
        <v>640</v>
      </c>
      <c r="AO522" s="536">
        <f t="shared" si="1871"/>
        <v>640</v>
      </c>
      <c r="AP522" s="536">
        <f t="shared" si="1871"/>
        <v>640</v>
      </c>
      <c r="AQ522" s="536">
        <f t="shared" si="1871"/>
        <v>640</v>
      </c>
      <c r="AR522" s="536">
        <f t="shared" si="1871"/>
        <v>640</v>
      </c>
      <c r="AS522" s="536">
        <f t="shared" si="1871"/>
        <v>640</v>
      </c>
      <c r="AT522" s="536">
        <f t="shared" si="1871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872">640*$K$1</f>
        <v>640</v>
      </c>
      <c r="BG522" s="536" t="s">
        <v>888</v>
      </c>
      <c r="BH522" s="536">
        <f t="shared" si="1872"/>
        <v>640</v>
      </c>
      <c r="BI522" s="536">
        <f t="shared" si="1872"/>
        <v>640</v>
      </c>
      <c r="BJ522" s="536">
        <v>640</v>
      </c>
      <c r="BK522" s="536">
        <f t="shared" si="1872"/>
        <v>640</v>
      </c>
      <c r="BL522" s="536">
        <f t="shared" si="1872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872"/>
        <v>640</v>
      </c>
      <c r="BW522" s="536">
        <f t="shared" si="1872"/>
        <v>640</v>
      </c>
      <c r="BX522" s="536">
        <f t="shared" si="1872"/>
        <v>640</v>
      </c>
      <c r="BY522" s="536">
        <f t="shared" si="1872"/>
        <v>640</v>
      </c>
      <c r="BZ522" s="373">
        <f t="shared" si="1861"/>
        <v>640</v>
      </c>
      <c r="CA522" s="373">
        <f t="shared" si="1862"/>
        <v>640</v>
      </c>
      <c r="CB522" s="373">
        <f t="shared" si="1863"/>
        <v>640</v>
      </c>
      <c r="CC522" s="462">
        <f t="shared" si="1864"/>
        <v>640</v>
      </c>
      <c r="CD522" s="1109" t="str">
        <f t="shared" si="1799"/>
        <v/>
      </c>
      <c r="CE522" s="1110" t="str">
        <f t="shared" ref="CE522:CT525" si="18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1" t="str">
        <f t="shared" si="1873"/>
        <v/>
      </c>
      <c r="CG522" s="1111" t="str">
        <f t="shared" si="1873"/>
        <v/>
      </c>
      <c r="CH522" s="1111">
        <f t="shared" si="1873"/>
        <v>640</v>
      </c>
      <c r="CI522" s="1111">
        <f t="shared" si="1873"/>
        <v>640</v>
      </c>
      <c r="CJ522" s="1111">
        <f t="shared" si="1873"/>
        <v>640</v>
      </c>
      <c r="CK522" s="1112">
        <f t="shared" si="1873"/>
        <v>640</v>
      </c>
      <c r="CL522" s="1112">
        <f t="shared" si="1873"/>
        <v>640</v>
      </c>
      <c r="CM522" s="1112">
        <f t="shared" si="1873"/>
        <v>640</v>
      </c>
      <c r="CN522" s="1111">
        <f t="shared" si="1873"/>
        <v>640</v>
      </c>
      <c r="CO522" s="1111">
        <f t="shared" si="1873"/>
        <v>640</v>
      </c>
      <c r="CP522" s="1111">
        <f t="shared" si="1873"/>
        <v>640</v>
      </c>
      <c r="CQ522" s="1111" t="str">
        <f t="shared" si="1873"/>
        <v/>
      </c>
      <c r="CR522" s="1111" t="str">
        <f t="shared" si="1873"/>
        <v/>
      </c>
      <c r="CS522" s="1110" t="str">
        <f t="shared" si="1873"/>
        <v/>
      </c>
      <c r="CT522" s="1113" t="str">
        <f t="shared" si="1873"/>
        <v/>
      </c>
      <c r="CU522" s="324" t="str">
        <f t="shared" si="1778"/>
        <v/>
      </c>
      <c r="CV522" s="325" t="str">
        <f t="shared" si="1779"/>
        <v/>
      </c>
      <c r="CW522" s="326" t="str">
        <f t="shared" si="1780"/>
        <v/>
      </c>
      <c r="CX522" s="326" t="str">
        <f t="shared" si="1781"/>
        <v/>
      </c>
      <c r="CY522" s="326">
        <f t="shared" si="1782"/>
        <v>640</v>
      </c>
      <c r="CZ522" s="326">
        <f t="shared" si="1783"/>
        <v>640</v>
      </c>
      <c r="DA522" s="326">
        <f t="shared" si="1784"/>
        <v>640</v>
      </c>
      <c r="DB522" s="327">
        <f t="shared" si="1785"/>
        <v>640</v>
      </c>
      <c r="DC522" s="327">
        <f t="shared" si="1786"/>
        <v>640</v>
      </c>
      <c r="DD522" s="327">
        <f t="shared" si="1787"/>
        <v>640</v>
      </c>
      <c r="DE522" s="326">
        <f t="shared" si="1788"/>
        <v>640</v>
      </c>
      <c r="DF522" s="326">
        <f t="shared" si="1789"/>
        <v>640</v>
      </c>
      <c r="DG522" s="326">
        <f t="shared" si="1790"/>
        <v>640</v>
      </c>
      <c r="DH522" s="326" t="str">
        <f t="shared" si="1791"/>
        <v/>
      </c>
      <c r="DI522" s="326" t="str">
        <f t="shared" si="1792"/>
        <v/>
      </c>
      <c r="DJ522" s="325" t="str">
        <f t="shared" si="1793"/>
        <v/>
      </c>
      <c r="DK522" s="324" t="str">
        <f t="shared" si="1794"/>
        <v/>
      </c>
      <c r="DL522" s="428">
        <f t="shared" si="1865"/>
        <v>9</v>
      </c>
      <c r="DM522" s="66">
        <f t="shared" si="1866"/>
        <v>9</v>
      </c>
      <c r="DN522" s="66">
        <f t="shared" si="1867"/>
        <v>9</v>
      </c>
      <c r="DO522" s="66">
        <f t="shared" si="1868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874">IF(B520="","",B520*B521*B522/B$46/365/$G$1)</f>
        <v>4.1748206131767771E-4</v>
      </c>
      <c r="C523" s="408">
        <f t="shared" si="1874"/>
        <v>1.7892088342186189E-3</v>
      </c>
      <c r="D523" s="408" t="str">
        <f t="shared" si="1874"/>
        <v/>
      </c>
      <c r="E523" s="408" t="str">
        <f t="shared" si="1874"/>
        <v/>
      </c>
      <c r="F523" s="408" t="str">
        <f t="shared" si="1874"/>
        <v/>
      </c>
      <c r="G523" s="408">
        <f t="shared" si="1874"/>
        <v>1.5655577299412914E-3</v>
      </c>
      <c r="H523" s="408" t="str">
        <f t="shared" si="1874"/>
        <v/>
      </c>
      <c r="I523" s="408" t="str">
        <f t="shared" si="1874"/>
        <v/>
      </c>
      <c r="J523" s="408">
        <f t="shared" si="1874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875">IF(T520="","",T520*T521*T522/T$46/365/$G$1)</f>
        <v>9.3933463796477493E-3</v>
      </c>
      <c r="U523" s="540" t="str">
        <f t="shared" si="1875"/>
        <v/>
      </c>
      <c r="V523" s="540" t="str">
        <f t="shared" si="1875"/>
        <v/>
      </c>
      <c r="W523" s="540" t="str">
        <f t="shared" si="1875"/>
        <v/>
      </c>
      <c r="X523" s="540" t="str">
        <f t="shared" si="1875"/>
        <v/>
      </c>
      <c r="Y523" s="540" t="str">
        <f t="shared" si="1875"/>
        <v/>
      </c>
      <c r="Z523" s="540" t="str">
        <f t="shared" si="1875"/>
        <v/>
      </c>
      <c r="AA523" s="540">
        <f t="shared" si="1875"/>
        <v>1.2524461839530333E-3</v>
      </c>
      <c r="AB523" s="540" t="str">
        <f t="shared" si="1875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876">IF(AL520="","",AL520*AL521*AL522/AL$46/365/$G$1)</f>
        <v>7.9701120797011204E-3</v>
      </c>
      <c r="AM523" s="408">
        <f t="shared" si="1876"/>
        <v>6.9580343552946302E-4</v>
      </c>
      <c r="AN523" s="408" t="str">
        <f t="shared" si="1876"/>
        <v/>
      </c>
      <c r="AO523" s="408">
        <f t="shared" si="1876"/>
        <v>1.0958904109589041E-2</v>
      </c>
      <c r="AP523" s="408">
        <f t="shared" si="1876"/>
        <v>5.5664274842357041E-3</v>
      </c>
      <c r="AQ523" s="408">
        <f t="shared" si="1876"/>
        <v>7.7929984779299844E-3</v>
      </c>
      <c r="AR523" s="408" t="str">
        <f t="shared" si="1876"/>
        <v/>
      </c>
      <c r="AS523" s="408">
        <f t="shared" si="1876"/>
        <v>3.1311154598825828E-3</v>
      </c>
      <c r="AT523" s="408">
        <f t="shared" si="1876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877">IF(BD520="","",BD520*BD521*BD522/BD$46/365/$G$1)</f>
        <v>2.783213742117852E-4</v>
      </c>
      <c r="BE523" s="408" t="str">
        <f t="shared" si="1877"/>
        <v/>
      </c>
      <c r="BF523" s="408">
        <f t="shared" si="1877"/>
        <v>1.5029354207436398E-2</v>
      </c>
      <c r="BG523" s="408" t="str">
        <f t="shared" si="1877"/>
        <v/>
      </c>
      <c r="BH523" s="408" t="str">
        <f t="shared" si="1877"/>
        <v/>
      </c>
      <c r="BI523" s="408" t="str">
        <f t="shared" si="1877"/>
        <v/>
      </c>
      <c r="BJ523" s="408">
        <f t="shared" si="1877"/>
        <v>5.5664274842357041E-3</v>
      </c>
      <c r="BK523" s="408" t="str">
        <f t="shared" si="1877"/>
        <v/>
      </c>
      <c r="BL523" s="408" t="str">
        <f t="shared" si="1877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861"/>
        <v>1.5282825458950702E-3</v>
      </c>
      <c r="CA523" s="398" t="str">
        <f t="shared" si="1862"/>
        <v/>
      </c>
      <c r="CB523" s="398">
        <f t="shared" si="1863"/>
        <v>6.5620589456205887E-3</v>
      </c>
      <c r="CC523" s="398">
        <f t="shared" si="1864"/>
        <v>5.5664274842357041E-3</v>
      </c>
      <c r="CD523" s="1114" t="str">
        <f t="shared" si="1799"/>
        <v/>
      </c>
      <c r="CE523" s="1115" t="str">
        <f t="shared" si="1873"/>
        <v/>
      </c>
      <c r="CF523" s="1116" t="str">
        <f t="shared" si="1873"/>
        <v/>
      </c>
      <c r="CG523" s="1116" t="str">
        <f t="shared" si="1873"/>
        <v/>
      </c>
      <c r="CH523" s="1116" t="str">
        <f t="shared" si="1873"/>
        <v/>
      </c>
      <c r="CI523" s="1116" t="str">
        <f t="shared" si="1873"/>
        <v/>
      </c>
      <c r="CJ523" s="1116" t="str">
        <f t="shared" si="1873"/>
        <v/>
      </c>
      <c r="CK523" s="1117">
        <f t="shared" si="1873"/>
        <v>4.1748206131767771E-4</v>
      </c>
      <c r="CL523" s="1117">
        <f t="shared" si="1873"/>
        <v>1.4910073618488492E-3</v>
      </c>
      <c r="CM523" s="1117">
        <f t="shared" si="1873"/>
        <v>1.5655577299412914E-3</v>
      </c>
      <c r="CN523" s="1116">
        <f t="shared" si="1873"/>
        <v>1.7892088342186189E-3</v>
      </c>
      <c r="CO523" s="1116" t="str">
        <f t="shared" si="1873"/>
        <v/>
      </c>
      <c r="CP523" s="1116" t="str">
        <f t="shared" si="1873"/>
        <v/>
      </c>
      <c r="CQ523" s="1116" t="str">
        <f t="shared" si="1873"/>
        <v/>
      </c>
      <c r="CR523" s="1116" t="str">
        <f t="shared" si="1873"/>
        <v/>
      </c>
      <c r="CS523" s="1115" t="str">
        <f t="shared" si="1873"/>
        <v/>
      </c>
      <c r="CT523" s="1118" t="str">
        <f t="shared" si="1873"/>
        <v/>
      </c>
      <c r="CU523" s="324" t="str">
        <f t="shared" si="1778"/>
        <v/>
      </c>
      <c r="CV523" s="325" t="str">
        <f t="shared" si="1779"/>
        <v/>
      </c>
      <c r="CW523" s="326" t="str">
        <f t="shared" si="1780"/>
        <v/>
      </c>
      <c r="CX523" s="326" t="str">
        <f t="shared" si="1781"/>
        <v/>
      </c>
      <c r="CY523" s="326" t="str">
        <f t="shared" si="1782"/>
        <v/>
      </c>
      <c r="CZ523" s="326" t="str">
        <f t="shared" si="1783"/>
        <v/>
      </c>
      <c r="DA523" s="326" t="str">
        <f t="shared" si="1784"/>
        <v/>
      </c>
      <c r="DB523" s="327" t="str">
        <f t="shared" si="1785"/>
        <v/>
      </c>
      <c r="DC523" s="327">
        <f t="shared" si="1786"/>
        <v>1.2524461839530333E-3</v>
      </c>
      <c r="DD523" s="327">
        <f t="shared" si="1787"/>
        <v>9.3933463796477493E-3</v>
      </c>
      <c r="DE523" s="326" t="str">
        <f t="shared" si="1788"/>
        <v/>
      </c>
      <c r="DF523" s="326" t="str">
        <f t="shared" si="1789"/>
        <v/>
      </c>
      <c r="DG523" s="326" t="str">
        <f t="shared" si="1790"/>
        <v/>
      </c>
      <c r="DH523" s="326" t="str">
        <f t="shared" si="1791"/>
        <v/>
      </c>
      <c r="DI523" s="326" t="str">
        <f t="shared" si="1792"/>
        <v/>
      </c>
      <c r="DJ523" s="325" t="str">
        <f t="shared" si="1793"/>
        <v/>
      </c>
      <c r="DK523" s="324" t="str">
        <f t="shared" si="1794"/>
        <v/>
      </c>
      <c r="DL523" s="428">
        <f t="shared" si="1865"/>
        <v>4</v>
      </c>
      <c r="DM523" s="66">
        <f t="shared" si="1866"/>
        <v>2</v>
      </c>
      <c r="DN523" s="66">
        <f t="shared" si="1867"/>
        <v>7</v>
      </c>
      <c r="DO523" s="66">
        <f t="shared" si="1868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861"/>
        <v>2.2000000000000002</v>
      </c>
      <c r="CA524" s="373" t="str">
        <f t="shared" si="1862"/>
        <v/>
      </c>
      <c r="CB524" s="373">
        <f t="shared" si="1863"/>
        <v>3.28</v>
      </c>
      <c r="CC524" s="462">
        <f t="shared" si="1864"/>
        <v>5</v>
      </c>
      <c r="CD524" s="1109" t="str">
        <f t="shared" si="1799"/>
        <v/>
      </c>
      <c r="CE524" s="1110" t="str">
        <f t="shared" si="1873"/>
        <v/>
      </c>
      <c r="CF524" s="1111" t="str">
        <f t="shared" si="1873"/>
        <v/>
      </c>
      <c r="CG524" s="1111" t="str">
        <f t="shared" si="1873"/>
        <v/>
      </c>
      <c r="CH524" s="1111" t="str">
        <f t="shared" si="1873"/>
        <v/>
      </c>
      <c r="CI524" s="1111" t="str">
        <f t="shared" si="1873"/>
        <v/>
      </c>
      <c r="CJ524" s="1111" t="str">
        <f t="shared" si="1873"/>
        <v/>
      </c>
      <c r="CK524" s="1112">
        <f t="shared" si="1873"/>
        <v>2</v>
      </c>
      <c r="CL524" s="1112">
        <f t="shared" si="1873"/>
        <v>2</v>
      </c>
      <c r="CM524" s="1112">
        <f t="shared" si="1873"/>
        <v>2.4</v>
      </c>
      <c r="CN524" s="1111">
        <f t="shared" si="1873"/>
        <v>3</v>
      </c>
      <c r="CO524" s="1111" t="str">
        <f t="shared" si="1873"/>
        <v/>
      </c>
      <c r="CP524" s="1111" t="str">
        <f t="shared" si="1873"/>
        <v/>
      </c>
      <c r="CQ524" s="1111" t="str">
        <f t="shared" si="1873"/>
        <v/>
      </c>
      <c r="CR524" s="1111" t="str">
        <f t="shared" si="1873"/>
        <v/>
      </c>
      <c r="CS524" s="1110" t="str">
        <f t="shared" si="1873"/>
        <v/>
      </c>
      <c r="CT524" s="1113" t="str">
        <f t="shared" si="1873"/>
        <v/>
      </c>
      <c r="CU524" s="324" t="str">
        <f t="shared" si="1778"/>
        <v/>
      </c>
      <c r="CV524" s="325" t="str">
        <f t="shared" si="1779"/>
        <v/>
      </c>
      <c r="CW524" s="326" t="str">
        <f t="shared" si="1780"/>
        <v/>
      </c>
      <c r="CX524" s="326" t="str">
        <f t="shared" si="1781"/>
        <v/>
      </c>
      <c r="CY524" s="326" t="str">
        <f t="shared" si="1782"/>
        <v/>
      </c>
      <c r="CZ524" s="326" t="str">
        <f t="shared" si="1783"/>
        <v/>
      </c>
      <c r="DA524" s="326" t="str">
        <f t="shared" si="1784"/>
        <v/>
      </c>
      <c r="DB524" s="327" t="str">
        <f t="shared" si="1785"/>
        <v/>
      </c>
      <c r="DC524" s="327">
        <f t="shared" si="1786"/>
        <v>1.4</v>
      </c>
      <c r="DD524" s="327">
        <f t="shared" si="1787"/>
        <v>5</v>
      </c>
      <c r="DE524" s="326" t="str">
        <f t="shared" si="1788"/>
        <v/>
      </c>
      <c r="DF524" s="326" t="str">
        <f t="shared" si="1789"/>
        <v/>
      </c>
      <c r="DG524" s="326" t="str">
        <f t="shared" si="1790"/>
        <v/>
      </c>
      <c r="DH524" s="326" t="str">
        <f t="shared" si="1791"/>
        <v/>
      </c>
      <c r="DI524" s="326" t="str">
        <f t="shared" si="1792"/>
        <v/>
      </c>
      <c r="DJ524" s="325" t="str">
        <f t="shared" si="1793"/>
        <v/>
      </c>
      <c r="DK524" s="324" t="str">
        <f t="shared" si="1794"/>
        <v/>
      </c>
      <c r="DL524" s="428">
        <f t="shared" si="1865"/>
        <v>4</v>
      </c>
      <c r="DM524" s="66">
        <f t="shared" si="1866"/>
        <v>2</v>
      </c>
      <c r="DN524" s="66">
        <f t="shared" si="1867"/>
        <v>7</v>
      </c>
      <c r="DO524" s="66">
        <f t="shared" si="1868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878">IF(B524="","",B520*B521*B524)</f>
        <v>15</v>
      </c>
      <c r="C525" s="535">
        <f t="shared" si="1878"/>
        <v>30</v>
      </c>
      <c r="D525" s="535" t="str">
        <f t="shared" si="1878"/>
        <v/>
      </c>
      <c r="E525" s="535" t="str">
        <f t="shared" si="1878"/>
        <v/>
      </c>
      <c r="F525" s="535" t="str">
        <f t="shared" si="1878"/>
        <v/>
      </c>
      <c r="G525" s="535">
        <f t="shared" si="1878"/>
        <v>30</v>
      </c>
      <c r="H525" s="535" t="str">
        <f t="shared" si="1878"/>
        <v/>
      </c>
      <c r="I525" s="535" t="str">
        <f t="shared" si="1878"/>
        <v/>
      </c>
      <c r="J525" s="535">
        <f t="shared" si="1878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879">IF(T524="","",T520*T521*T524)</f>
        <v>125.99999999999999</v>
      </c>
      <c r="U525" s="535" t="str">
        <f t="shared" si="1879"/>
        <v/>
      </c>
      <c r="V525" s="535" t="str">
        <f t="shared" si="1879"/>
        <v/>
      </c>
      <c r="W525" s="535" t="str">
        <f t="shared" si="1879"/>
        <v/>
      </c>
      <c r="X525" s="535" t="str">
        <f t="shared" si="1879"/>
        <v/>
      </c>
      <c r="Y525" s="535" t="str">
        <f t="shared" si="1879"/>
        <v/>
      </c>
      <c r="Z525" s="535" t="str">
        <f t="shared" si="1879"/>
        <v/>
      </c>
      <c r="AA525" s="535">
        <f t="shared" si="1879"/>
        <v>75</v>
      </c>
      <c r="AB525" s="535" t="str">
        <f t="shared" si="1879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880">IF(AL524="","",AL520*AL521*AL524)</f>
        <v>105</v>
      </c>
      <c r="AM525" s="535">
        <f t="shared" si="1880"/>
        <v>50</v>
      </c>
      <c r="AN525" s="535" t="str">
        <f t="shared" si="1880"/>
        <v/>
      </c>
      <c r="AO525" s="535">
        <f t="shared" si="1880"/>
        <v>252</v>
      </c>
      <c r="AP525" s="535">
        <f t="shared" si="1880"/>
        <v>80</v>
      </c>
      <c r="AQ525" s="535">
        <f t="shared" si="1880"/>
        <v>280</v>
      </c>
      <c r="AR525" s="535" t="str">
        <f t="shared" si="1880"/>
        <v/>
      </c>
      <c r="AS525" s="535">
        <f t="shared" si="1880"/>
        <v>150</v>
      </c>
      <c r="AT525" s="535">
        <f t="shared" si="1880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881">IF(BD524="","",BD520*BD521*BD524)</f>
        <v>60</v>
      </c>
      <c r="BE525" s="535" t="str">
        <f t="shared" si="1881"/>
        <v/>
      </c>
      <c r="BF525" s="535">
        <f t="shared" si="1881"/>
        <v>360</v>
      </c>
      <c r="BG525" s="535" t="str">
        <f t="shared" si="1881"/>
        <v/>
      </c>
      <c r="BH525" s="535" t="str">
        <f t="shared" si="1881"/>
        <v/>
      </c>
      <c r="BI525" s="535" t="str">
        <f t="shared" si="1881"/>
        <v/>
      </c>
      <c r="BJ525" s="535">
        <f t="shared" si="1881"/>
        <v>200</v>
      </c>
      <c r="BK525" s="535" t="str">
        <f t="shared" si="1881"/>
        <v/>
      </c>
      <c r="BL525" s="535" t="str">
        <f t="shared" si="1881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861"/>
        <v>30</v>
      </c>
      <c r="CA525" s="373" t="str">
        <f t="shared" si="1862"/>
        <v/>
      </c>
      <c r="CB525" s="373">
        <f t="shared" si="1863"/>
        <v>157.4</v>
      </c>
      <c r="CC525" s="462">
        <f t="shared" si="1864"/>
        <v>200</v>
      </c>
      <c r="CD525" s="1109" t="str">
        <f t="shared" si="1799"/>
        <v/>
      </c>
      <c r="CE525" s="1110" t="str">
        <f t="shared" si="1873"/>
        <v/>
      </c>
      <c r="CF525" s="1111" t="str">
        <f t="shared" si="1873"/>
        <v/>
      </c>
      <c r="CG525" s="1111" t="str">
        <f t="shared" si="1873"/>
        <v/>
      </c>
      <c r="CH525" s="1111" t="str">
        <f t="shared" si="1873"/>
        <v/>
      </c>
      <c r="CI525" s="1111" t="str">
        <f t="shared" si="1873"/>
        <v/>
      </c>
      <c r="CJ525" s="1111" t="str">
        <f t="shared" si="1873"/>
        <v/>
      </c>
      <c r="CK525" s="1112">
        <f t="shared" si="1873"/>
        <v>15</v>
      </c>
      <c r="CL525" s="1112">
        <f t="shared" si="1873"/>
        <v>30</v>
      </c>
      <c r="CM525" s="1112">
        <f t="shared" si="1873"/>
        <v>30</v>
      </c>
      <c r="CN525" s="1111">
        <f t="shared" si="1873"/>
        <v>30</v>
      </c>
      <c r="CO525" s="1111" t="str">
        <f t="shared" si="1873"/>
        <v/>
      </c>
      <c r="CP525" s="1111" t="str">
        <f t="shared" si="1873"/>
        <v/>
      </c>
      <c r="CQ525" s="1111" t="str">
        <f t="shared" si="1873"/>
        <v/>
      </c>
      <c r="CR525" s="1111" t="str">
        <f t="shared" si="1873"/>
        <v/>
      </c>
      <c r="CS525" s="1110" t="str">
        <f t="shared" si="1873"/>
        <v/>
      </c>
      <c r="CT525" s="1113" t="str">
        <f t="shared" si="1873"/>
        <v/>
      </c>
      <c r="CU525" s="324" t="str">
        <f t="shared" si="1778"/>
        <v/>
      </c>
      <c r="CV525" s="325" t="str">
        <f t="shared" si="1779"/>
        <v/>
      </c>
      <c r="CW525" s="326" t="str">
        <f t="shared" si="1780"/>
        <v/>
      </c>
      <c r="CX525" s="326" t="str">
        <f t="shared" si="1781"/>
        <v/>
      </c>
      <c r="CY525" s="326" t="str">
        <f t="shared" si="1782"/>
        <v/>
      </c>
      <c r="CZ525" s="326" t="str">
        <f t="shared" si="1783"/>
        <v/>
      </c>
      <c r="DA525" s="326" t="str">
        <f t="shared" si="1784"/>
        <v/>
      </c>
      <c r="DB525" s="327" t="str">
        <f t="shared" si="1785"/>
        <v/>
      </c>
      <c r="DC525" s="327">
        <f t="shared" si="1786"/>
        <v>75</v>
      </c>
      <c r="DD525" s="327">
        <f t="shared" si="1787"/>
        <v>125.99999999999999</v>
      </c>
      <c r="DE525" s="326" t="str">
        <f t="shared" si="1788"/>
        <v/>
      </c>
      <c r="DF525" s="326" t="str">
        <f t="shared" si="1789"/>
        <v/>
      </c>
      <c r="DG525" s="326" t="str">
        <f t="shared" si="1790"/>
        <v/>
      </c>
      <c r="DH525" s="326" t="str">
        <f t="shared" si="1791"/>
        <v/>
      </c>
      <c r="DI525" s="326" t="str">
        <f t="shared" si="1792"/>
        <v/>
      </c>
      <c r="DJ525" s="325" t="str">
        <f t="shared" si="1793"/>
        <v/>
      </c>
      <c r="DK525" s="324" t="str">
        <f t="shared" si="1794"/>
        <v/>
      </c>
      <c r="DL525" s="428">
        <f t="shared" si="1865"/>
        <v>4</v>
      </c>
      <c r="DM525" s="66">
        <f t="shared" si="1866"/>
        <v>2</v>
      </c>
      <c r="DN525" s="66">
        <f t="shared" si="1867"/>
        <v>7</v>
      </c>
      <c r="DO525" s="66">
        <f t="shared" si="1868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5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778"/>
        <v/>
      </c>
      <c r="CV526" s="325" t="str">
        <f t="shared" si="1779"/>
        <v/>
      </c>
      <c r="CW526" s="326" t="str">
        <f t="shared" si="1780"/>
        <v/>
      </c>
      <c r="CX526" s="326" t="str">
        <f t="shared" si="1781"/>
        <v/>
      </c>
      <c r="CY526" s="326" t="str">
        <f t="shared" si="1782"/>
        <v/>
      </c>
      <c r="CZ526" s="326" t="str">
        <f t="shared" si="1783"/>
        <v/>
      </c>
      <c r="DA526" s="326" t="str">
        <f t="shared" si="1784"/>
        <v/>
      </c>
      <c r="DB526" s="327" t="str">
        <f t="shared" si="1785"/>
        <v/>
      </c>
      <c r="DC526" s="327" t="str">
        <f t="shared" si="1786"/>
        <v/>
      </c>
      <c r="DD526" s="327" t="str">
        <f t="shared" si="1787"/>
        <v/>
      </c>
      <c r="DE526" s="326" t="str">
        <f t="shared" si="1788"/>
        <v/>
      </c>
      <c r="DF526" s="326" t="str">
        <f t="shared" si="1789"/>
        <v/>
      </c>
      <c r="DG526" s="326" t="str">
        <f t="shared" si="1790"/>
        <v/>
      </c>
      <c r="DH526" s="326" t="str">
        <f t="shared" si="1791"/>
        <v/>
      </c>
      <c r="DI526" s="326" t="str">
        <f t="shared" si="1792"/>
        <v/>
      </c>
      <c r="DJ526" s="325" t="str">
        <f t="shared" si="1793"/>
        <v/>
      </c>
      <c r="DK526" s="324" t="str">
        <f t="shared" si="1794"/>
        <v/>
      </c>
      <c r="DL526" s="428">
        <f t="shared" ref="DL526:DL561" si="1882">COUNT(B526:R526)</f>
        <v>0</v>
      </c>
      <c r="DM526" s="66">
        <f t="shared" ref="DM526:DM561" si="1883">COUNT(T526:AJ526)</f>
        <v>0</v>
      </c>
      <c r="DN526" s="66">
        <f t="shared" ref="DN526:DN561" si="1884">COUNT(AL526:BB526)</f>
        <v>0</v>
      </c>
      <c r="DO526" s="66">
        <f t="shared" ref="DO526:DO561" si="188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886">IF(DL527&lt;3,"",(SUM(B527:R527)-MIN(B527:R527)-MAX(B527:R527))/(DL527-2))</f>
        <v/>
      </c>
      <c r="CA527" s="373">
        <f t="shared" ref="CA527:CA561" si="1887">IF(DM527&lt;3,"",(SUM(T527:AJ527)-MIN(T527:AJ527)-MAX(T527:AJ527))/(DM527-2))</f>
        <v>8.7999999999999989</v>
      </c>
      <c r="CB527" s="373">
        <f t="shared" ref="CB527:CB561" si="1888">IF(DN527&lt;3,"",(SUM(AL527:BB527)-MIN(AL527:BB527)-MAX(AL527:BB527))/(DN527-2))</f>
        <v>24.919999999999998</v>
      </c>
      <c r="CC527" s="462">
        <f t="shared" ref="CC527:CC561" si="1889">IF(DO527&lt;3,"",(SUM(BD527:BT527)-MIN(BD527:BT527)-MAX(BD527:BT527))/(DO527-2))</f>
        <v>16.319999999999993</v>
      </c>
      <c r="CD527" s="110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0" t="str">
        <f t="shared" si="1856"/>
        <v/>
      </c>
      <c r="CF527" s="1111" t="str">
        <f t="shared" si="1856"/>
        <v/>
      </c>
      <c r="CG527" s="1111" t="str">
        <f t="shared" si="1856"/>
        <v/>
      </c>
      <c r="CH527" s="1111" t="str">
        <f t="shared" si="1856"/>
        <v/>
      </c>
      <c r="CI527" s="1111" t="str">
        <f t="shared" si="1856"/>
        <v/>
      </c>
      <c r="CJ527" s="1111" t="str">
        <f t="shared" si="1856"/>
        <v/>
      </c>
      <c r="CK527" s="1112" t="str">
        <f t="shared" si="1856"/>
        <v/>
      </c>
      <c r="CL527" s="1112">
        <f t="shared" si="1856"/>
        <v>11</v>
      </c>
      <c r="CM527" s="1112">
        <f t="shared" si="1856"/>
        <v>12</v>
      </c>
      <c r="CN527" s="1111" t="str">
        <f t="shared" si="1856"/>
        <v/>
      </c>
      <c r="CO527" s="1111" t="str">
        <f t="shared" si="1856"/>
        <v/>
      </c>
      <c r="CP527" s="1111" t="str">
        <f t="shared" si="1856"/>
        <v/>
      </c>
      <c r="CQ527" s="1111" t="str">
        <f t="shared" si="1856"/>
        <v/>
      </c>
      <c r="CR527" s="1111" t="str">
        <f t="shared" si="1856"/>
        <v/>
      </c>
      <c r="CS527" s="1110" t="str">
        <f t="shared" si="1856"/>
        <v/>
      </c>
      <c r="CT527" s="1113" t="str">
        <f t="shared" si="1856"/>
        <v/>
      </c>
      <c r="CU527" s="324" t="str">
        <f t="shared" si="1778"/>
        <v/>
      </c>
      <c r="CV527" s="325" t="str">
        <f t="shared" si="1779"/>
        <v/>
      </c>
      <c r="CW527" s="326" t="str">
        <f t="shared" si="1780"/>
        <v/>
      </c>
      <c r="CX527" s="326" t="str">
        <f t="shared" si="1781"/>
        <v/>
      </c>
      <c r="CY527" s="326" t="str">
        <f t="shared" si="1782"/>
        <v/>
      </c>
      <c r="CZ527" s="326" t="str">
        <f t="shared" si="1783"/>
        <v/>
      </c>
      <c r="DA527" s="326">
        <f t="shared" si="1784"/>
        <v>0.5</v>
      </c>
      <c r="DB527" s="327">
        <f t="shared" si="1785"/>
        <v>2.4</v>
      </c>
      <c r="DC527" s="327">
        <f t="shared" si="1786"/>
        <v>12</v>
      </c>
      <c r="DD527" s="327">
        <f t="shared" si="1787"/>
        <v>12</v>
      </c>
      <c r="DE527" s="326">
        <f t="shared" si="1788"/>
        <v>15</v>
      </c>
      <c r="DF527" s="326" t="str">
        <f t="shared" si="1789"/>
        <v/>
      </c>
      <c r="DG527" s="326" t="str">
        <f t="shared" si="1790"/>
        <v/>
      </c>
      <c r="DH527" s="326" t="str">
        <f t="shared" si="1791"/>
        <v/>
      </c>
      <c r="DI527" s="326" t="str">
        <f t="shared" si="1792"/>
        <v/>
      </c>
      <c r="DJ527" s="325" t="str">
        <f t="shared" si="1793"/>
        <v/>
      </c>
      <c r="DK527" s="324" t="str">
        <f t="shared" si="1794"/>
        <v/>
      </c>
      <c r="DL527" s="428">
        <f t="shared" si="1882"/>
        <v>2</v>
      </c>
      <c r="DM527" s="66">
        <f t="shared" si="1883"/>
        <v>5</v>
      </c>
      <c r="DN527" s="66">
        <f t="shared" si="1884"/>
        <v>7</v>
      </c>
      <c r="DO527" s="66">
        <f t="shared" si="188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890">1580*$K$1</f>
        <v>1580</v>
      </c>
      <c r="D528" s="536">
        <f t="shared" si="1890"/>
        <v>1580</v>
      </c>
      <c r="E528" s="536">
        <f t="shared" si="1890"/>
        <v>1580</v>
      </c>
      <c r="F528" s="536">
        <f t="shared" si="1890"/>
        <v>1580</v>
      </c>
      <c r="G528" s="536">
        <f t="shared" si="1890"/>
        <v>1580</v>
      </c>
      <c r="H528" s="536">
        <f t="shared" si="1890"/>
        <v>1580</v>
      </c>
      <c r="I528" s="536">
        <f t="shared" si="1890"/>
        <v>1580</v>
      </c>
      <c r="J528" s="536">
        <f t="shared" si="1890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891">1580*$K$1</f>
        <v>1580</v>
      </c>
      <c r="V528" s="536">
        <f t="shared" si="1891"/>
        <v>1580</v>
      </c>
      <c r="W528" s="536">
        <f t="shared" si="1891"/>
        <v>1580</v>
      </c>
      <c r="X528" s="536">
        <f t="shared" si="1891"/>
        <v>1580</v>
      </c>
      <c r="Y528" s="536">
        <f t="shared" si="1891"/>
        <v>1580</v>
      </c>
      <c r="Z528" s="536">
        <f t="shared" si="1891"/>
        <v>1580</v>
      </c>
      <c r="AA528" s="536">
        <f t="shared" si="1891"/>
        <v>1580</v>
      </c>
      <c r="AB528" s="536">
        <f t="shared" si="1891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892">1580*$K$1</f>
        <v>1580</v>
      </c>
      <c r="AN528" s="536">
        <f t="shared" si="1892"/>
        <v>1580</v>
      </c>
      <c r="AO528" s="536">
        <f t="shared" si="1892"/>
        <v>1580</v>
      </c>
      <c r="AP528" s="536">
        <f t="shared" si="1892"/>
        <v>1580</v>
      </c>
      <c r="AQ528" s="536">
        <v>1580</v>
      </c>
      <c r="AR528" s="536">
        <f t="shared" si="1892"/>
        <v>1580</v>
      </c>
      <c r="AS528" s="536">
        <f t="shared" si="1892"/>
        <v>1580</v>
      </c>
      <c r="AT528" s="536">
        <f t="shared" si="1892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893">1580*$K$1</f>
        <v>1580</v>
      </c>
      <c r="BF528" s="536">
        <f t="shared" si="1893"/>
        <v>1580</v>
      </c>
      <c r="BG528" s="536">
        <f t="shared" si="1893"/>
        <v>1580</v>
      </c>
      <c r="BH528" s="536">
        <f t="shared" si="1893"/>
        <v>1580</v>
      </c>
      <c r="BI528" s="536">
        <f t="shared" si="1893"/>
        <v>1580</v>
      </c>
      <c r="BJ528" s="536">
        <f t="shared" si="1893"/>
        <v>1580</v>
      </c>
      <c r="BK528" s="536">
        <f t="shared" si="1893"/>
        <v>1580</v>
      </c>
      <c r="BL528" s="536">
        <f t="shared" si="1893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893"/>
        <v>1580</v>
      </c>
      <c r="BW528" s="536">
        <f t="shared" si="1893"/>
        <v>1580</v>
      </c>
      <c r="BX528" s="536">
        <f t="shared" si="1893"/>
        <v>1580</v>
      </c>
      <c r="BY528" s="536">
        <f t="shared" si="1893"/>
        <v>1580</v>
      </c>
      <c r="BZ528" s="373">
        <f t="shared" si="1886"/>
        <v>1580</v>
      </c>
      <c r="CA528" s="373">
        <f t="shared" si="1887"/>
        <v>1580</v>
      </c>
      <c r="CB528" s="373">
        <f t="shared" si="1888"/>
        <v>1580</v>
      </c>
      <c r="CC528" s="462">
        <f t="shared" si="1889"/>
        <v>1580</v>
      </c>
      <c r="CD528" s="110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0" t="str">
        <f t="shared" si="1856"/>
        <v/>
      </c>
      <c r="CF528" s="1111" t="str">
        <f t="shared" si="1856"/>
        <v/>
      </c>
      <c r="CG528" s="1111" t="str">
        <f t="shared" si="1856"/>
        <v/>
      </c>
      <c r="CH528" s="1111">
        <f t="shared" si="1856"/>
        <v>1580</v>
      </c>
      <c r="CI528" s="1111">
        <f t="shared" si="1856"/>
        <v>1580</v>
      </c>
      <c r="CJ528" s="1111">
        <f t="shared" si="1856"/>
        <v>1580</v>
      </c>
      <c r="CK528" s="1112">
        <f t="shared" si="1856"/>
        <v>1580</v>
      </c>
      <c r="CL528" s="1112">
        <f t="shared" si="1856"/>
        <v>1580</v>
      </c>
      <c r="CM528" s="1112">
        <f t="shared" si="1856"/>
        <v>1580</v>
      </c>
      <c r="CN528" s="1111">
        <f t="shared" si="1856"/>
        <v>1580</v>
      </c>
      <c r="CO528" s="1111">
        <f t="shared" si="1856"/>
        <v>1580</v>
      </c>
      <c r="CP528" s="1111">
        <f t="shared" si="1856"/>
        <v>1580</v>
      </c>
      <c r="CQ528" s="1111" t="str">
        <f t="shared" si="1856"/>
        <v/>
      </c>
      <c r="CR528" s="1111" t="str">
        <f t="shared" si="1856"/>
        <v/>
      </c>
      <c r="CS528" s="1110" t="str">
        <f t="shared" si="1856"/>
        <v/>
      </c>
      <c r="CT528" s="1113" t="str">
        <f t="shared" si="1856"/>
        <v/>
      </c>
      <c r="CU528" s="324" t="str">
        <f t="shared" si="1778"/>
        <v/>
      </c>
      <c r="CV528" s="325" t="str">
        <f t="shared" si="1779"/>
        <v/>
      </c>
      <c r="CW528" s="326" t="str">
        <f t="shared" si="1780"/>
        <v/>
      </c>
      <c r="CX528" s="326" t="str">
        <f t="shared" si="1781"/>
        <v/>
      </c>
      <c r="CY528" s="326">
        <f t="shared" si="1782"/>
        <v>1580</v>
      </c>
      <c r="CZ528" s="326">
        <f t="shared" si="1783"/>
        <v>1580</v>
      </c>
      <c r="DA528" s="326">
        <f t="shared" si="1784"/>
        <v>1580</v>
      </c>
      <c r="DB528" s="327">
        <f t="shared" si="1785"/>
        <v>1580</v>
      </c>
      <c r="DC528" s="327">
        <f t="shared" si="1786"/>
        <v>1580</v>
      </c>
      <c r="DD528" s="327">
        <f t="shared" si="1787"/>
        <v>1580</v>
      </c>
      <c r="DE528" s="326">
        <f t="shared" si="1788"/>
        <v>1580</v>
      </c>
      <c r="DF528" s="326">
        <f t="shared" si="1789"/>
        <v>1580</v>
      </c>
      <c r="DG528" s="326">
        <f t="shared" si="1790"/>
        <v>1580</v>
      </c>
      <c r="DH528" s="326" t="str">
        <f t="shared" si="1791"/>
        <v/>
      </c>
      <c r="DI528" s="326" t="str">
        <f t="shared" si="1792"/>
        <v/>
      </c>
      <c r="DJ528" s="325" t="str">
        <f t="shared" si="1793"/>
        <v/>
      </c>
      <c r="DK528" s="324" t="str">
        <f t="shared" si="1794"/>
        <v/>
      </c>
      <c r="DL528" s="428">
        <f t="shared" si="1882"/>
        <v>9</v>
      </c>
      <c r="DM528" s="66">
        <f t="shared" si="1883"/>
        <v>9</v>
      </c>
      <c r="DN528" s="66">
        <f t="shared" si="1884"/>
        <v>9</v>
      </c>
      <c r="DO528" s="66">
        <f t="shared" si="1885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894">IF(C527="","",C527*C528/C$46/365/$G$1)</f>
        <v>3.2392134936166245E-3</v>
      </c>
      <c r="D529" s="540" t="str">
        <f t="shared" si="1894"/>
        <v/>
      </c>
      <c r="E529" s="540">
        <f t="shared" si="1894"/>
        <v>4.1226353555120681E-3</v>
      </c>
      <c r="F529" s="540" t="str">
        <f t="shared" si="1894"/>
        <v/>
      </c>
      <c r="G529" s="540" t="str">
        <f t="shared" si="1894"/>
        <v/>
      </c>
      <c r="H529" s="540" t="str">
        <f t="shared" si="1894"/>
        <v/>
      </c>
      <c r="I529" s="540" t="str">
        <f t="shared" si="1894"/>
        <v/>
      </c>
      <c r="J529" s="540" t="str">
        <f t="shared" si="1894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895">IF(T527="","",T527*T528/T$46/365/$G$1)</f>
        <v>3.0919765166340508E-3</v>
      </c>
      <c r="U529" s="540">
        <f t="shared" si="1895"/>
        <v>2.2487101939156736E-3</v>
      </c>
      <c r="V529" s="540">
        <f t="shared" si="1895"/>
        <v>2.5766470971950424E-3</v>
      </c>
      <c r="W529" s="540" t="str">
        <f t="shared" si="1895"/>
        <v/>
      </c>
      <c r="X529" s="540">
        <f t="shared" si="1895"/>
        <v>6.1839530332681017E-4</v>
      </c>
      <c r="Y529" s="540" t="str">
        <f t="shared" si="1895"/>
        <v/>
      </c>
      <c r="Z529" s="540" t="str">
        <f t="shared" si="1895"/>
        <v/>
      </c>
      <c r="AA529" s="540">
        <f t="shared" si="1895"/>
        <v>1.030658838878017E-4</v>
      </c>
      <c r="AB529" s="540" t="str">
        <f t="shared" si="1895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896">IF(AL527="","",AL527*AL528/AL$46/365/$G$1)</f>
        <v/>
      </c>
      <c r="AM529" s="540">
        <f t="shared" si="1896"/>
        <v>3.7790824092193954E-3</v>
      </c>
      <c r="AN529" s="540">
        <f t="shared" si="1896"/>
        <v>3.8649706457925636E-3</v>
      </c>
      <c r="AO529" s="540">
        <f t="shared" si="1896"/>
        <v>6.0293542074363994E-3</v>
      </c>
      <c r="AP529" s="540" t="str">
        <f t="shared" si="1896"/>
        <v/>
      </c>
      <c r="AQ529" s="540">
        <f t="shared" si="1896"/>
        <v>1.168080017395086E-3</v>
      </c>
      <c r="AR529" s="540">
        <f t="shared" si="1896"/>
        <v>1.3913894324853229E-2</v>
      </c>
      <c r="AS529" s="540">
        <f t="shared" si="1896"/>
        <v>5.4109589041095888E-3</v>
      </c>
      <c r="AT529" s="540">
        <f t="shared" si="1896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897">IF(BD527="","",BD527*BD528/BD$46/365/$G$1)</f>
        <v>2.4735812133072407E-3</v>
      </c>
      <c r="BE529" s="540">
        <f t="shared" si="1897"/>
        <v>3.7103718199608608E-2</v>
      </c>
      <c r="BF529" s="540" t="str">
        <f t="shared" si="1897"/>
        <v/>
      </c>
      <c r="BG529" s="540" t="str">
        <f t="shared" si="1897"/>
        <v/>
      </c>
      <c r="BH529" s="540">
        <f t="shared" si="1897"/>
        <v>3.7103718199608607E-4</v>
      </c>
      <c r="BI529" s="540" t="str">
        <f t="shared" si="1897"/>
        <v/>
      </c>
      <c r="BJ529" s="540">
        <f t="shared" si="1897"/>
        <v>7.4207436399217229E-3</v>
      </c>
      <c r="BK529" s="540">
        <f t="shared" si="1897"/>
        <v>2.2262230919765174E-3</v>
      </c>
      <c r="BL529" s="540" t="str">
        <f t="shared" si="1897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886"/>
        <v/>
      </c>
      <c r="CA529" s="398">
        <f t="shared" si="1887"/>
        <v>1.8145841981458417E-3</v>
      </c>
      <c r="CB529" s="398">
        <f t="shared" si="1888"/>
        <v>5.5978517068928021E-3</v>
      </c>
      <c r="CC529" s="398">
        <f t="shared" si="1889"/>
        <v>4.040182648401826E-3</v>
      </c>
      <c r="CD529" s="111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5" t="str">
        <f t="shared" si="1856"/>
        <v/>
      </c>
      <c r="CF529" s="1116" t="str">
        <f t="shared" si="1856"/>
        <v/>
      </c>
      <c r="CG529" s="1116" t="str">
        <f t="shared" si="1856"/>
        <v/>
      </c>
      <c r="CH529" s="1116" t="str">
        <f t="shared" si="1856"/>
        <v/>
      </c>
      <c r="CI529" s="1116" t="str">
        <f t="shared" si="1856"/>
        <v/>
      </c>
      <c r="CJ529" s="1116" t="str">
        <f t="shared" si="1856"/>
        <v/>
      </c>
      <c r="CK529" s="1117" t="str">
        <f t="shared" si="1856"/>
        <v/>
      </c>
      <c r="CL529" s="1117">
        <f t="shared" si="1856"/>
        <v>3.2392134936166245E-3</v>
      </c>
      <c r="CM529" s="1117">
        <f t="shared" si="1856"/>
        <v>4.1226353555120681E-3</v>
      </c>
      <c r="CN529" s="1116" t="str">
        <f t="shared" si="1856"/>
        <v/>
      </c>
      <c r="CO529" s="1116" t="str">
        <f t="shared" si="1856"/>
        <v/>
      </c>
      <c r="CP529" s="1116" t="str">
        <f t="shared" si="1856"/>
        <v/>
      </c>
      <c r="CQ529" s="1116" t="str">
        <f t="shared" si="1856"/>
        <v/>
      </c>
      <c r="CR529" s="1116" t="str">
        <f t="shared" si="1856"/>
        <v/>
      </c>
      <c r="CS529" s="1115" t="str">
        <f t="shared" si="1856"/>
        <v/>
      </c>
      <c r="CT529" s="1118" t="str">
        <f t="shared" si="1856"/>
        <v/>
      </c>
      <c r="CU529" s="312" t="str">
        <f t="shared" si="1778"/>
        <v/>
      </c>
      <c r="CV529" s="313" t="str">
        <f t="shared" si="1779"/>
        <v/>
      </c>
      <c r="CW529" s="314" t="str">
        <f t="shared" si="1780"/>
        <v/>
      </c>
      <c r="CX529" s="314" t="str">
        <f t="shared" si="1781"/>
        <v/>
      </c>
      <c r="CY529" s="314" t="str">
        <f t="shared" si="1782"/>
        <v/>
      </c>
      <c r="CZ529" s="314" t="str">
        <f t="shared" si="1783"/>
        <v/>
      </c>
      <c r="DA529" s="314">
        <f t="shared" si="1784"/>
        <v>1.030658838878017E-4</v>
      </c>
      <c r="DB529" s="315">
        <f t="shared" si="1785"/>
        <v>6.1839530332681017E-4</v>
      </c>
      <c r="DC529" s="315">
        <f t="shared" si="1786"/>
        <v>2.2487101939156736E-3</v>
      </c>
      <c r="DD529" s="315">
        <f t="shared" si="1787"/>
        <v>2.5766470971950424E-3</v>
      </c>
      <c r="DE529" s="314">
        <f t="shared" si="1788"/>
        <v>3.0919765166340508E-3</v>
      </c>
      <c r="DF529" s="314" t="str">
        <f t="shared" si="1789"/>
        <v/>
      </c>
      <c r="DG529" s="314" t="str">
        <f t="shared" si="1790"/>
        <v/>
      </c>
      <c r="DH529" s="314" t="str">
        <f t="shared" si="1791"/>
        <v/>
      </c>
      <c r="DI529" s="314" t="str">
        <f t="shared" si="1792"/>
        <v/>
      </c>
      <c r="DJ529" s="313" t="str">
        <f t="shared" si="1793"/>
        <v/>
      </c>
      <c r="DK529" s="312" t="str">
        <f t="shared" si="1794"/>
        <v/>
      </c>
      <c r="DL529" s="428">
        <f t="shared" si="1882"/>
        <v>2</v>
      </c>
      <c r="DM529" s="66">
        <f t="shared" si="1883"/>
        <v>5</v>
      </c>
      <c r="DN529" s="66">
        <f t="shared" si="1884"/>
        <v>7</v>
      </c>
      <c r="DO529" s="66">
        <f t="shared" si="188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886"/>
        <v/>
      </c>
      <c r="CA530" s="373">
        <f t="shared" si="1887"/>
        <v>8.32</v>
      </c>
      <c r="CB530" s="373">
        <f t="shared" si="1888"/>
        <v>9.9599999999999991</v>
      </c>
      <c r="CC530" s="462">
        <f t="shared" si="1889"/>
        <v>9.9966666666666679</v>
      </c>
      <c r="CD530" s="110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0" t="str">
        <f t="shared" si="1856"/>
        <v/>
      </c>
      <c r="CF530" s="1111" t="str">
        <f t="shared" si="1856"/>
        <v/>
      </c>
      <c r="CG530" s="1111" t="str">
        <f t="shared" si="1856"/>
        <v/>
      </c>
      <c r="CH530" s="1111" t="str">
        <f t="shared" si="1856"/>
        <v/>
      </c>
      <c r="CI530" s="1111" t="str">
        <f t="shared" si="1856"/>
        <v/>
      </c>
      <c r="CJ530" s="1111" t="str">
        <f t="shared" si="1856"/>
        <v/>
      </c>
      <c r="CK530" s="1112" t="str">
        <f t="shared" si="1856"/>
        <v/>
      </c>
      <c r="CL530" s="1112">
        <f t="shared" si="1856"/>
        <v>17</v>
      </c>
      <c r="CM530" s="1112">
        <f t="shared" si="1856"/>
        <v>25</v>
      </c>
      <c r="CN530" s="1111" t="str">
        <f t="shared" si="1856"/>
        <v/>
      </c>
      <c r="CO530" s="1111" t="str">
        <f t="shared" si="1856"/>
        <v/>
      </c>
      <c r="CP530" s="1111" t="str">
        <f t="shared" si="1856"/>
        <v/>
      </c>
      <c r="CQ530" s="1111" t="str">
        <f t="shared" si="1856"/>
        <v/>
      </c>
      <c r="CR530" s="1111" t="str">
        <f t="shared" si="1856"/>
        <v/>
      </c>
      <c r="CS530" s="1110" t="str">
        <f t="shared" ref="CE530:CT546" si="18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3" t="str">
        <f t="shared" si="1898"/>
        <v/>
      </c>
      <c r="CU530" s="324" t="str">
        <f t="shared" si="1778"/>
        <v/>
      </c>
      <c r="CV530" s="325" t="str">
        <f t="shared" si="1779"/>
        <v/>
      </c>
      <c r="CW530" s="326" t="str">
        <f t="shared" si="1780"/>
        <v/>
      </c>
      <c r="CX530" s="326" t="str">
        <f t="shared" si="1781"/>
        <v/>
      </c>
      <c r="CY530" s="326" t="str">
        <f t="shared" si="1782"/>
        <v/>
      </c>
      <c r="CZ530" s="326" t="str">
        <f t="shared" si="1783"/>
        <v/>
      </c>
      <c r="DA530" s="326">
        <f t="shared" si="1784"/>
        <v>1.4</v>
      </c>
      <c r="DB530" s="327">
        <f t="shared" si="1785"/>
        <v>8.3000000000000007</v>
      </c>
      <c r="DC530" s="327">
        <f t="shared" si="1786"/>
        <v>8.33</v>
      </c>
      <c r="DD530" s="327">
        <f t="shared" si="1787"/>
        <v>8.33</v>
      </c>
      <c r="DE530" s="326">
        <f t="shared" si="1788"/>
        <v>20</v>
      </c>
      <c r="DF530" s="326" t="str">
        <f t="shared" si="1789"/>
        <v/>
      </c>
      <c r="DG530" s="326" t="str">
        <f t="shared" si="1790"/>
        <v/>
      </c>
      <c r="DH530" s="326" t="str">
        <f t="shared" si="1791"/>
        <v/>
      </c>
      <c r="DI530" s="326" t="str">
        <f t="shared" si="1792"/>
        <v/>
      </c>
      <c r="DJ530" s="325" t="str">
        <f t="shared" si="1793"/>
        <v/>
      </c>
      <c r="DK530" s="324" t="str">
        <f t="shared" si="1794"/>
        <v/>
      </c>
      <c r="DL530" s="428">
        <f t="shared" si="1882"/>
        <v>2</v>
      </c>
      <c r="DM530" s="66">
        <f t="shared" si="1883"/>
        <v>5</v>
      </c>
      <c r="DN530" s="66">
        <f t="shared" si="1884"/>
        <v>7</v>
      </c>
      <c r="DO530" s="66">
        <f t="shared" si="188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899">IF(C530="","",C527*C530)</f>
        <v>187</v>
      </c>
      <c r="D531" s="535" t="str">
        <f t="shared" si="1899"/>
        <v/>
      </c>
      <c r="E531" s="535">
        <f t="shared" si="1899"/>
        <v>300</v>
      </c>
      <c r="F531" s="535" t="str">
        <f t="shared" si="1899"/>
        <v/>
      </c>
      <c r="G531" s="535" t="str">
        <f t="shared" si="1899"/>
        <v/>
      </c>
      <c r="H531" s="535" t="str">
        <f t="shared" si="1899"/>
        <v/>
      </c>
      <c r="I531" s="535" t="str">
        <f t="shared" si="1899"/>
        <v/>
      </c>
      <c r="J531" s="535" t="str">
        <f t="shared" si="1899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900">IF(T530="","",T527*T530)</f>
        <v>99.960000000000008</v>
      </c>
      <c r="U531" s="535">
        <f t="shared" si="1900"/>
        <v>99.960000000000008</v>
      </c>
      <c r="V531" s="535">
        <f t="shared" si="1900"/>
        <v>21</v>
      </c>
      <c r="W531" s="535" t="str">
        <f t="shared" si="1900"/>
        <v/>
      </c>
      <c r="X531" s="535">
        <f t="shared" si="1900"/>
        <v>19.920000000000002</v>
      </c>
      <c r="Y531" s="535" t="str">
        <f t="shared" si="1900"/>
        <v/>
      </c>
      <c r="Z531" s="535" t="str">
        <f t="shared" si="1900"/>
        <v/>
      </c>
      <c r="AA531" s="535">
        <f t="shared" si="1900"/>
        <v>10</v>
      </c>
      <c r="AB531" s="535" t="str">
        <f t="shared" si="1900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901">IF(AL530="","",AL527*AL530)</f>
        <v/>
      </c>
      <c r="AM531" s="535">
        <f t="shared" si="1901"/>
        <v>253</v>
      </c>
      <c r="AN531" s="535">
        <f t="shared" si="1901"/>
        <v>21</v>
      </c>
      <c r="AO531" s="535">
        <f t="shared" si="1901"/>
        <v>280.79999999999995</v>
      </c>
      <c r="AP531" s="535" t="str">
        <f t="shared" si="1901"/>
        <v/>
      </c>
      <c r="AQ531" s="535">
        <f t="shared" si="1901"/>
        <v>136</v>
      </c>
      <c r="AR531" s="535">
        <f t="shared" si="1901"/>
        <v>54</v>
      </c>
      <c r="AS531" s="535">
        <f t="shared" si="1901"/>
        <v>289.8</v>
      </c>
      <c r="AT531" s="535">
        <f t="shared" si="1901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902">IF(BD530="","",BD527*BD530)</f>
        <v>119.952</v>
      </c>
      <c r="BE531" s="535">
        <f t="shared" si="1902"/>
        <v>179.928</v>
      </c>
      <c r="BF531" s="535" t="str">
        <f t="shared" si="1902"/>
        <v/>
      </c>
      <c r="BG531" s="535" t="str">
        <f t="shared" si="1902"/>
        <v/>
      </c>
      <c r="BH531" s="535">
        <f t="shared" si="1902"/>
        <v>29.988</v>
      </c>
      <c r="BI531" s="535" t="str">
        <f t="shared" si="1902"/>
        <v/>
      </c>
      <c r="BJ531" s="535">
        <f t="shared" si="1902"/>
        <v>108</v>
      </c>
      <c r="BK531" s="535">
        <f t="shared" si="1902"/>
        <v>259.20000000000005</v>
      </c>
      <c r="BL531" s="535" t="str">
        <f t="shared" si="1902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886"/>
        <v/>
      </c>
      <c r="CA531" s="373">
        <f t="shared" si="1887"/>
        <v>46.960000000000008</v>
      </c>
      <c r="CB531" s="373">
        <f t="shared" si="1888"/>
        <v>202.71999999999997</v>
      </c>
      <c r="CC531" s="462">
        <f t="shared" si="1889"/>
        <v>135.95999999999995</v>
      </c>
      <c r="CD531" s="110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0" t="str">
        <f t="shared" si="1898"/>
        <v/>
      </c>
      <c r="CF531" s="1111" t="str">
        <f t="shared" si="1898"/>
        <v/>
      </c>
      <c r="CG531" s="1111" t="str">
        <f t="shared" si="1898"/>
        <v/>
      </c>
      <c r="CH531" s="1111" t="str">
        <f t="shared" si="1898"/>
        <v/>
      </c>
      <c r="CI531" s="1111" t="str">
        <f t="shared" si="1898"/>
        <v/>
      </c>
      <c r="CJ531" s="1111" t="str">
        <f t="shared" si="1898"/>
        <v/>
      </c>
      <c r="CK531" s="1112" t="str">
        <f t="shared" si="1898"/>
        <v/>
      </c>
      <c r="CL531" s="1112">
        <f t="shared" si="1898"/>
        <v>187</v>
      </c>
      <c r="CM531" s="1112">
        <f t="shared" si="1898"/>
        <v>300</v>
      </c>
      <c r="CN531" s="1111" t="str">
        <f t="shared" si="1898"/>
        <v/>
      </c>
      <c r="CO531" s="1111" t="str">
        <f t="shared" si="1898"/>
        <v/>
      </c>
      <c r="CP531" s="1111" t="str">
        <f t="shared" si="1898"/>
        <v/>
      </c>
      <c r="CQ531" s="1111" t="str">
        <f t="shared" si="1898"/>
        <v/>
      </c>
      <c r="CR531" s="1111" t="str">
        <f t="shared" si="1898"/>
        <v/>
      </c>
      <c r="CS531" s="1110" t="str">
        <f t="shared" si="1898"/>
        <v/>
      </c>
      <c r="CT531" s="1113" t="str">
        <f t="shared" si="1898"/>
        <v/>
      </c>
      <c r="CU531" s="324" t="str">
        <f t="shared" si="1778"/>
        <v/>
      </c>
      <c r="CV531" s="325" t="str">
        <f t="shared" si="1779"/>
        <v/>
      </c>
      <c r="CW531" s="326" t="str">
        <f t="shared" si="1780"/>
        <v/>
      </c>
      <c r="CX531" s="326" t="str">
        <f t="shared" si="1781"/>
        <v/>
      </c>
      <c r="CY531" s="326" t="str">
        <f t="shared" si="1782"/>
        <v/>
      </c>
      <c r="CZ531" s="326" t="str">
        <f t="shared" si="1783"/>
        <v/>
      </c>
      <c r="DA531" s="326">
        <f t="shared" si="1784"/>
        <v>10</v>
      </c>
      <c r="DB531" s="327">
        <f t="shared" si="1785"/>
        <v>19.920000000000002</v>
      </c>
      <c r="DC531" s="327">
        <f t="shared" si="1786"/>
        <v>21</v>
      </c>
      <c r="DD531" s="327">
        <f t="shared" si="1787"/>
        <v>99.960000000000008</v>
      </c>
      <c r="DE531" s="326">
        <f t="shared" si="1788"/>
        <v>99.960000000000008</v>
      </c>
      <c r="DF531" s="326" t="str">
        <f t="shared" si="1789"/>
        <v/>
      </c>
      <c r="DG531" s="326" t="str">
        <f t="shared" si="1790"/>
        <v/>
      </c>
      <c r="DH531" s="326" t="str">
        <f t="shared" si="1791"/>
        <v/>
      </c>
      <c r="DI531" s="326" t="str">
        <f t="shared" si="1792"/>
        <v/>
      </c>
      <c r="DJ531" s="325" t="str">
        <f t="shared" si="1793"/>
        <v/>
      </c>
      <c r="DK531" s="324" t="str">
        <f t="shared" si="1794"/>
        <v/>
      </c>
      <c r="DL531" s="428">
        <f t="shared" si="1882"/>
        <v>2</v>
      </c>
      <c r="DM531" s="66">
        <f t="shared" si="1883"/>
        <v>5</v>
      </c>
      <c r="DN531" s="66">
        <f t="shared" si="1884"/>
        <v>7</v>
      </c>
      <c r="DO531" s="66">
        <f t="shared" si="188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5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778"/>
        <v/>
      </c>
      <c r="CV532" s="325" t="str">
        <f t="shared" si="1779"/>
        <v/>
      </c>
      <c r="CW532" s="326" t="str">
        <f t="shared" si="1780"/>
        <v/>
      </c>
      <c r="CX532" s="326" t="str">
        <f t="shared" si="1781"/>
        <v/>
      </c>
      <c r="CY532" s="326" t="str">
        <f t="shared" si="1782"/>
        <v/>
      </c>
      <c r="CZ532" s="326" t="str">
        <f t="shared" si="1783"/>
        <v/>
      </c>
      <c r="DA532" s="326" t="str">
        <f t="shared" si="1784"/>
        <v/>
      </c>
      <c r="DB532" s="327" t="str">
        <f t="shared" si="1785"/>
        <v/>
      </c>
      <c r="DC532" s="327" t="str">
        <f t="shared" si="1786"/>
        <v/>
      </c>
      <c r="DD532" s="327" t="str">
        <f t="shared" si="1787"/>
        <v/>
      </c>
      <c r="DE532" s="326" t="str">
        <f t="shared" si="1788"/>
        <v/>
      </c>
      <c r="DF532" s="326" t="str">
        <f t="shared" si="1789"/>
        <v/>
      </c>
      <c r="DG532" s="326" t="str">
        <f t="shared" si="1790"/>
        <v/>
      </c>
      <c r="DH532" s="326" t="str">
        <f t="shared" si="1791"/>
        <v/>
      </c>
      <c r="DI532" s="326" t="str">
        <f t="shared" si="1792"/>
        <v/>
      </c>
      <c r="DJ532" s="325" t="str">
        <f t="shared" si="1793"/>
        <v/>
      </c>
      <c r="DK532" s="324" t="str">
        <f t="shared" si="1794"/>
        <v/>
      </c>
      <c r="DL532" s="428">
        <f t="shared" si="1882"/>
        <v>0</v>
      </c>
      <c r="DM532" s="66">
        <f t="shared" si="1883"/>
        <v>0</v>
      </c>
      <c r="DN532" s="66">
        <f t="shared" si="1884"/>
        <v>0</v>
      </c>
      <c r="DO532" s="66">
        <f t="shared" si="188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886"/>
        <v>3</v>
      </c>
      <c r="CA533" s="373">
        <f t="shared" si="1887"/>
        <v>1.5</v>
      </c>
      <c r="CB533" s="373">
        <f t="shared" si="1888"/>
        <v>11.25</v>
      </c>
      <c r="CC533" s="462">
        <f t="shared" si="1889"/>
        <v>14.5</v>
      </c>
      <c r="CD533" s="1109" t="str">
        <f t="shared" ref="CD533:CD543" si="19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0" t="str">
        <f t="shared" si="1898"/>
        <v/>
      </c>
      <c r="CF533" s="1111" t="str">
        <f t="shared" si="1898"/>
        <v/>
      </c>
      <c r="CG533" s="1111" t="str">
        <f t="shared" si="1898"/>
        <v/>
      </c>
      <c r="CH533" s="1111" t="str">
        <f t="shared" si="1898"/>
        <v/>
      </c>
      <c r="CI533" s="1111" t="str">
        <f t="shared" si="1898"/>
        <v/>
      </c>
      <c r="CJ533" s="1111" t="str">
        <f t="shared" si="1898"/>
        <v/>
      </c>
      <c r="CK533" s="1112">
        <f t="shared" si="1898"/>
        <v>1.5</v>
      </c>
      <c r="CL533" s="1112">
        <f t="shared" si="1898"/>
        <v>3</v>
      </c>
      <c r="CM533" s="1112">
        <f t="shared" si="1898"/>
        <v>18</v>
      </c>
      <c r="CN533" s="1111" t="str">
        <f t="shared" si="1898"/>
        <v/>
      </c>
      <c r="CO533" s="1111" t="str">
        <f t="shared" si="1898"/>
        <v/>
      </c>
      <c r="CP533" s="1111" t="str">
        <f t="shared" si="1898"/>
        <v/>
      </c>
      <c r="CQ533" s="1111" t="str">
        <f t="shared" si="1898"/>
        <v/>
      </c>
      <c r="CR533" s="1111" t="str">
        <f t="shared" si="1898"/>
        <v/>
      </c>
      <c r="CS533" s="1110" t="str">
        <f t="shared" si="1898"/>
        <v/>
      </c>
      <c r="CT533" s="1113" t="str">
        <f t="shared" si="1898"/>
        <v/>
      </c>
      <c r="CU533" s="324" t="str">
        <f t="shared" si="1778"/>
        <v/>
      </c>
      <c r="CV533" s="325" t="str">
        <f t="shared" si="1779"/>
        <v/>
      </c>
      <c r="CW533" s="326" t="str">
        <f t="shared" si="1780"/>
        <v/>
      </c>
      <c r="CX533" s="326" t="str">
        <f t="shared" si="1781"/>
        <v/>
      </c>
      <c r="CY533" s="326" t="str">
        <f t="shared" si="1782"/>
        <v/>
      </c>
      <c r="CZ533" s="326" t="str">
        <f t="shared" si="1783"/>
        <v/>
      </c>
      <c r="DA533" s="326" t="str">
        <f t="shared" si="1784"/>
        <v/>
      </c>
      <c r="DB533" s="327">
        <f t="shared" si="1785"/>
        <v>1</v>
      </c>
      <c r="DC533" s="327">
        <f t="shared" si="1786"/>
        <v>1.5</v>
      </c>
      <c r="DD533" s="327">
        <f t="shared" si="1787"/>
        <v>3</v>
      </c>
      <c r="DE533" s="326" t="str">
        <f t="shared" si="1788"/>
        <v/>
      </c>
      <c r="DF533" s="326" t="str">
        <f t="shared" si="1789"/>
        <v/>
      </c>
      <c r="DG533" s="326" t="str">
        <f t="shared" si="1790"/>
        <v/>
      </c>
      <c r="DH533" s="326" t="str">
        <f t="shared" si="1791"/>
        <v/>
      </c>
      <c r="DI533" s="326" t="str">
        <f t="shared" si="1792"/>
        <v/>
      </c>
      <c r="DJ533" s="325" t="str">
        <f t="shared" si="1793"/>
        <v/>
      </c>
      <c r="DK533" s="324" t="str">
        <f t="shared" si="1794"/>
        <v/>
      </c>
      <c r="DL533" s="428">
        <f t="shared" si="1882"/>
        <v>3</v>
      </c>
      <c r="DM533" s="66">
        <f t="shared" si="1883"/>
        <v>3</v>
      </c>
      <c r="DN533" s="66">
        <f t="shared" si="1884"/>
        <v>6</v>
      </c>
      <c r="DO533" s="66">
        <f t="shared" si="188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904">2145*$K$1</f>
        <v>2145</v>
      </c>
      <c r="D534" s="536">
        <f t="shared" si="1904"/>
        <v>2145</v>
      </c>
      <c r="E534" s="536">
        <f t="shared" si="1904"/>
        <v>2145</v>
      </c>
      <c r="F534" s="536">
        <f t="shared" si="1904"/>
        <v>2145</v>
      </c>
      <c r="G534" s="536">
        <f t="shared" si="1904"/>
        <v>2145</v>
      </c>
      <c r="H534" s="536">
        <f t="shared" si="1904"/>
        <v>2145</v>
      </c>
      <c r="I534" s="536">
        <f t="shared" si="1904"/>
        <v>2145</v>
      </c>
      <c r="J534" s="536">
        <f t="shared" si="1904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905">2145*$K$1</f>
        <v>2145</v>
      </c>
      <c r="V534" s="536">
        <f t="shared" si="1905"/>
        <v>2145</v>
      </c>
      <c r="W534" s="536">
        <f t="shared" si="1905"/>
        <v>2145</v>
      </c>
      <c r="X534" s="536">
        <f t="shared" si="1905"/>
        <v>2145</v>
      </c>
      <c r="Y534" s="536">
        <f t="shared" si="1905"/>
        <v>2145</v>
      </c>
      <c r="Z534" s="536">
        <f t="shared" si="1905"/>
        <v>2145</v>
      </c>
      <c r="AA534" s="536">
        <f t="shared" si="1905"/>
        <v>2145</v>
      </c>
      <c r="AB534" s="536">
        <f t="shared" si="1905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906">2145*$K$1</f>
        <v>2145</v>
      </c>
      <c r="AN534" s="536">
        <f t="shared" si="1906"/>
        <v>2145</v>
      </c>
      <c r="AO534" s="536">
        <f t="shared" si="1906"/>
        <v>2145</v>
      </c>
      <c r="AP534" s="536">
        <f t="shared" si="1906"/>
        <v>2145</v>
      </c>
      <c r="AQ534" s="536">
        <f t="shared" si="1906"/>
        <v>2145</v>
      </c>
      <c r="AR534" s="536">
        <f t="shared" si="1906"/>
        <v>2145</v>
      </c>
      <c r="AS534" s="536">
        <f t="shared" si="1906"/>
        <v>2145</v>
      </c>
      <c r="AT534" s="536">
        <f t="shared" si="1906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907">2145*$K$1</f>
        <v>2145</v>
      </c>
      <c r="BF534" s="536">
        <f t="shared" si="1907"/>
        <v>2145</v>
      </c>
      <c r="BG534" s="536">
        <f t="shared" si="1907"/>
        <v>2145</v>
      </c>
      <c r="BH534" s="536">
        <f t="shared" si="1907"/>
        <v>2145</v>
      </c>
      <c r="BI534" s="536">
        <f t="shared" si="1907"/>
        <v>2145</v>
      </c>
      <c r="BJ534" s="536">
        <f t="shared" si="1907"/>
        <v>2145</v>
      </c>
      <c r="BK534" s="536">
        <f t="shared" si="1907"/>
        <v>2145</v>
      </c>
      <c r="BL534" s="536">
        <f t="shared" si="1907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907"/>
        <v>2145</v>
      </c>
      <c r="BW534" s="536">
        <f t="shared" si="1907"/>
        <v>2145</v>
      </c>
      <c r="BX534" s="536">
        <f t="shared" si="1907"/>
        <v>2145</v>
      </c>
      <c r="BY534" s="536">
        <f t="shared" si="1907"/>
        <v>2145</v>
      </c>
      <c r="BZ534" s="373">
        <f t="shared" si="1886"/>
        <v>2145</v>
      </c>
      <c r="CA534" s="373">
        <f t="shared" si="1887"/>
        <v>2145</v>
      </c>
      <c r="CB534" s="373">
        <f t="shared" si="1888"/>
        <v>2145</v>
      </c>
      <c r="CC534" s="462">
        <f t="shared" si="1889"/>
        <v>2145</v>
      </c>
      <c r="CD534" s="1109" t="str">
        <f t="shared" si="1903"/>
        <v/>
      </c>
      <c r="CE534" s="1110" t="str">
        <f t="shared" si="1898"/>
        <v/>
      </c>
      <c r="CF534" s="1111" t="str">
        <f t="shared" si="1898"/>
        <v/>
      </c>
      <c r="CG534" s="1111" t="str">
        <f t="shared" si="1898"/>
        <v/>
      </c>
      <c r="CH534" s="1111">
        <f t="shared" si="1898"/>
        <v>2145</v>
      </c>
      <c r="CI534" s="1111">
        <f t="shared" si="1898"/>
        <v>2145</v>
      </c>
      <c r="CJ534" s="1111">
        <f t="shared" si="1898"/>
        <v>2145</v>
      </c>
      <c r="CK534" s="1112">
        <f t="shared" si="1898"/>
        <v>2145</v>
      </c>
      <c r="CL534" s="1112">
        <f t="shared" si="1898"/>
        <v>2145</v>
      </c>
      <c r="CM534" s="1112">
        <f t="shared" si="1898"/>
        <v>2145</v>
      </c>
      <c r="CN534" s="1111">
        <f t="shared" si="1898"/>
        <v>2145</v>
      </c>
      <c r="CO534" s="1111">
        <f t="shared" si="1898"/>
        <v>2145</v>
      </c>
      <c r="CP534" s="1111">
        <f t="shared" si="1898"/>
        <v>2145</v>
      </c>
      <c r="CQ534" s="1111" t="str">
        <f t="shared" si="1898"/>
        <v/>
      </c>
      <c r="CR534" s="1111" t="str">
        <f t="shared" si="1898"/>
        <v/>
      </c>
      <c r="CS534" s="1110" t="str">
        <f t="shared" si="1898"/>
        <v/>
      </c>
      <c r="CT534" s="1113" t="str">
        <f t="shared" si="1898"/>
        <v/>
      </c>
      <c r="CU534" s="324" t="str">
        <f t="shared" si="1778"/>
        <v/>
      </c>
      <c r="CV534" s="325" t="str">
        <f t="shared" si="1779"/>
        <v/>
      </c>
      <c r="CW534" s="326" t="str">
        <f t="shared" si="1780"/>
        <v/>
      </c>
      <c r="CX534" s="326" t="str">
        <f t="shared" si="1781"/>
        <v/>
      </c>
      <c r="CY534" s="326">
        <f t="shared" si="1782"/>
        <v>2145</v>
      </c>
      <c r="CZ534" s="326">
        <f t="shared" si="1783"/>
        <v>2145</v>
      </c>
      <c r="DA534" s="326">
        <f t="shared" si="1784"/>
        <v>2145</v>
      </c>
      <c r="DB534" s="327">
        <f t="shared" si="1785"/>
        <v>2145</v>
      </c>
      <c r="DC534" s="327">
        <f t="shared" si="1786"/>
        <v>2145</v>
      </c>
      <c r="DD534" s="327">
        <f t="shared" si="1787"/>
        <v>2145</v>
      </c>
      <c r="DE534" s="326">
        <f t="shared" si="1788"/>
        <v>2145</v>
      </c>
      <c r="DF534" s="326">
        <f t="shared" si="1789"/>
        <v>2145</v>
      </c>
      <c r="DG534" s="326">
        <f t="shared" si="1790"/>
        <v>2145</v>
      </c>
      <c r="DH534" s="326" t="str">
        <f t="shared" si="1791"/>
        <v/>
      </c>
      <c r="DI534" s="326" t="str">
        <f t="shared" si="1792"/>
        <v/>
      </c>
      <c r="DJ534" s="325" t="str">
        <f t="shared" si="1793"/>
        <v/>
      </c>
      <c r="DK534" s="324" t="str">
        <f t="shared" si="1794"/>
        <v/>
      </c>
      <c r="DL534" s="428">
        <f t="shared" si="1882"/>
        <v>9</v>
      </c>
      <c r="DM534" s="66">
        <f t="shared" si="1883"/>
        <v>9</v>
      </c>
      <c r="DN534" s="66">
        <f t="shared" si="1884"/>
        <v>9</v>
      </c>
      <c r="DO534" s="66">
        <f t="shared" si="1885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908">IF(B533="","",B533*B534/B$46/365/$G$1)</f>
        <v/>
      </c>
      <c r="C535" s="540" t="str">
        <f t="shared" si="1908"/>
        <v/>
      </c>
      <c r="D535" s="540" t="str">
        <f t="shared" si="1908"/>
        <v/>
      </c>
      <c r="E535" s="540">
        <f t="shared" si="1908"/>
        <v>1.3992172211350293E-3</v>
      </c>
      <c r="F535" s="540" t="str">
        <f t="shared" si="1908"/>
        <v/>
      </c>
      <c r="G535" s="540" t="str">
        <f t="shared" si="1908"/>
        <v/>
      </c>
      <c r="H535" s="540" t="str">
        <f t="shared" si="1908"/>
        <v/>
      </c>
      <c r="I535" s="540">
        <f t="shared" si="1908"/>
        <v>6.9960861056751463E-4</v>
      </c>
      <c r="J535" s="540">
        <f t="shared" si="1908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909">IF(T533="","",T533*T534/T$46/365/$G$1)</f>
        <v/>
      </c>
      <c r="U535" s="540" t="str">
        <f t="shared" si="1909"/>
        <v/>
      </c>
      <c r="V535" s="540">
        <f t="shared" si="1909"/>
        <v>6.9960861056751463E-4</v>
      </c>
      <c r="W535" s="540" t="str">
        <f t="shared" si="1909"/>
        <v/>
      </c>
      <c r="X535" s="540">
        <f t="shared" si="1909"/>
        <v>3.4980430528375731E-4</v>
      </c>
      <c r="Y535" s="540" t="str">
        <f t="shared" si="1909"/>
        <v/>
      </c>
      <c r="Z535" s="540" t="str">
        <f t="shared" si="1909"/>
        <v/>
      </c>
      <c r="AA535" s="540">
        <f t="shared" si="1909"/>
        <v>4.1976516634050881E-4</v>
      </c>
      <c r="AB535" s="540" t="str">
        <f t="shared" si="1909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910">IF(AL533="","",AL533*AL534/AL$46/365/$G$1)</f>
        <v>1.5264187866927592E-3</v>
      </c>
      <c r="AM535" s="540">
        <f t="shared" si="1910"/>
        <v>2.7984344422700585E-3</v>
      </c>
      <c r="AN535" s="540">
        <f t="shared" si="1910"/>
        <v>1.5741193737769082E-3</v>
      </c>
      <c r="AO535" s="540">
        <f t="shared" si="1910"/>
        <v>1.8889432485322898E-2</v>
      </c>
      <c r="AP535" s="540" t="str">
        <f t="shared" si="1910"/>
        <v/>
      </c>
      <c r="AQ535" s="540">
        <f t="shared" si="1910"/>
        <v>8.3953033268101759E-3</v>
      </c>
      <c r="AR535" s="540" t="str">
        <f t="shared" si="1910"/>
        <v/>
      </c>
      <c r="AS535" s="540">
        <f t="shared" si="1910"/>
        <v>3.1482387475538164E-3</v>
      </c>
      <c r="AT535" s="540" t="str">
        <f t="shared" si="1910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911">IF(BD533="","",BD533*BD534/BD$46/365/$G$1)</f>
        <v>9.7945205479452058E-3</v>
      </c>
      <c r="BE535" s="540">
        <f t="shared" si="1911"/>
        <v>1.3992172211350293E-3</v>
      </c>
      <c r="BF535" s="540">
        <f t="shared" si="1911"/>
        <v>5.0371819960861059E-3</v>
      </c>
      <c r="BG535" s="540">
        <f t="shared" si="1911"/>
        <v>8.3953033268101762E-4</v>
      </c>
      <c r="BH535" s="540" t="str">
        <f t="shared" si="1911"/>
        <v/>
      </c>
      <c r="BI535" s="540">
        <f t="shared" si="1911"/>
        <v>5.9966452334358404E-4</v>
      </c>
      <c r="BJ535" s="540">
        <f t="shared" si="1911"/>
        <v>2.7984344422700585E-3</v>
      </c>
      <c r="BK535" s="540">
        <f t="shared" si="1911"/>
        <v>2.7984344422700585E-3</v>
      </c>
      <c r="BL535" s="540">
        <f t="shared" si="1911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886"/>
        <v>1.3992172211350299E-3</v>
      </c>
      <c r="CA535" s="398">
        <f t="shared" si="1887"/>
        <v>4.1976516634050886E-4</v>
      </c>
      <c r="CB535" s="398">
        <f t="shared" si="1888"/>
        <v>3.9790239726027379E-3</v>
      </c>
      <c r="CC535" s="398">
        <f t="shared" si="1889"/>
        <v>3.7778864970645794E-3</v>
      </c>
      <c r="CD535" s="1114" t="str">
        <f t="shared" si="1903"/>
        <v/>
      </c>
      <c r="CE535" s="1115" t="str">
        <f t="shared" si="1898"/>
        <v/>
      </c>
      <c r="CF535" s="1116" t="str">
        <f t="shared" si="1898"/>
        <v/>
      </c>
      <c r="CG535" s="1116" t="str">
        <f t="shared" si="1898"/>
        <v/>
      </c>
      <c r="CH535" s="1116" t="str">
        <f t="shared" si="1898"/>
        <v/>
      </c>
      <c r="CI535" s="1116" t="str">
        <f t="shared" si="1898"/>
        <v/>
      </c>
      <c r="CJ535" s="1116" t="str">
        <f t="shared" si="1898"/>
        <v/>
      </c>
      <c r="CK535" s="1117">
        <f t="shared" si="1898"/>
        <v>6.9960861056751463E-4</v>
      </c>
      <c r="CL535" s="1117">
        <f t="shared" si="1898"/>
        <v>1.3992172211350293E-3</v>
      </c>
      <c r="CM535" s="1117">
        <f t="shared" si="1898"/>
        <v>7.1959742801230072E-3</v>
      </c>
      <c r="CN535" s="1116" t="str">
        <f t="shared" si="1898"/>
        <v/>
      </c>
      <c r="CO535" s="1116" t="str">
        <f t="shared" si="1898"/>
        <v/>
      </c>
      <c r="CP535" s="1116" t="str">
        <f t="shared" si="1898"/>
        <v/>
      </c>
      <c r="CQ535" s="1116" t="str">
        <f t="shared" si="1898"/>
        <v/>
      </c>
      <c r="CR535" s="1116" t="str">
        <f t="shared" si="1898"/>
        <v/>
      </c>
      <c r="CS535" s="1115" t="str">
        <f t="shared" si="1898"/>
        <v/>
      </c>
      <c r="CT535" s="1118" t="str">
        <f t="shared" si="1898"/>
        <v/>
      </c>
      <c r="CU535" s="312" t="str">
        <f t="shared" si="1778"/>
        <v/>
      </c>
      <c r="CV535" s="313" t="str">
        <f t="shared" si="1779"/>
        <v/>
      </c>
      <c r="CW535" s="314" t="str">
        <f t="shared" si="1780"/>
        <v/>
      </c>
      <c r="CX535" s="314" t="str">
        <f t="shared" si="1781"/>
        <v/>
      </c>
      <c r="CY535" s="314" t="str">
        <f t="shared" si="1782"/>
        <v/>
      </c>
      <c r="CZ535" s="314" t="str">
        <f t="shared" si="1783"/>
        <v/>
      </c>
      <c r="DA535" s="314" t="str">
        <f t="shared" si="1784"/>
        <v/>
      </c>
      <c r="DB535" s="315">
        <f t="shared" si="1785"/>
        <v>3.4980430528375731E-4</v>
      </c>
      <c r="DC535" s="315">
        <f t="shared" si="1786"/>
        <v>4.1976516634050881E-4</v>
      </c>
      <c r="DD535" s="315">
        <f t="shared" si="1787"/>
        <v>6.9960861056751463E-4</v>
      </c>
      <c r="DE535" s="314" t="str">
        <f t="shared" si="1788"/>
        <v/>
      </c>
      <c r="DF535" s="314" t="str">
        <f t="shared" si="1789"/>
        <v/>
      </c>
      <c r="DG535" s="314" t="str">
        <f t="shared" si="1790"/>
        <v/>
      </c>
      <c r="DH535" s="314" t="str">
        <f t="shared" si="1791"/>
        <v/>
      </c>
      <c r="DI535" s="314" t="str">
        <f t="shared" si="1792"/>
        <v/>
      </c>
      <c r="DJ535" s="313" t="str">
        <f t="shared" si="1793"/>
        <v/>
      </c>
      <c r="DK535" s="312" t="str">
        <f t="shared" si="1794"/>
        <v/>
      </c>
      <c r="DL535" s="428">
        <f t="shared" si="1882"/>
        <v>3</v>
      </c>
      <c r="DM535" s="66">
        <f t="shared" si="1883"/>
        <v>3</v>
      </c>
      <c r="DN535" s="66">
        <f t="shared" si="1884"/>
        <v>6</v>
      </c>
      <c r="DO535" s="66">
        <f t="shared" si="188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886"/>
        <v>15</v>
      </c>
      <c r="CA536" s="373">
        <f t="shared" si="1887"/>
        <v>25</v>
      </c>
      <c r="CB536" s="373">
        <f t="shared" si="1888"/>
        <v>18.282499999999999</v>
      </c>
      <c r="CC536" s="462">
        <f t="shared" si="1889"/>
        <v>15.260000000000002</v>
      </c>
      <c r="CD536" s="1109" t="str">
        <f t="shared" si="1903"/>
        <v/>
      </c>
      <c r="CE536" s="1110" t="str">
        <f t="shared" si="1898"/>
        <v/>
      </c>
      <c r="CF536" s="1111" t="str">
        <f t="shared" si="1898"/>
        <v/>
      </c>
      <c r="CG536" s="1111" t="str">
        <f t="shared" si="1898"/>
        <v/>
      </c>
      <c r="CH536" s="1111" t="str">
        <f t="shared" si="1898"/>
        <v/>
      </c>
      <c r="CI536" s="1111" t="str">
        <f t="shared" si="1898"/>
        <v/>
      </c>
      <c r="CJ536" s="1111" t="str">
        <f t="shared" si="1898"/>
        <v/>
      </c>
      <c r="CK536" s="1112">
        <f t="shared" si="1898"/>
        <v>13.3</v>
      </c>
      <c r="CL536" s="1112">
        <f t="shared" si="1898"/>
        <v>15</v>
      </c>
      <c r="CM536" s="1112">
        <f t="shared" si="1898"/>
        <v>20</v>
      </c>
      <c r="CN536" s="1111" t="str">
        <f t="shared" si="1898"/>
        <v/>
      </c>
      <c r="CO536" s="1111" t="str">
        <f t="shared" si="1898"/>
        <v/>
      </c>
      <c r="CP536" s="1111" t="str">
        <f t="shared" si="1898"/>
        <v/>
      </c>
      <c r="CQ536" s="1111" t="str">
        <f t="shared" si="1898"/>
        <v/>
      </c>
      <c r="CR536" s="1111" t="str">
        <f t="shared" si="1898"/>
        <v/>
      </c>
      <c r="CS536" s="1110" t="str">
        <f t="shared" si="1898"/>
        <v/>
      </c>
      <c r="CT536" s="1113" t="str">
        <f t="shared" si="1898"/>
        <v/>
      </c>
      <c r="CU536" s="324" t="str">
        <f t="shared" si="1778"/>
        <v/>
      </c>
      <c r="CV536" s="325" t="str">
        <f t="shared" si="1779"/>
        <v/>
      </c>
      <c r="CW536" s="326" t="str">
        <f t="shared" si="1780"/>
        <v/>
      </c>
      <c r="CX536" s="326" t="str">
        <f t="shared" si="1781"/>
        <v/>
      </c>
      <c r="CY536" s="326" t="str">
        <f t="shared" si="1782"/>
        <v/>
      </c>
      <c r="CZ536" s="326" t="str">
        <f t="shared" si="1783"/>
        <v/>
      </c>
      <c r="DA536" s="326" t="str">
        <f t="shared" si="1784"/>
        <v/>
      </c>
      <c r="DB536" s="327">
        <f t="shared" si="1785"/>
        <v>15</v>
      </c>
      <c r="DC536" s="327">
        <f t="shared" si="1786"/>
        <v>25</v>
      </c>
      <c r="DD536" s="327">
        <f t="shared" si="1787"/>
        <v>25</v>
      </c>
      <c r="DE536" s="326" t="str">
        <f t="shared" si="1788"/>
        <v/>
      </c>
      <c r="DF536" s="326" t="str">
        <f t="shared" si="1789"/>
        <v/>
      </c>
      <c r="DG536" s="326" t="str">
        <f t="shared" si="1790"/>
        <v/>
      </c>
      <c r="DH536" s="326" t="str">
        <f t="shared" si="1791"/>
        <v/>
      </c>
      <c r="DI536" s="326" t="str">
        <f t="shared" si="1792"/>
        <v/>
      </c>
      <c r="DJ536" s="325" t="str">
        <f t="shared" si="1793"/>
        <v/>
      </c>
      <c r="DK536" s="324" t="str">
        <f t="shared" si="1794"/>
        <v/>
      </c>
      <c r="DL536" s="428">
        <f t="shared" si="1882"/>
        <v>3</v>
      </c>
      <c r="DM536" s="66">
        <f t="shared" si="1883"/>
        <v>3</v>
      </c>
      <c r="DN536" s="66">
        <f t="shared" si="1884"/>
        <v>6</v>
      </c>
      <c r="DO536" s="66">
        <f t="shared" si="188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912">IF(B536="","",B533*B536)</f>
        <v/>
      </c>
      <c r="C537" s="535" t="str">
        <f t="shared" si="1912"/>
        <v/>
      </c>
      <c r="D537" s="535" t="str">
        <f t="shared" si="1912"/>
        <v/>
      </c>
      <c r="E537" s="535">
        <f t="shared" si="1912"/>
        <v>45</v>
      </c>
      <c r="F537" s="535" t="str">
        <f t="shared" si="1912"/>
        <v/>
      </c>
      <c r="G537" s="535" t="str">
        <f t="shared" si="1912"/>
        <v/>
      </c>
      <c r="H537" s="535" t="str">
        <f t="shared" si="1912"/>
        <v/>
      </c>
      <c r="I537" s="535">
        <f t="shared" si="1912"/>
        <v>30</v>
      </c>
      <c r="J537" s="535">
        <f t="shared" si="1912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913">IF(T536="","",T533*T536)</f>
        <v/>
      </c>
      <c r="U537" s="535" t="str">
        <f t="shared" si="1913"/>
        <v/>
      </c>
      <c r="V537" s="535">
        <f t="shared" si="1913"/>
        <v>75</v>
      </c>
      <c r="W537" s="535" t="str">
        <f t="shared" si="1913"/>
        <v/>
      </c>
      <c r="X537" s="535">
        <f t="shared" si="1913"/>
        <v>15</v>
      </c>
      <c r="Y537" s="535" t="str">
        <f t="shared" si="1913"/>
        <v/>
      </c>
      <c r="Z537" s="535" t="str">
        <f t="shared" si="1913"/>
        <v/>
      </c>
      <c r="AA537" s="535">
        <f t="shared" si="1913"/>
        <v>37.5</v>
      </c>
      <c r="AB537" s="535" t="str">
        <f t="shared" si="1913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914">IF(AL536="","",AL533*AL536)</f>
        <v>150</v>
      </c>
      <c r="AM537" s="535">
        <f t="shared" si="1914"/>
        <v>159.60000000000002</v>
      </c>
      <c r="AN537" s="535">
        <f t="shared" si="1914"/>
        <v>74.25</v>
      </c>
      <c r="AO537" s="535">
        <f t="shared" si="1914"/>
        <v>1259.82</v>
      </c>
      <c r="AP537" s="535" t="str">
        <f t="shared" si="1914"/>
        <v/>
      </c>
      <c r="AQ537" s="535">
        <f t="shared" si="1914"/>
        <v>360</v>
      </c>
      <c r="AR537" s="535" t="str">
        <f t="shared" si="1914"/>
        <v/>
      </c>
      <c r="AS537" s="535">
        <f t="shared" si="1914"/>
        <v>119.7</v>
      </c>
      <c r="AT537" s="535" t="str">
        <f t="shared" si="1914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915">IF(BD536="","",BD533*BD536)</f>
        <v>420</v>
      </c>
      <c r="BE537" s="535">
        <f t="shared" si="1915"/>
        <v>360</v>
      </c>
      <c r="BF537" s="535" t="str">
        <f t="shared" si="1915"/>
        <v/>
      </c>
      <c r="BG537" s="535">
        <f t="shared" si="1915"/>
        <v>51</v>
      </c>
      <c r="BH537" s="535" t="str">
        <f t="shared" si="1915"/>
        <v/>
      </c>
      <c r="BI537" s="535">
        <f t="shared" si="1915"/>
        <v>19.950000000000003</v>
      </c>
      <c r="BJ537" s="535">
        <f t="shared" si="1915"/>
        <v>96</v>
      </c>
      <c r="BK537" s="535">
        <f t="shared" si="1915"/>
        <v>240</v>
      </c>
      <c r="BL537" s="535">
        <f t="shared" si="1915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886"/>
        <v>44.999999999999972</v>
      </c>
      <c r="CA537" s="373">
        <f t="shared" si="1887"/>
        <v>37.5</v>
      </c>
      <c r="CB537" s="373">
        <f t="shared" si="1888"/>
        <v>197.32499999999999</v>
      </c>
      <c r="CC537" s="462">
        <f t="shared" si="1889"/>
        <v>233.4</v>
      </c>
      <c r="CD537" s="1109" t="str">
        <f t="shared" si="1903"/>
        <v/>
      </c>
      <c r="CE537" s="1110" t="str">
        <f t="shared" si="1898"/>
        <v/>
      </c>
      <c r="CF537" s="1111" t="str">
        <f t="shared" si="1898"/>
        <v/>
      </c>
      <c r="CG537" s="1111" t="str">
        <f t="shared" si="1898"/>
        <v/>
      </c>
      <c r="CH537" s="1111" t="str">
        <f t="shared" si="1898"/>
        <v/>
      </c>
      <c r="CI537" s="1111" t="str">
        <f t="shared" si="1898"/>
        <v/>
      </c>
      <c r="CJ537" s="1111" t="str">
        <f t="shared" si="1898"/>
        <v/>
      </c>
      <c r="CK537" s="1112">
        <f t="shared" si="1898"/>
        <v>30</v>
      </c>
      <c r="CL537" s="1112">
        <f t="shared" si="1898"/>
        <v>45</v>
      </c>
      <c r="CM537" s="1112">
        <f t="shared" si="1898"/>
        <v>239.4</v>
      </c>
      <c r="CN537" s="1111" t="str">
        <f t="shared" si="1898"/>
        <v/>
      </c>
      <c r="CO537" s="1111" t="str">
        <f t="shared" si="1898"/>
        <v/>
      </c>
      <c r="CP537" s="1111" t="str">
        <f t="shared" si="1898"/>
        <v/>
      </c>
      <c r="CQ537" s="1111" t="str">
        <f t="shared" si="1898"/>
        <v/>
      </c>
      <c r="CR537" s="1111" t="str">
        <f t="shared" si="1898"/>
        <v/>
      </c>
      <c r="CS537" s="1110" t="str">
        <f t="shared" si="1898"/>
        <v/>
      </c>
      <c r="CT537" s="1113" t="str">
        <f t="shared" si="1898"/>
        <v/>
      </c>
      <c r="CU537" s="324" t="str">
        <f t="shared" si="1778"/>
        <v/>
      </c>
      <c r="CV537" s="325" t="str">
        <f t="shared" si="1779"/>
        <v/>
      </c>
      <c r="CW537" s="326" t="str">
        <f t="shared" si="1780"/>
        <v/>
      </c>
      <c r="CX537" s="326" t="str">
        <f t="shared" si="1781"/>
        <v/>
      </c>
      <c r="CY537" s="326" t="str">
        <f t="shared" si="1782"/>
        <v/>
      </c>
      <c r="CZ537" s="326" t="str">
        <f t="shared" si="1783"/>
        <v/>
      </c>
      <c r="DA537" s="326" t="str">
        <f t="shared" si="1784"/>
        <v/>
      </c>
      <c r="DB537" s="327">
        <f t="shared" si="1785"/>
        <v>15</v>
      </c>
      <c r="DC537" s="327">
        <f t="shared" si="1786"/>
        <v>37.5</v>
      </c>
      <c r="DD537" s="327">
        <f t="shared" si="1787"/>
        <v>75</v>
      </c>
      <c r="DE537" s="326" t="str">
        <f t="shared" si="1788"/>
        <v/>
      </c>
      <c r="DF537" s="326" t="str">
        <f t="shared" si="1789"/>
        <v/>
      </c>
      <c r="DG537" s="326" t="str">
        <f t="shared" si="1790"/>
        <v/>
      </c>
      <c r="DH537" s="326" t="str">
        <f t="shared" si="1791"/>
        <v/>
      </c>
      <c r="DI537" s="326" t="str">
        <f t="shared" si="1792"/>
        <v/>
      </c>
      <c r="DJ537" s="325" t="str">
        <f t="shared" si="1793"/>
        <v/>
      </c>
      <c r="DK537" s="324" t="str">
        <f t="shared" si="1794"/>
        <v/>
      </c>
      <c r="DL537" s="428">
        <f t="shared" si="1882"/>
        <v>3</v>
      </c>
      <c r="DM537" s="66">
        <f t="shared" si="1883"/>
        <v>3</v>
      </c>
      <c r="DN537" s="66">
        <f t="shared" si="1884"/>
        <v>6</v>
      </c>
      <c r="DO537" s="66">
        <f t="shared" si="188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5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9" t="str">
        <f t="shared" si="1903"/>
        <v/>
      </c>
      <c r="CE538" s="1110" t="str">
        <f t="shared" ref="CE538:CT538" si="19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1" t="str">
        <f t="shared" si="1916"/>
        <v/>
      </c>
      <c r="CG538" s="1111" t="str">
        <f t="shared" si="1916"/>
        <v/>
      </c>
      <c r="CH538" s="1111" t="str">
        <f t="shared" si="1916"/>
        <v/>
      </c>
      <c r="CI538" s="1111" t="str">
        <f t="shared" si="1916"/>
        <v/>
      </c>
      <c r="CJ538" s="1111" t="str">
        <f t="shared" si="1916"/>
        <v/>
      </c>
      <c r="CK538" s="1112">
        <f t="shared" si="1916"/>
        <v>1</v>
      </c>
      <c r="CL538" s="1112">
        <f t="shared" si="1916"/>
        <v>1</v>
      </c>
      <c r="CM538" s="1112">
        <f t="shared" si="1916"/>
        <v>1</v>
      </c>
      <c r="CN538" s="1111">
        <f t="shared" si="1916"/>
        <v>1</v>
      </c>
      <c r="CO538" s="1111" t="str">
        <f t="shared" si="1916"/>
        <v/>
      </c>
      <c r="CP538" s="1111" t="str">
        <f t="shared" si="1916"/>
        <v/>
      </c>
      <c r="CQ538" s="1111" t="str">
        <f t="shared" si="1916"/>
        <v/>
      </c>
      <c r="CR538" s="1111" t="str">
        <f t="shared" si="1916"/>
        <v/>
      </c>
      <c r="CS538" s="1110" t="str">
        <f t="shared" si="1916"/>
        <v/>
      </c>
      <c r="CT538" s="1113" t="str">
        <f t="shared" si="1916"/>
        <v/>
      </c>
      <c r="CU538" s="324" t="str">
        <f t="shared" si="1778"/>
        <v/>
      </c>
      <c r="CV538" s="325" t="str">
        <f t="shared" si="1779"/>
        <v/>
      </c>
      <c r="CW538" s="326" t="str">
        <f t="shared" si="1780"/>
        <v/>
      </c>
      <c r="CX538" s="326" t="str">
        <f t="shared" si="1781"/>
        <v/>
      </c>
      <c r="CY538" s="326">
        <f t="shared" si="1782"/>
        <v>1</v>
      </c>
      <c r="CZ538" s="326">
        <f t="shared" si="1783"/>
        <v>1</v>
      </c>
      <c r="DA538" s="326">
        <f t="shared" si="1784"/>
        <v>1</v>
      </c>
      <c r="DB538" s="327">
        <f t="shared" si="1785"/>
        <v>1</v>
      </c>
      <c r="DC538" s="327">
        <f t="shared" si="1786"/>
        <v>1</v>
      </c>
      <c r="DD538" s="327">
        <f t="shared" si="1787"/>
        <v>1</v>
      </c>
      <c r="DE538" s="326">
        <f t="shared" si="1788"/>
        <v>1</v>
      </c>
      <c r="DF538" s="326">
        <f t="shared" si="1789"/>
        <v>1</v>
      </c>
      <c r="DG538" s="326">
        <f t="shared" si="1790"/>
        <v>1</v>
      </c>
      <c r="DH538" s="326" t="str">
        <f t="shared" si="1791"/>
        <v/>
      </c>
      <c r="DI538" s="326" t="str">
        <f t="shared" si="1792"/>
        <v/>
      </c>
      <c r="DJ538" s="325" t="str">
        <f t="shared" si="1793"/>
        <v/>
      </c>
      <c r="DK538" s="324" t="str">
        <f t="shared" si="1794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886"/>
        <v>3</v>
      </c>
      <c r="CA539" s="373">
        <f t="shared" si="1887"/>
        <v>5</v>
      </c>
      <c r="CB539" s="373">
        <f t="shared" si="1888"/>
        <v>19.833333333333332</v>
      </c>
      <c r="CC539" s="462">
        <f t="shared" si="1889"/>
        <v>16.428571428571427</v>
      </c>
      <c r="CD539" s="1109" t="str">
        <f t="shared" si="1903"/>
        <v/>
      </c>
      <c r="CE539" s="1110" t="str">
        <f t="shared" si="1898"/>
        <v/>
      </c>
      <c r="CF539" s="1111" t="str">
        <f t="shared" si="1898"/>
        <v/>
      </c>
      <c r="CG539" s="1111" t="str">
        <f t="shared" si="1898"/>
        <v/>
      </c>
      <c r="CH539" s="1111" t="str">
        <f t="shared" si="1898"/>
        <v/>
      </c>
      <c r="CI539" s="1111" t="str">
        <f t="shared" si="1898"/>
        <v/>
      </c>
      <c r="CJ539" s="1111" t="str">
        <f t="shared" si="1898"/>
        <v/>
      </c>
      <c r="CK539" s="1112">
        <f t="shared" si="1898"/>
        <v>3</v>
      </c>
      <c r="CL539" s="1112">
        <f t="shared" si="1898"/>
        <v>3</v>
      </c>
      <c r="CM539" s="1112">
        <f t="shared" si="1898"/>
        <v>3</v>
      </c>
      <c r="CN539" s="1111">
        <f t="shared" si="1898"/>
        <v>5</v>
      </c>
      <c r="CO539" s="1111" t="str">
        <f t="shared" si="1898"/>
        <v/>
      </c>
      <c r="CP539" s="1111" t="str">
        <f t="shared" si="1898"/>
        <v/>
      </c>
      <c r="CQ539" s="1111" t="str">
        <f t="shared" si="1898"/>
        <v/>
      </c>
      <c r="CR539" s="1111" t="str">
        <f t="shared" si="1898"/>
        <v/>
      </c>
      <c r="CS539" s="1110" t="str">
        <f t="shared" si="1898"/>
        <v/>
      </c>
      <c r="CT539" s="1113" t="str">
        <f t="shared" si="1898"/>
        <v/>
      </c>
      <c r="CU539" s="324" t="str">
        <f t="shared" si="1778"/>
        <v/>
      </c>
      <c r="CV539" s="325" t="str">
        <f t="shared" si="1779"/>
        <v/>
      </c>
      <c r="CW539" s="326" t="str">
        <f t="shared" si="1780"/>
        <v/>
      </c>
      <c r="CX539" s="326" t="str">
        <f t="shared" si="1781"/>
        <v/>
      </c>
      <c r="CY539" s="326">
        <f t="shared" si="1782"/>
        <v>2</v>
      </c>
      <c r="CZ539" s="326">
        <f t="shared" si="1783"/>
        <v>2</v>
      </c>
      <c r="DA539" s="326">
        <f t="shared" si="1784"/>
        <v>3</v>
      </c>
      <c r="DB539" s="327">
        <f t="shared" si="1785"/>
        <v>4</v>
      </c>
      <c r="DC539" s="327">
        <f t="shared" si="1786"/>
        <v>5</v>
      </c>
      <c r="DD539" s="327">
        <f t="shared" si="1787"/>
        <v>6</v>
      </c>
      <c r="DE539" s="326">
        <f t="shared" si="1788"/>
        <v>6</v>
      </c>
      <c r="DF539" s="326">
        <f t="shared" si="1789"/>
        <v>9</v>
      </c>
      <c r="DG539" s="326">
        <f t="shared" si="1790"/>
        <v>16</v>
      </c>
      <c r="DH539" s="326" t="str">
        <f t="shared" si="1791"/>
        <v/>
      </c>
      <c r="DI539" s="326" t="str">
        <f t="shared" si="1792"/>
        <v/>
      </c>
      <c r="DJ539" s="325" t="str">
        <f t="shared" si="1793"/>
        <v/>
      </c>
      <c r="DK539" s="324" t="str">
        <f t="shared" si="1794"/>
        <v/>
      </c>
      <c r="DL539" s="428">
        <f t="shared" si="1882"/>
        <v>4</v>
      </c>
      <c r="DM539" s="66">
        <f t="shared" si="1883"/>
        <v>9</v>
      </c>
      <c r="DN539" s="66">
        <f t="shared" si="1884"/>
        <v>8</v>
      </c>
      <c r="DO539" s="66">
        <f t="shared" si="188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917">2350*$K$1</f>
        <v>2350</v>
      </c>
      <c r="D540" s="536">
        <f t="shared" si="1917"/>
        <v>2350</v>
      </c>
      <c r="E540" s="536">
        <f t="shared" si="1917"/>
        <v>2350</v>
      </c>
      <c r="F540" s="536">
        <f t="shared" si="1917"/>
        <v>2350</v>
      </c>
      <c r="G540" s="536">
        <f t="shared" si="1917"/>
        <v>2350</v>
      </c>
      <c r="H540" s="536">
        <f t="shared" si="1917"/>
        <v>2350</v>
      </c>
      <c r="I540" s="536">
        <f t="shared" si="1917"/>
        <v>2350</v>
      </c>
      <c r="J540" s="536">
        <f t="shared" si="1917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918">2350*$K$1</f>
        <v>2350</v>
      </c>
      <c r="V540" s="536">
        <f t="shared" si="1918"/>
        <v>2350</v>
      </c>
      <c r="W540" s="536">
        <f t="shared" si="1918"/>
        <v>2350</v>
      </c>
      <c r="X540" s="536">
        <f t="shared" si="1918"/>
        <v>2350</v>
      </c>
      <c r="Y540" s="536">
        <f t="shared" si="1918"/>
        <v>2350</v>
      </c>
      <c r="Z540" s="536">
        <f t="shared" si="1918"/>
        <v>2350</v>
      </c>
      <c r="AA540" s="536">
        <f t="shared" si="1918"/>
        <v>2350</v>
      </c>
      <c r="AB540" s="536">
        <f t="shared" si="1918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919">2350*$K$1</f>
        <v>2350</v>
      </c>
      <c r="AO540" s="536">
        <f t="shared" si="1919"/>
        <v>2350</v>
      </c>
      <c r="AP540" s="536">
        <f t="shared" si="1919"/>
        <v>2350</v>
      </c>
      <c r="AQ540" s="536">
        <f t="shared" si="1919"/>
        <v>2350</v>
      </c>
      <c r="AR540" s="536">
        <f t="shared" si="1919"/>
        <v>2350</v>
      </c>
      <c r="AS540" s="536">
        <f t="shared" si="1919"/>
        <v>2350</v>
      </c>
      <c r="AT540" s="536">
        <f t="shared" si="1919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920">2350*$K$1</f>
        <v>2350</v>
      </c>
      <c r="BF540" s="536">
        <f t="shared" si="1920"/>
        <v>2350</v>
      </c>
      <c r="BG540" s="536">
        <f t="shared" si="1920"/>
        <v>2350</v>
      </c>
      <c r="BH540" s="536">
        <f t="shared" si="1920"/>
        <v>2350</v>
      </c>
      <c r="BI540" s="536">
        <f t="shared" si="1920"/>
        <v>2350</v>
      </c>
      <c r="BJ540" s="536">
        <f t="shared" si="1920"/>
        <v>2350</v>
      </c>
      <c r="BK540" s="536">
        <f t="shared" si="1920"/>
        <v>2350</v>
      </c>
      <c r="BL540" s="536">
        <f t="shared" si="1920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920"/>
        <v>2350</v>
      </c>
      <c r="BW540" s="536">
        <f t="shared" si="1920"/>
        <v>2350</v>
      </c>
      <c r="BX540" s="536">
        <f t="shared" si="1920"/>
        <v>2350</v>
      </c>
      <c r="BY540" s="536">
        <f t="shared" si="1920"/>
        <v>2350</v>
      </c>
      <c r="BZ540" s="373">
        <f t="shared" si="1886"/>
        <v>2350</v>
      </c>
      <c r="CA540" s="373">
        <f t="shared" si="1887"/>
        <v>2350</v>
      </c>
      <c r="CB540" s="373">
        <f t="shared" si="1888"/>
        <v>2350</v>
      </c>
      <c r="CC540" s="462">
        <f t="shared" si="1889"/>
        <v>2350</v>
      </c>
      <c r="CD540" s="1109" t="str">
        <f t="shared" si="1903"/>
        <v/>
      </c>
      <c r="CE540" s="1110" t="str">
        <f t="shared" si="1898"/>
        <v/>
      </c>
      <c r="CF540" s="1111" t="str">
        <f t="shared" si="1898"/>
        <v/>
      </c>
      <c r="CG540" s="1111" t="str">
        <f t="shared" si="1898"/>
        <v/>
      </c>
      <c r="CH540" s="1111">
        <f t="shared" si="1898"/>
        <v>2350</v>
      </c>
      <c r="CI540" s="1111">
        <f t="shared" si="1898"/>
        <v>2350</v>
      </c>
      <c r="CJ540" s="1111">
        <f t="shared" si="1898"/>
        <v>2350</v>
      </c>
      <c r="CK540" s="1112">
        <f t="shared" si="1898"/>
        <v>2350</v>
      </c>
      <c r="CL540" s="1112">
        <f t="shared" si="1898"/>
        <v>2350</v>
      </c>
      <c r="CM540" s="1112">
        <f t="shared" si="1898"/>
        <v>2350</v>
      </c>
      <c r="CN540" s="1111">
        <f t="shared" si="1898"/>
        <v>2350</v>
      </c>
      <c r="CO540" s="1111">
        <f t="shared" si="1898"/>
        <v>2350</v>
      </c>
      <c r="CP540" s="1111">
        <f t="shared" si="1898"/>
        <v>2350</v>
      </c>
      <c r="CQ540" s="1111" t="str">
        <f t="shared" si="1898"/>
        <v/>
      </c>
      <c r="CR540" s="1111" t="str">
        <f t="shared" si="1898"/>
        <v/>
      </c>
      <c r="CS540" s="1110" t="str">
        <f t="shared" si="1898"/>
        <v/>
      </c>
      <c r="CT540" s="1113" t="str">
        <f t="shared" si="1898"/>
        <v/>
      </c>
      <c r="CU540" s="324" t="str">
        <f t="shared" si="1778"/>
        <v/>
      </c>
      <c r="CV540" s="325" t="str">
        <f t="shared" si="1779"/>
        <v/>
      </c>
      <c r="CW540" s="326" t="str">
        <f t="shared" si="1780"/>
        <v/>
      </c>
      <c r="CX540" s="326" t="str">
        <f t="shared" si="1781"/>
        <v/>
      </c>
      <c r="CY540" s="326">
        <f t="shared" si="1782"/>
        <v>2350</v>
      </c>
      <c r="CZ540" s="326">
        <f t="shared" si="1783"/>
        <v>2350</v>
      </c>
      <c r="DA540" s="326">
        <f t="shared" si="1784"/>
        <v>2350</v>
      </c>
      <c r="DB540" s="327">
        <f t="shared" si="1785"/>
        <v>2350</v>
      </c>
      <c r="DC540" s="327">
        <f t="shared" si="1786"/>
        <v>2350</v>
      </c>
      <c r="DD540" s="327">
        <f t="shared" si="1787"/>
        <v>2350</v>
      </c>
      <c r="DE540" s="326">
        <f t="shared" si="1788"/>
        <v>2350</v>
      </c>
      <c r="DF540" s="326">
        <f t="shared" si="1789"/>
        <v>2350</v>
      </c>
      <c r="DG540" s="326">
        <f t="shared" si="1790"/>
        <v>2350</v>
      </c>
      <c r="DH540" s="326" t="str">
        <f t="shared" si="1791"/>
        <v/>
      </c>
      <c r="DI540" s="326" t="str">
        <f t="shared" si="1792"/>
        <v/>
      </c>
      <c r="DJ540" s="325" t="str">
        <f t="shared" si="1793"/>
        <v/>
      </c>
      <c r="DK540" s="324" t="str">
        <f t="shared" si="1794"/>
        <v/>
      </c>
      <c r="DL540" s="428">
        <f t="shared" si="1882"/>
        <v>9</v>
      </c>
      <c r="DM540" s="66">
        <f t="shared" si="1883"/>
        <v>9</v>
      </c>
      <c r="DN540" s="66">
        <f t="shared" si="1884"/>
        <v>9</v>
      </c>
      <c r="DO540" s="66">
        <f t="shared" si="1885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921">IF(B538="","",B538*B539*B540/B$46/365/$G$1)</f>
        <v>1.532941943900848E-3</v>
      </c>
      <c r="C541" s="408">
        <f t="shared" si="1921"/>
        <v>1.3139502376292981E-3</v>
      </c>
      <c r="D541" s="408">
        <f t="shared" si="1921"/>
        <v>1.532941943900848E-3</v>
      </c>
      <c r="E541" s="408" t="str">
        <f t="shared" si="1921"/>
        <v/>
      </c>
      <c r="F541" s="408" t="str">
        <f t="shared" si="1921"/>
        <v/>
      </c>
      <c r="G541" s="408" t="str">
        <f t="shared" si="1921"/>
        <v/>
      </c>
      <c r="H541" s="408" t="str">
        <f t="shared" si="1921"/>
        <v/>
      </c>
      <c r="I541" s="408" t="str">
        <f t="shared" si="1921"/>
        <v/>
      </c>
      <c r="J541" s="408">
        <f t="shared" si="1921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922">IF(T538="","",T538*T539*T540/T$46/365/$G$1)</f>
        <v>6.131767775603392E-3</v>
      </c>
      <c r="U541" s="408">
        <f t="shared" si="1922"/>
        <v>8.3615015121864429E-4</v>
      </c>
      <c r="V541" s="408">
        <f t="shared" si="1922"/>
        <v>5.1098064796694937E-4</v>
      </c>
      <c r="W541" s="408">
        <f t="shared" si="1922"/>
        <v>2.7592954990215261E-3</v>
      </c>
      <c r="X541" s="408">
        <f t="shared" si="1922"/>
        <v>1.9161774298760601E-3</v>
      </c>
      <c r="Y541" s="408">
        <f t="shared" si="1922"/>
        <v>1.7519336501723979E-3</v>
      </c>
      <c r="Z541" s="408">
        <f t="shared" si="1922"/>
        <v>2.2994129158512722E-3</v>
      </c>
      <c r="AA541" s="408">
        <f t="shared" si="1922"/>
        <v>1.8395303326810175E-3</v>
      </c>
      <c r="AB541" s="408">
        <f t="shared" si="1922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923">IF(AL538="","",AL538*AL539*AL540/AL$46/365/$G$1)</f>
        <v>1.0033801814623731E-2</v>
      </c>
      <c r="AM541" s="408">
        <f t="shared" si="1923"/>
        <v>6.131767775603392E-3</v>
      </c>
      <c r="AN541" s="408">
        <f t="shared" si="1923"/>
        <v>7.6647097195042401E-4</v>
      </c>
      <c r="AO541" s="408">
        <f t="shared" si="1923"/>
        <v>1.9161774298760599E-2</v>
      </c>
      <c r="AP541" s="408" t="str">
        <f t="shared" si="1923"/>
        <v/>
      </c>
      <c r="AQ541" s="408">
        <f t="shared" si="1923"/>
        <v>5.8251793868232225E-2</v>
      </c>
      <c r="AR541" s="408">
        <f t="shared" si="1923"/>
        <v>1.8395303326810178E-2</v>
      </c>
      <c r="AS541" s="408">
        <f t="shared" si="1923"/>
        <v>2.8742661448140899E-2</v>
      </c>
      <c r="AT541" s="408">
        <f t="shared" si="1923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924">IF(BD538="","",BD538*BD539*BD540/BD$46/365/$G$1)</f>
        <v>2.6570993694281366E-2</v>
      </c>
      <c r="BE541" s="408">
        <f t="shared" si="1924"/>
        <v>6.131767775603392E-3</v>
      </c>
      <c r="BF541" s="408">
        <f t="shared" si="1924"/>
        <v>1.5329419439008481E-2</v>
      </c>
      <c r="BG541" s="408">
        <f t="shared" si="1924"/>
        <v>7.3581213307240701E-3</v>
      </c>
      <c r="BH541" s="408">
        <f t="shared" si="1924"/>
        <v>1.2263535551206785E-3</v>
      </c>
      <c r="BI541" s="408">
        <f t="shared" si="1924"/>
        <v>7.8837014257757913E-3</v>
      </c>
      <c r="BJ541" s="408">
        <f t="shared" si="1924"/>
        <v>6.131767775603392E-3</v>
      </c>
      <c r="BK541" s="408">
        <f t="shared" si="1924"/>
        <v>2.4527071102413568E-2</v>
      </c>
      <c r="BL541" s="408">
        <f t="shared" si="1924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886"/>
        <v>1.4234460907650733E-3</v>
      </c>
      <c r="CA541" s="398">
        <f t="shared" si="1887"/>
        <v>1.7540666862724454E-3</v>
      </c>
      <c r="CB541" s="398">
        <f t="shared" si="1888"/>
        <v>1.6196925220897818E-2</v>
      </c>
      <c r="CC541" s="398">
        <f t="shared" si="1889"/>
        <v>1.2689005151962937E-2</v>
      </c>
      <c r="CD541" s="1114" t="str">
        <f t="shared" si="1903"/>
        <v/>
      </c>
      <c r="CE541" s="1115" t="str">
        <f t="shared" si="1898"/>
        <v/>
      </c>
      <c r="CF541" s="1116" t="str">
        <f t="shared" si="1898"/>
        <v/>
      </c>
      <c r="CG541" s="1116" t="str">
        <f t="shared" si="1898"/>
        <v/>
      </c>
      <c r="CH541" s="1116" t="str">
        <f t="shared" si="1898"/>
        <v/>
      </c>
      <c r="CI541" s="1116" t="str">
        <f t="shared" si="1898"/>
        <v/>
      </c>
      <c r="CJ541" s="1116" t="str">
        <f t="shared" si="1898"/>
        <v/>
      </c>
      <c r="CK541" s="1117">
        <f t="shared" si="1898"/>
        <v>1.3139502376292981E-3</v>
      </c>
      <c r="CL541" s="1117">
        <f t="shared" si="1898"/>
        <v>1.3139502376292981E-3</v>
      </c>
      <c r="CM541" s="1117">
        <f t="shared" si="1898"/>
        <v>1.532941943900848E-3</v>
      </c>
      <c r="CN541" s="1116">
        <f t="shared" si="1898"/>
        <v>1.532941943900848E-3</v>
      </c>
      <c r="CO541" s="1116" t="str">
        <f t="shared" si="1898"/>
        <v/>
      </c>
      <c r="CP541" s="1116" t="str">
        <f t="shared" si="1898"/>
        <v/>
      </c>
      <c r="CQ541" s="1116" t="str">
        <f t="shared" si="1898"/>
        <v/>
      </c>
      <c r="CR541" s="1116" t="str">
        <f t="shared" si="1898"/>
        <v/>
      </c>
      <c r="CS541" s="1115" t="str">
        <f t="shared" si="1898"/>
        <v/>
      </c>
      <c r="CT541" s="1118" t="str">
        <f t="shared" si="1898"/>
        <v/>
      </c>
      <c r="CU541" s="312" t="str">
        <f t="shared" si="1778"/>
        <v/>
      </c>
      <c r="CV541" s="313" t="str">
        <f t="shared" si="1779"/>
        <v/>
      </c>
      <c r="CW541" s="314" t="str">
        <f t="shared" si="1780"/>
        <v/>
      </c>
      <c r="CX541" s="314" t="str">
        <f t="shared" si="1781"/>
        <v/>
      </c>
      <c r="CY541" s="314">
        <f t="shared" si="1782"/>
        <v>5.1098064796694937E-4</v>
      </c>
      <c r="CZ541" s="314">
        <f t="shared" si="1783"/>
        <v>8.3615015121864429E-4</v>
      </c>
      <c r="DA541" s="314">
        <f t="shared" si="1784"/>
        <v>8.7596682508619896E-4</v>
      </c>
      <c r="DB541" s="315">
        <f t="shared" si="1785"/>
        <v>1.7519336501723979E-3</v>
      </c>
      <c r="DC541" s="315">
        <f t="shared" si="1786"/>
        <v>1.8395303326810175E-3</v>
      </c>
      <c r="DD541" s="315">
        <f t="shared" si="1787"/>
        <v>1.9161774298760601E-3</v>
      </c>
      <c r="DE541" s="314">
        <f t="shared" si="1788"/>
        <v>2.2994129158512722E-3</v>
      </c>
      <c r="DF541" s="314">
        <f t="shared" si="1789"/>
        <v>2.7592954990215261E-3</v>
      </c>
      <c r="DG541" s="314">
        <f t="shared" si="1790"/>
        <v>6.131767775603392E-3</v>
      </c>
      <c r="DH541" s="314" t="str">
        <f t="shared" si="1791"/>
        <v/>
      </c>
      <c r="DI541" s="314" t="str">
        <f t="shared" si="1792"/>
        <v/>
      </c>
      <c r="DJ541" s="313" t="str">
        <f t="shared" si="1793"/>
        <v/>
      </c>
      <c r="DK541" s="312" t="str">
        <f t="shared" si="1794"/>
        <v/>
      </c>
      <c r="DL541" s="428">
        <f t="shared" si="1882"/>
        <v>4</v>
      </c>
      <c r="DM541" s="66">
        <f t="shared" si="1883"/>
        <v>9</v>
      </c>
      <c r="DN541" s="66">
        <f t="shared" si="1884"/>
        <v>8</v>
      </c>
      <c r="DO541" s="66">
        <f t="shared" si="188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886"/>
        <v>9.375</v>
      </c>
      <c r="CA542" s="373">
        <f t="shared" si="1887"/>
        <v>13.571428571428571</v>
      </c>
      <c r="CB542" s="373">
        <f t="shared" si="1888"/>
        <v>14.166666666666666</v>
      </c>
      <c r="CC542" s="462">
        <f t="shared" si="1889"/>
        <v>12.714285714285714</v>
      </c>
      <c r="CD542" s="1109" t="str">
        <f t="shared" si="1903"/>
        <v/>
      </c>
      <c r="CE542" s="1110" t="str">
        <f t="shared" si="1898"/>
        <v/>
      </c>
      <c r="CF542" s="1111" t="str">
        <f t="shared" si="1898"/>
        <v/>
      </c>
      <c r="CG542" s="1111" t="str">
        <f t="shared" si="1898"/>
        <v/>
      </c>
      <c r="CH542" s="1111" t="str">
        <f t="shared" si="1898"/>
        <v/>
      </c>
      <c r="CI542" s="1111" t="str">
        <f t="shared" si="1898"/>
        <v/>
      </c>
      <c r="CJ542" s="1111" t="str">
        <f t="shared" si="1898"/>
        <v/>
      </c>
      <c r="CK542" s="1112">
        <f t="shared" si="1898"/>
        <v>5</v>
      </c>
      <c r="CL542" s="1112">
        <f t="shared" si="1898"/>
        <v>8.75</v>
      </c>
      <c r="CM542" s="1112">
        <f t="shared" si="1898"/>
        <v>10</v>
      </c>
      <c r="CN542" s="1111">
        <f t="shared" si="1898"/>
        <v>18</v>
      </c>
      <c r="CO542" s="1111" t="str">
        <f t="shared" si="1898"/>
        <v/>
      </c>
      <c r="CP542" s="1111" t="str">
        <f t="shared" si="1898"/>
        <v/>
      </c>
      <c r="CQ542" s="1111" t="str">
        <f t="shared" si="1898"/>
        <v/>
      </c>
      <c r="CR542" s="1111" t="str">
        <f t="shared" si="1898"/>
        <v/>
      </c>
      <c r="CS542" s="1110" t="str">
        <f t="shared" si="1898"/>
        <v/>
      </c>
      <c r="CT542" s="1113" t="str">
        <f t="shared" si="1898"/>
        <v/>
      </c>
      <c r="CU542" s="324" t="str">
        <f t="shared" si="1778"/>
        <v/>
      </c>
      <c r="CV542" s="325" t="str">
        <f t="shared" si="1779"/>
        <v/>
      </c>
      <c r="CW542" s="326" t="str">
        <f t="shared" si="1780"/>
        <v/>
      </c>
      <c r="CX542" s="326" t="str">
        <f t="shared" si="1781"/>
        <v/>
      </c>
      <c r="CY542" s="326">
        <f t="shared" si="1782"/>
        <v>10</v>
      </c>
      <c r="CZ542" s="326">
        <f t="shared" si="1783"/>
        <v>10</v>
      </c>
      <c r="DA542" s="326">
        <f t="shared" si="1784"/>
        <v>10</v>
      </c>
      <c r="DB542" s="327">
        <f t="shared" si="1785"/>
        <v>15</v>
      </c>
      <c r="DC542" s="327">
        <f t="shared" si="1786"/>
        <v>15</v>
      </c>
      <c r="DD542" s="327">
        <f t="shared" si="1787"/>
        <v>15</v>
      </c>
      <c r="DE542" s="326">
        <f t="shared" si="1788"/>
        <v>15</v>
      </c>
      <c r="DF542" s="326">
        <f t="shared" si="1789"/>
        <v>15</v>
      </c>
      <c r="DG542" s="326">
        <f t="shared" si="1790"/>
        <v>15</v>
      </c>
      <c r="DH542" s="326" t="str">
        <f t="shared" si="1791"/>
        <v/>
      </c>
      <c r="DI542" s="326" t="str">
        <f t="shared" si="1792"/>
        <v/>
      </c>
      <c r="DJ542" s="325" t="str">
        <f t="shared" si="1793"/>
        <v/>
      </c>
      <c r="DK542" s="324" t="str">
        <f t="shared" si="1794"/>
        <v/>
      </c>
      <c r="DL542" s="428">
        <f t="shared" si="1882"/>
        <v>4</v>
      </c>
      <c r="DM542" s="66">
        <f t="shared" si="1883"/>
        <v>9</v>
      </c>
      <c r="DN542" s="66">
        <f t="shared" si="1884"/>
        <v>8</v>
      </c>
      <c r="DO542" s="66">
        <f t="shared" si="188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925">IF(B542="","",B538*B539*B542)</f>
        <v>43.75</v>
      </c>
      <c r="C543" s="535">
        <f t="shared" si="1925"/>
        <v>30</v>
      </c>
      <c r="D543" s="535">
        <f t="shared" si="1925"/>
        <v>15</v>
      </c>
      <c r="E543" s="535" t="str">
        <f t="shared" si="1925"/>
        <v/>
      </c>
      <c r="F543" s="535" t="str">
        <f t="shared" si="1925"/>
        <v/>
      </c>
      <c r="G543" s="535" t="str">
        <f t="shared" si="1925"/>
        <v/>
      </c>
      <c r="H543" s="535" t="str">
        <f t="shared" si="1925"/>
        <v/>
      </c>
      <c r="I543" s="535" t="str">
        <f t="shared" si="1925"/>
        <v/>
      </c>
      <c r="J543" s="535">
        <f t="shared" si="1925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926">IF(T542="","",T538*T539*T542)</f>
        <v>160</v>
      </c>
      <c r="U543" s="535">
        <f t="shared" si="1926"/>
        <v>30</v>
      </c>
      <c r="V543" s="535">
        <f t="shared" si="1926"/>
        <v>20</v>
      </c>
      <c r="W543" s="535">
        <f t="shared" si="1926"/>
        <v>135</v>
      </c>
      <c r="X543" s="535">
        <f t="shared" si="1926"/>
        <v>75</v>
      </c>
      <c r="Y543" s="535">
        <f t="shared" si="1926"/>
        <v>60</v>
      </c>
      <c r="Z543" s="535">
        <f t="shared" si="1926"/>
        <v>90</v>
      </c>
      <c r="AA543" s="535">
        <f t="shared" si="1926"/>
        <v>90</v>
      </c>
      <c r="AB543" s="535">
        <f t="shared" si="1926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927">IF(AL542="","",AL538*AL539*AL542)</f>
        <v>540</v>
      </c>
      <c r="AM543" s="535">
        <f t="shared" si="1927"/>
        <v>360</v>
      </c>
      <c r="AN543" s="535">
        <f t="shared" si="1927"/>
        <v>20</v>
      </c>
      <c r="AO543" s="535">
        <f t="shared" si="1927"/>
        <v>750</v>
      </c>
      <c r="AP543" s="535" t="str">
        <f t="shared" si="1927"/>
        <v/>
      </c>
      <c r="AQ543" s="535">
        <f t="shared" si="1927"/>
        <v>1140</v>
      </c>
      <c r="AR543" s="535">
        <f t="shared" si="1927"/>
        <v>1200</v>
      </c>
      <c r="AS543" s="535">
        <f t="shared" si="1927"/>
        <v>1125</v>
      </c>
      <c r="AT543" s="535">
        <f t="shared" si="1927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928">IF(BD542="","",BD538*BD539*BD542)</f>
        <v>1040</v>
      </c>
      <c r="BE543" s="535">
        <f t="shared" si="1928"/>
        <v>240</v>
      </c>
      <c r="BF543" s="535">
        <f t="shared" si="1928"/>
        <v>300</v>
      </c>
      <c r="BG543" s="535">
        <f t="shared" si="1928"/>
        <v>216</v>
      </c>
      <c r="BH543" s="535">
        <f t="shared" si="1928"/>
        <v>60</v>
      </c>
      <c r="BI543" s="535">
        <f t="shared" si="1928"/>
        <v>270</v>
      </c>
      <c r="BJ543" s="535">
        <f t="shared" si="1928"/>
        <v>168</v>
      </c>
      <c r="BK543" s="535">
        <f t="shared" si="1928"/>
        <v>1920</v>
      </c>
      <c r="BL543" s="535">
        <f t="shared" si="1928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886"/>
        <v>36.875</v>
      </c>
      <c r="CA543" s="373">
        <f t="shared" si="1887"/>
        <v>72.857142857142861</v>
      </c>
      <c r="CB543" s="373">
        <f t="shared" si="1888"/>
        <v>772.5</v>
      </c>
      <c r="CC543" s="462">
        <f t="shared" si="1889"/>
        <v>463.14285714285717</v>
      </c>
      <c r="CD543" s="1109" t="str">
        <f t="shared" si="1903"/>
        <v/>
      </c>
      <c r="CE543" s="1110" t="str">
        <f t="shared" si="1898"/>
        <v/>
      </c>
      <c r="CF543" s="1111" t="str">
        <f t="shared" si="1898"/>
        <v/>
      </c>
      <c r="CG543" s="1111" t="str">
        <f t="shared" si="1898"/>
        <v/>
      </c>
      <c r="CH543" s="1111" t="str">
        <f t="shared" si="1898"/>
        <v/>
      </c>
      <c r="CI543" s="1111" t="str">
        <f t="shared" si="1898"/>
        <v/>
      </c>
      <c r="CJ543" s="1111" t="str">
        <f t="shared" si="1898"/>
        <v/>
      </c>
      <c r="CK543" s="1112">
        <f t="shared" si="1898"/>
        <v>15</v>
      </c>
      <c r="CL543" s="1112">
        <f t="shared" si="1898"/>
        <v>30</v>
      </c>
      <c r="CM543" s="1112">
        <f t="shared" si="1898"/>
        <v>43.75</v>
      </c>
      <c r="CN543" s="1111">
        <f t="shared" si="1898"/>
        <v>54</v>
      </c>
      <c r="CO543" s="1111" t="str">
        <f t="shared" si="1898"/>
        <v/>
      </c>
      <c r="CP543" s="1111" t="str">
        <f t="shared" si="1898"/>
        <v/>
      </c>
      <c r="CQ543" s="1111" t="str">
        <f t="shared" si="1898"/>
        <v/>
      </c>
      <c r="CR543" s="1111" t="str">
        <f t="shared" si="1898"/>
        <v/>
      </c>
      <c r="CS543" s="1110" t="str">
        <f t="shared" si="1898"/>
        <v/>
      </c>
      <c r="CT543" s="1113" t="str">
        <f t="shared" si="1898"/>
        <v/>
      </c>
      <c r="CU543" s="324" t="str">
        <f t="shared" si="1778"/>
        <v/>
      </c>
      <c r="CV543" s="325" t="str">
        <f t="shared" si="1779"/>
        <v/>
      </c>
      <c r="CW543" s="326" t="str">
        <f t="shared" si="1780"/>
        <v/>
      </c>
      <c r="CX543" s="326" t="str">
        <f t="shared" si="1781"/>
        <v/>
      </c>
      <c r="CY543" s="326">
        <f t="shared" si="1782"/>
        <v>20</v>
      </c>
      <c r="CZ543" s="326">
        <f t="shared" si="1783"/>
        <v>30</v>
      </c>
      <c r="DA543" s="326">
        <f t="shared" si="1784"/>
        <v>30</v>
      </c>
      <c r="DB543" s="327">
        <f t="shared" si="1785"/>
        <v>60</v>
      </c>
      <c r="DC543" s="327">
        <f t="shared" si="1786"/>
        <v>75</v>
      </c>
      <c r="DD543" s="327">
        <f t="shared" si="1787"/>
        <v>90</v>
      </c>
      <c r="DE543" s="326">
        <f t="shared" si="1788"/>
        <v>90</v>
      </c>
      <c r="DF543" s="326">
        <f t="shared" si="1789"/>
        <v>135</v>
      </c>
      <c r="DG543" s="326">
        <f t="shared" si="1790"/>
        <v>160</v>
      </c>
      <c r="DH543" s="326" t="str">
        <f t="shared" si="1791"/>
        <v/>
      </c>
      <c r="DI543" s="326" t="str">
        <f t="shared" si="1792"/>
        <v/>
      </c>
      <c r="DJ543" s="325" t="str">
        <f t="shared" si="1793"/>
        <v/>
      </c>
      <c r="DK543" s="324" t="str">
        <f t="shared" si="1794"/>
        <v/>
      </c>
      <c r="DL543" s="428">
        <f t="shared" si="1882"/>
        <v>4</v>
      </c>
      <c r="DM543" s="66">
        <f t="shared" si="1883"/>
        <v>9</v>
      </c>
      <c r="DN543" s="66">
        <f t="shared" si="1884"/>
        <v>8</v>
      </c>
      <c r="DO543" s="66">
        <f t="shared" si="188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5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778"/>
        <v/>
      </c>
      <c r="CV544" s="325" t="str">
        <f t="shared" si="1779"/>
        <v/>
      </c>
      <c r="CW544" s="326" t="str">
        <f t="shared" si="1780"/>
        <v/>
      </c>
      <c r="CX544" s="326" t="str">
        <f t="shared" si="1781"/>
        <v/>
      </c>
      <c r="CY544" s="326" t="str">
        <f t="shared" si="1782"/>
        <v/>
      </c>
      <c r="CZ544" s="326" t="str">
        <f t="shared" si="1783"/>
        <v/>
      </c>
      <c r="DA544" s="326" t="str">
        <f t="shared" si="1784"/>
        <v/>
      </c>
      <c r="DB544" s="327" t="str">
        <f t="shared" si="1785"/>
        <v/>
      </c>
      <c r="DC544" s="327" t="str">
        <f t="shared" si="1786"/>
        <v/>
      </c>
      <c r="DD544" s="327" t="str">
        <f t="shared" si="1787"/>
        <v/>
      </c>
      <c r="DE544" s="326" t="str">
        <f t="shared" si="1788"/>
        <v/>
      </c>
      <c r="DF544" s="326" t="str">
        <f t="shared" si="1789"/>
        <v/>
      </c>
      <c r="DG544" s="326" t="str">
        <f t="shared" si="1790"/>
        <v/>
      </c>
      <c r="DH544" s="326" t="str">
        <f t="shared" si="1791"/>
        <v/>
      </c>
      <c r="DI544" s="326" t="str">
        <f t="shared" si="1792"/>
        <v/>
      </c>
      <c r="DJ544" s="325" t="str">
        <f t="shared" si="1793"/>
        <v/>
      </c>
      <c r="DK544" s="324" t="str">
        <f t="shared" si="1794"/>
        <v/>
      </c>
      <c r="DL544" s="428">
        <f t="shared" si="1882"/>
        <v>0</v>
      </c>
      <c r="DM544" s="66">
        <f t="shared" si="1883"/>
        <v>0</v>
      </c>
      <c r="DN544" s="66">
        <f t="shared" si="1884"/>
        <v>0</v>
      </c>
      <c r="DO544" s="66">
        <f t="shared" si="188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886"/>
        <v/>
      </c>
      <c r="CA545" s="373" t="str">
        <f t="shared" si="1887"/>
        <v/>
      </c>
      <c r="CB545" s="373" t="str">
        <f t="shared" si="1888"/>
        <v/>
      </c>
      <c r="CC545" s="462" t="str">
        <f t="shared" si="1889"/>
        <v/>
      </c>
      <c r="CD545" s="110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0" t="str">
        <f t="shared" si="1898"/>
        <v/>
      </c>
      <c r="CF545" s="1111" t="str">
        <f t="shared" si="1898"/>
        <v/>
      </c>
      <c r="CG545" s="1111" t="str">
        <f t="shared" si="1898"/>
        <v/>
      </c>
      <c r="CH545" s="1111" t="str">
        <f t="shared" si="1898"/>
        <v/>
      </c>
      <c r="CI545" s="1111" t="str">
        <f t="shared" si="1898"/>
        <v/>
      </c>
      <c r="CJ545" s="1111" t="str">
        <f t="shared" si="1898"/>
        <v/>
      </c>
      <c r="CK545" s="1112" t="str">
        <f t="shared" si="1898"/>
        <v/>
      </c>
      <c r="CL545" s="1112" t="str">
        <f t="shared" si="1898"/>
        <v/>
      </c>
      <c r="CM545" s="1112" t="str">
        <f t="shared" si="1898"/>
        <v/>
      </c>
      <c r="CN545" s="1111" t="str">
        <f t="shared" si="1898"/>
        <v/>
      </c>
      <c r="CO545" s="1111" t="str">
        <f t="shared" si="1898"/>
        <v/>
      </c>
      <c r="CP545" s="1111" t="str">
        <f t="shared" si="1898"/>
        <v/>
      </c>
      <c r="CQ545" s="1111" t="str">
        <f t="shared" si="1898"/>
        <v/>
      </c>
      <c r="CR545" s="1111" t="str">
        <f t="shared" si="1898"/>
        <v/>
      </c>
      <c r="CS545" s="1110" t="str">
        <f t="shared" si="1898"/>
        <v/>
      </c>
      <c r="CT545" s="1113" t="str">
        <f t="shared" si="1898"/>
        <v/>
      </c>
      <c r="CU545" s="324" t="str">
        <f t="shared" si="1778"/>
        <v/>
      </c>
      <c r="CV545" s="325" t="str">
        <f t="shared" si="1779"/>
        <v/>
      </c>
      <c r="CW545" s="326" t="str">
        <f t="shared" si="1780"/>
        <v/>
      </c>
      <c r="CX545" s="326" t="str">
        <f t="shared" si="1781"/>
        <v/>
      </c>
      <c r="CY545" s="326" t="str">
        <f t="shared" si="1782"/>
        <v/>
      </c>
      <c r="CZ545" s="326" t="str">
        <f t="shared" si="1783"/>
        <v/>
      </c>
      <c r="DA545" s="326" t="str">
        <f t="shared" si="1784"/>
        <v/>
      </c>
      <c r="DB545" s="327" t="str">
        <f t="shared" si="1785"/>
        <v/>
      </c>
      <c r="DC545" s="327" t="str">
        <f t="shared" si="1786"/>
        <v/>
      </c>
      <c r="DD545" s="327" t="str">
        <f t="shared" si="1787"/>
        <v/>
      </c>
      <c r="DE545" s="326" t="str">
        <f t="shared" si="1788"/>
        <v/>
      </c>
      <c r="DF545" s="326" t="str">
        <f t="shared" si="1789"/>
        <v/>
      </c>
      <c r="DG545" s="326" t="str">
        <f t="shared" si="1790"/>
        <v/>
      </c>
      <c r="DH545" s="326" t="str">
        <f t="shared" si="1791"/>
        <v/>
      </c>
      <c r="DI545" s="326" t="str">
        <f t="shared" si="1792"/>
        <v/>
      </c>
      <c r="DJ545" s="325" t="str">
        <f t="shared" si="1793"/>
        <v/>
      </c>
      <c r="DK545" s="324" t="str">
        <f t="shared" si="1794"/>
        <v/>
      </c>
      <c r="DL545" s="428">
        <f t="shared" si="1882"/>
        <v>0</v>
      </c>
      <c r="DM545" s="66">
        <f t="shared" si="1883"/>
        <v>0</v>
      </c>
      <c r="DN545" s="66">
        <f t="shared" si="1884"/>
        <v>0</v>
      </c>
      <c r="DO545" s="66">
        <f t="shared" si="188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929">1450*$K$1</f>
        <v>1450</v>
      </c>
      <c r="D546" s="536">
        <f t="shared" si="1929"/>
        <v>1450</v>
      </c>
      <c r="E546" s="536">
        <f t="shared" si="1929"/>
        <v>1450</v>
      </c>
      <c r="F546" s="536">
        <f t="shared" si="1929"/>
        <v>1450</v>
      </c>
      <c r="G546" s="536">
        <f t="shared" si="1929"/>
        <v>1450</v>
      </c>
      <c r="H546" s="536">
        <f t="shared" si="1929"/>
        <v>1450</v>
      </c>
      <c r="I546" s="536">
        <f t="shared" si="1929"/>
        <v>1450</v>
      </c>
      <c r="J546" s="536">
        <f t="shared" si="1929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930">1450*$K$1</f>
        <v>1450</v>
      </c>
      <c r="V546" s="536">
        <f t="shared" si="1930"/>
        <v>1450</v>
      </c>
      <c r="W546" s="536">
        <f t="shared" si="1930"/>
        <v>1450</v>
      </c>
      <c r="X546" s="536">
        <f t="shared" si="1930"/>
        <v>1450</v>
      </c>
      <c r="Y546" s="536">
        <f t="shared" si="1930"/>
        <v>1450</v>
      </c>
      <c r="Z546" s="536">
        <f t="shared" si="1930"/>
        <v>1450</v>
      </c>
      <c r="AA546" s="536">
        <f t="shared" si="1930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931">1450*$K$1</f>
        <v>1450</v>
      </c>
      <c r="AN546" s="536">
        <f t="shared" si="1931"/>
        <v>1450</v>
      </c>
      <c r="AO546" s="536">
        <f t="shared" si="1931"/>
        <v>1450</v>
      </c>
      <c r="AP546" s="536">
        <f t="shared" si="1931"/>
        <v>1450</v>
      </c>
      <c r="AQ546" s="536">
        <f t="shared" si="1931"/>
        <v>1450</v>
      </c>
      <c r="AR546" s="536">
        <f t="shared" si="1931"/>
        <v>1450</v>
      </c>
      <c r="AS546" s="536">
        <f t="shared" si="1931"/>
        <v>1450</v>
      </c>
      <c r="AT546" s="536">
        <f t="shared" si="1931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932">1450*$K$1</f>
        <v>1450</v>
      </c>
      <c r="BF546" s="536">
        <f t="shared" si="1932"/>
        <v>1450</v>
      </c>
      <c r="BG546" s="536">
        <f t="shared" si="1932"/>
        <v>1450</v>
      </c>
      <c r="BH546" s="536">
        <f t="shared" si="1932"/>
        <v>1450</v>
      </c>
      <c r="BI546" s="536">
        <f t="shared" si="1932"/>
        <v>1450</v>
      </c>
      <c r="BJ546" s="536">
        <f t="shared" si="1932"/>
        <v>1450</v>
      </c>
      <c r="BK546" s="536">
        <f t="shared" si="1932"/>
        <v>1450</v>
      </c>
      <c r="BL546" s="536">
        <f t="shared" si="1932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932"/>
        <v>1450</v>
      </c>
      <c r="BW546" s="536">
        <f t="shared" si="1932"/>
        <v>1450</v>
      </c>
      <c r="BX546" s="536">
        <f t="shared" si="1932"/>
        <v>1450</v>
      </c>
      <c r="BY546" s="536">
        <f t="shared" si="1932"/>
        <v>1450</v>
      </c>
      <c r="BZ546" s="373">
        <f t="shared" si="1886"/>
        <v>1450</v>
      </c>
      <c r="CA546" s="373">
        <f t="shared" si="1887"/>
        <v>1450</v>
      </c>
      <c r="CB546" s="373">
        <f t="shared" si="1888"/>
        <v>1450</v>
      </c>
      <c r="CC546" s="462">
        <f t="shared" si="1889"/>
        <v>1450</v>
      </c>
      <c r="CD546" s="110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0" t="str">
        <f t="shared" si="1898"/>
        <v/>
      </c>
      <c r="CF546" s="1111" t="str">
        <f t="shared" si="1898"/>
        <v/>
      </c>
      <c r="CG546" s="1111" t="str">
        <f t="shared" si="1898"/>
        <v/>
      </c>
      <c r="CH546" s="1111">
        <f t="shared" si="1898"/>
        <v>1450</v>
      </c>
      <c r="CI546" s="1111">
        <f t="shared" si="1898"/>
        <v>1450</v>
      </c>
      <c r="CJ546" s="1111">
        <f t="shared" si="1898"/>
        <v>1450</v>
      </c>
      <c r="CK546" s="1112">
        <f t="shared" si="1898"/>
        <v>1450</v>
      </c>
      <c r="CL546" s="1112">
        <f t="shared" si="1898"/>
        <v>1450</v>
      </c>
      <c r="CM546" s="1112">
        <f t="shared" si="1898"/>
        <v>1450</v>
      </c>
      <c r="CN546" s="1111">
        <f t="shared" si="1898"/>
        <v>1450</v>
      </c>
      <c r="CO546" s="1111">
        <f t="shared" si="1898"/>
        <v>1450</v>
      </c>
      <c r="CP546" s="1111">
        <f t="shared" si="1898"/>
        <v>1450</v>
      </c>
      <c r="CQ546" s="1111" t="str">
        <f t="shared" si="1898"/>
        <v/>
      </c>
      <c r="CR546" s="1111" t="str">
        <f t="shared" ref="CE546:CT561" si="19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0" t="str">
        <f t="shared" si="1933"/>
        <v/>
      </c>
      <c r="CT546" s="1113" t="str">
        <f t="shared" si="1933"/>
        <v/>
      </c>
      <c r="CU546" s="324" t="str">
        <f t="shared" si="1778"/>
        <v/>
      </c>
      <c r="CV546" s="325" t="str">
        <f t="shared" si="1779"/>
        <v/>
      </c>
      <c r="CW546" s="326" t="str">
        <f t="shared" si="1780"/>
        <v/>
      </c>
      <c r="CX546" s="326" t="str">
        <f t="shared" si="1781"/>
        <v/>
      </c>
      <c r="CY546" s="326">
        <f t="shared" si="1782"/>
        <v>1450</v>
      </c>
      <c r="CZ546" s="326">
        <f t="shared" si="1783"/>
        <v>1450</v>
      </c>
      <c r="DA546" s="326">
        <f t="shared" si="1784"/>
        <v>1450</v>
      </c>
      <c r="DB546" s="327">
        <f t="shared" si="1785"/>
        <v>1450</v>
      </c>
      <c r="DC546" s="327">
        <f t="shared" si="1786"/>
        <v>1450</v>
      </c>
      <c r="DD546" s="327">
        <f t="shared" si="1787"/>
        <v>1450</v>
      </c>
      <c r="DE546" s="326">
        <f t="shared" si="1788"/>
        <v>1450</v>
      </c>
      <c r="DF546" s="326">
        <f t="shared" si="1789"/>
        <v>1450</v>
      </c>
      <c r="DG546" s="326">
        <f t="shared" si="1790"/>
        <v>1450</v>
      </c>
      <c r="DH546" s="326" t="str">
        <f t="shared" si="1791"/>
        <v/>
      </c>
      <c r="DI546" s="326" t="str">
        <f t="shared" si="1792"/>
        <v/>
      </c>
      <c r="DJ546" s="325" t="str">
        <f t="shared" si="1793"/>
        <v/>
      </c>
      <c r="DK546" s="324" t="str">
        <f t="shared" si="1794"/>
        <v/>
      </c>
      <c r="DL546" s="428">
        <f t="shared" si="1882"/>
        <v>9</v>
      </c>
      <c r="DM546" s="66">
        <f t="shared" si="1883"/>
        <v>9</v>
      </c>
      <c r="DN546" s="66">
        <f t="shared" si="1884"/>
        <v>9</v>
      </c>
      <c r="DO546" s="66">
        <f t="shared" si="1885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934">IF(B545="","",B545*B546/B$46/365/$G$1)</f>
        <v/>
      </c>
      <c r="C547" s="540" t="str">
        <f t="shared" si="1934"/>
        <v/>
      </c>
      <c r="D547" s="540" t="str">
        <f t="shared" si="1934"/>
        <v/>
      </c>
      <c r="E547" s="540" t="str">
        <f t="shared" si="1934"/>
        <v/>
      </c>
      <c r="F547" s="540" t="str">
        <f t="shared" si="1934"/>
        <v/>
      </c>
      <c r="G547" s="540" t="str">
        <f t="shared" si="1934"/>
        <v/>
      </c>
      <c r="H547" s="540" t="str">
        <f t="shared" si="1934"/>
        <v/>
      </c>
      <c r="I547" s="540" t="str">
        <f t="shared" si="1934"/>
        <v/>
      </c>
      <c r="J547" s="540" t="str">
        <f t="shared" si="1934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935">IF(T545="","",T545*T546/T$46/365/$G$1)</f>
        <v/>
      </c>
      <c r="U547" s="540" t="str">
        <f t="shared" si="1935"/>
        <v/>
      </c>
      <c r="V547" s="540" t="str">
        <f t="shared" si="1935"/>
        <v/>
      </c>
      <c r="W547" s="540" t="str">
        <f t="shared" si="1935"/>
        <v/>
      </c>
      <c r="X547" s="540" t="str">
        <f t="shared" si="1935"/>
        <v/>
      </c>
      <c r="Y547" s="540" t="str">
        <f t="shared" si="1935"/>
        <v/>
      </c>
      <c r="Z547" s="540" t="str">
        <f t="shared" si="1935"/>
        <v/>
      </c>
      <c r="AA547" s="540" t="str">
        <f t="shared" si="1935"/>
        <v/>
      </c>
      <c r="AB547" s="540" t="str">
        <f t="shared" si="1935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936">IF(AL545="","",AL545*AL546/AL$46/365/$G$1)</f>
        <v/>
      </c>
      <c r="AM547" s="540" t="str">
        <f t="shared" si="1936"/>
        <v/>
      </c>
      <c r="AN547" s="540" t="str">
        <f t="shared" si="1936"/>
        <v/>
      </c>
      <c r="AO547" s="540" t="str">
        <f t="shared" si="1936"/>
        <v/>
      </c>
      <c r="AP547" s="540" t="str">
        <f t="shared" si="1936"/>
        <v/>
      </c>
      <c r="AQ547" s="540" t="str">
        <f t="shared" si="1936"/>
        <v/>
      </c>
      <c r="AR547" s="540" t="str">
        <f t="shared" si="1936"/>
        <v/>
      </c>
      <c r="AS547" s="540" t="str">
        <f t="shared" si="1936"/>
        <v/>
      </c>
      <c r="AT547" s="540" t="str">
        <f t="shared" si="1936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937">IF(BD545="","",BD545*BD546/BD$46/365/$G$1)</f>
        <v/>
      </c>
      <c r="BE547" s="540" t="str">
        <f t="shared" si="1937"/>
        <v/>
      </c>
      <c r="BF547" s="540" t="str">
        <f t="shared" si="1937"/>
        <v/>
      </c>
      <c r="BG547" s="540" t="str">
        <f t="shared" si="1937"/>
        <v/>
      </c>
      <c r="BH547" s="540" t="str">
        <f t="shared" si="1937"/>
        <v/>
      </c>
      <c r="BI547" s="540" t="str">
        <f t="shared" si="1937"/>
        <v/>
      </c>
      <c r="BJ547" s="540" t="str">
        <f t="shared" si="1937"/>
        <v/>
      </c>
      <c r="BK547" s="540" t="str">
        <f t="shared" si="1937"/>
        <v/>
      </c>
      <c r="BL547" s="540" t="str">
        <f t="shared" si="1937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886"/>
        <v/>
      </c>
      <c r="CA547" s="398" t="str">
        <f t="shared" si="1887"/>
        <v/>
      </c>
      <c r="CB547" s="398" t="str">
        <f t="shared" si="1888"/>
        <v/>
      </c>
      <c r="CC547" s="398" t="str">
        <f t="shared" si="1889"/>
        <v/>
      </c>
      <c r="CD547" s="111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5" t="str">
        <f t="shared" ref="CE547:CT547" si="19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6" t="str">
        <f t="shared" si="1938"/>
        <v/>
      </c>
      <c r="CG547" s="1116" t="str">
        <f t="shared" si="1938"/>
        <v/>
      </c>
      <c r="CH547" s="1116" t="str">
        <f t="shared" si="1938"/>
        <v/>
      </c>
      <c r="CI547" s="1116" t="str">
        <f t="shared" si="1938"/>
        <v/>
      </c>
      <c r="CJ547" s="1116" t="str">
        <f t="shared" si="1938"/>
        <v/>
      </c>
      <c r="CK547" s="1117" t="str">
        <f t="shared" si="1938"/>
        <v/>
      </c>
      <c r="CL547" s="1117" t="str">
        <f t="shared" si="1938"/>
        <v/>
      </c>
      <c r="CM547" s="1117" t="str">
        <f t="shared" si="1938"/>
        <v/>
      </c>
      <c r="CN547" s="1116" t="str">
        <f t="shared" si="1938"/>
        <v/>
      </c>
      <c r="CO547" s="1116" t="str">
        <f t="shared" si="1938"/>
        <v/>
      </c>
      <c r="CP547" s="1116" t="str">
        <f t="shared" si="1938"/>
        <v/>
      </c>
      <c r="CQ547" s="1116" t="str">
        <f t="shared" si="1938"/>
        <v/>
      </c>
      <c r="CR547" s="1116" t="str">
        <f t="shared" si="1938"/>
        <v/>
      </c>
      <c r="CS547" s="1115" t="str">
        <f t="shared" si="1938"/>
        <v/>
      </c>
      <c r="CT547" s="1118" t="str">
        <f t="shared" si="1938"/>
        <v/>
      </c>
      <c r="CU547" s="312" t="str">
        <f t="shared" si="1778"/>
        <v/>
      </c>
      <c r="CV547" s="313" t="str">
        <f t="shared" si="1779"/>
        <v/>
      </c>
      <c r="CW547" s="314" t="str">
        <f t="shared" si="1780"/>
        <v/>
      </c>
      <c r="CX547" s="314" t="str">
        <f t="shared" si="1781"/>
        <v/>
      </c>
      <c r="CY547" s="314" t="str">
        <f t="shared" si="1782"/>
        <v/>
      </c>
      <c r="CZ547" s="314" t="str">
        <f t="shared" si="1783"/>
        <v/>
      </c>
      <c r="DA547" s="314" t="str">
        <f t="shared" si="1784"/>
        <v/>
      </c>
      <c r="DB547" s="315" t="str">
        <f t="shared" si="1785"/>
        <v/>
      </c>
      <c r="DC547" s="315" t="str">
        <f t="shared" si="1786"/>
        <v/>
      </c>
      <c r="DD547" s="315" t="str">
        <f t="shared" si="1787"/>
        <v/>
      </c>
      <c r="DE547" s="314" t="str">
        <f t="shared" si="1788"/>
        <v/>
      </c>
      <c r="DF547" s="314" t="str">
        <f t="shared" si="1789"/>
        <v/>
      </c>
      <c r="DG547" s="314" t="str">
        <f t="shared" si="1790"/>
        <v/>
      </c>
      <c r="DH547" s="314" t="str">
        <f t="shared" si="1791"/>
        <v/>
      </c>
      <c r="DI547" s="314" t="str">
        <f t="shared" si="1792"/>
        <v/>
      </c>
      <c r="DJ547" s="313" t="str">
        <f t="shared" si="1793"/>
        <v/>
      </c>
      <c r="DK547" s="312" t="str">
        <f t="shared" si="1794"/>
        <v/>
      </c>
      <c r="DL547" s="428">
        <f t="shared" si="1882"/>
        <v>0</v>
      </c>
      <c r="DM547" s="66">
        <f t="shared" si="1883"/>
        <v>0</v>
      </c>
      <c r="DN547" s="66">
        <f t="shared" si="1884"/>
        <v>0</v>
      </c>
      <c r="DO547" s="66">
        <f t="shared" si="188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886"/>
        <v/>
      </c>
      <c r="CA548" s="373" t="str">
        <f t="shared" si="1887"/>
        <v/>
      </c>
      <c r="CB548" s="373" t="str">
        <f t="shared" si="1888"/>
        <v/>
      </c>
      <c r="CC548" s="462" t="str">
        <f t="shared" si="1889"/>
        <v/>
      </c>
      <c r="CD548" s="110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0" t="str">
        <f t="shared" si="1933"/>
        <v/>
      </c>
      <c r="CF548" s="1111" t="str">
        <f t="shared" si="1933"/>
        <v/>
      </c>
      <c r="CG548" s="1111" t="str">
        <f t="shared" si="1933"/>
        <v/>
      </c>
      <c r="CH548" s="1111" t="str">
        <f t="shared" si="1933"/>
        <v/>
      </c>
      <c r="CI548" s="1111" t="str">
        <f t="shared" si="1933"/>
        <v/>
      </c>
      <c r="CJ548" s="1111" t="str">
        <f t="shared" si="1933"/>
        <v/>
      </c>
      <c r="CK548" s="1112" t="str">
        <f t="shared" si="1933"/>
        <v/>
      </c>
      <c r="CL548" s="1112" t="str">
        <f t="shared" si="1933"/>
        <v/>
      </c>
      <c r="CM548" s="1112" t="str">
        <f t="shared" si="1933"/>
        <v/>
      </c>
      <c r="CN548" s="1111" t="str">
        <f t="shared" si="1933"/>
        <v/>
      </c>
      <c r="CO548" s="1111" t="str">
        <f t="shared" si="1933"/>
        <v/>
      </c>
      <c r="CP548" s="1111" t="str">
        <f t="shared" si="1933"/>
        <v/>
      </c>
      <c r="CQ548" s="1111" t="str">
        <f t="shared" si="1933"/>
        <v/>
      </c>
      <c r="CR548" s="1111" t="str">
        <f t="shared" si="1933"/>
        <v/>
      </c>
      <c r="CS548" s="1110" t="str">
        <f t="shared" si="1933"/>
        <v/>
      </c>
      <c r="CT548" s="1113" t="str">
        <f t="shared" si="1933"/>
        <v/>
      </c>
      <c r="CU548" s="324" t="str">
        <f t="shared" si="1778"/>
        <v/>
      </c>
      <c r="CV548" s="325" t="str">
        <f t="shared" si="1779"/>
        <v/>
      </c>
      <c r="CW548" s="326" t="str">
        <f t="shared" si="1780"/>
        <v/>
      </c>
      <c r="CX548" s="326" t="str">
        <f t="shared" si="1781"/>
        <v/>
      </c>
      <c r="CY548" s="326" t="str">
        <f t="shared" si="1782"/>
        <v/>
      </c>
      <c r="CZ548" s="326" t="str">
        <f t="shared" si="1783"/>
        <v/>
      </c>
      <c r="DA548" s="326" t="str">
        <f t="shared" si="1784"/>
        <v/>
      </c>
      <c r="DB548" s="327" t="str">
        <f t="shared" si="1785"/>
        <v/>
      </c>
      <c r="DC548" s="327" t="str">
        <f t="shared" si="1786"/>
        <v/>
      </c>
      <c r="DD548" s="327" t="str">
        <f t="shared" si="1787"/>
        <v/>
      </c>
      <c r="DE548" s="326" t="str">
        <f t="shared" si="1788"/>
        <v/>
      </c>
      <c r="DF548" s="326" t="str">
        <f t="shared" si="1789"/>
        <v/>
      </c>
      <c r="DG548" s="326" t="str">
        <f t="shared" si="1790"/>
        <v/>
      </c>
      <c r="DH548" s="326" t="str">
        <f t="shared" si="1791"/>
        <v/>
      </c>
      <c r="DI548" s="326" t="str">
        <f t="shared" si="1792"/>
        <v/>
      </c>
      <c r="DJ548" s="325" t="str">
        <f t="shared" si="1793"/>
        <v/>
      </c>
      <c r="DK548" s="324" t="str">
        <f t="shared" si="1794"/>
        <v/>
      </c>
      <c r="DL548" s="428">
        <f t="shared" si="1882"/>
        <v>0</v>
      </c>
      <c r="DM548" s="66">
        <f t="shared" si="1883"/>
        <v>0</v>
      </c>
      <c r="DN548" s="66">
        <f t="shared" si="1884"/>
        <v>0</v>
      </c>
      <c r="DO548" s="66">
        <f t="shared" si="188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939">IF(B548="","",B545*B548)</f>
        <v/>
      </c>
      <c r="C549" s="535" t="str">
        <f t="shared" si="1939"/>
        <v/>
      </c>
      <c r="D549" s="535" t="str">
        <f t="shared" si="1939"/>
        <v/>
      </c>
      <c r="E549" s="535" t="str">
        <f t="shared" si="1939"/>
        <v/>
      </c>
      <c r="F549" s="535" t="str">
        <f t="shared" si="1939"/>
        <v/>
      </c>
      <c r="G549" s="535" t="str">
        <f t="shared" si="1939"/>
        <v/>
      </c>
      <c r="H549" s="535" t="str">
        <f t="shared" si="1939"/>
        <v/>
      </c>
      <c r="I549" s="535" t="str">
        <f t="shared" si="1939"/>
        <v/>
      </c>
      <c r="J549" s="535" t="str">
        <f t="shared" si="1939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940">IF(T548="","",T545*T548)</f>
        <v/>
      </c>
      <c r="U549" s="535" t="str">
        <f t="shared" si="1940"/>
        <v/>
      </c>
      <c r="V549" s="535" t="str">
        <f t="shared" si="1940"/>
        <v/>
      </c>
      <c r="W549" s="535" t="str">
        <f t="shared" si="1940"/>
        <v/>
      </c>
      <c r="X549" s="535" t="str">
        <f t="shared" si="1940"/>
        <v/>
      </c>
      <c r="Y549" s="535" t="str">
        <f t="shared" si="1940"/>
        <v/>
      </c>
      <c r="Z549" s="535" t="str">
        <f t="shared" si="1940"/>
        <v/>
      </c>
      <c r="AA549" s="535" t="str">
        <f t="shared" si="1940"/>
        <v/>
      </c>
      <c r="AB549" s="535" t="str">
        <f t="shared" si="1940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941">IF(AL548="","",AL545*AL548)</f>
        <v/>
      </c>
      <c r="AM549" s="535" t="str">
        <f t="shared" si="1941"/>
        <v/>
      </c>
      <c r="AN549" s="535" t="str">
        <f t="shared" si="1941"/>
        <v/>
      </c>
      <c r="AO549" s="535" t="str">
        <f t="shared" si="1941"/>
        <v/>
      </c>
      <c r="AP549" s="535" t="str">
        <f t="shared" si="1941"/>
        <v/>
      </c>
      <c r="AQ549" s="535" t="str">
        <f t="shared" si="1941"/>
        <v/>
      </c>
      <c r="AR549" s="535" t="str">
        <f t="shared" si="1941"/>
        <v/>
      </c>
      <c r="AS549" s="535" t="str">
        <f t="shared" si="1941"/>
        <v/>
      </c>
      <c r="AT549" s="535" t="str">
        <f t="shared" si="1941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942">IF(BD548="","",BD545*BD548)</f>
        <v/>
      </c>
      <c r="BE549" s="535" t="str">
        <f t="shared" si="1942"/>
        <v/>
      </c>
      <c r="BF549" s="535" t="str">
        <f t="shared" si="1942"/>
        <v/>
      </c>
      <c r="BG549" s="535" t="str">
        <f t="shared" si="1942"/>
        <v/>
      </c>
      <c r="BH549" s="535" t="str">
        <f t="shared" si="1942"/>
        <v/>
      </c>
      <c r="BI549" s="535" t="str">
        <f t="shared" si="1942"/>
        <v/>
      </c>
      <c r="BJ549" s="535" t="str">
        <f t="shared" si="1942"/>
        <v/>
      </c>
      <c r="BK549" s="535" t="str">
        <f t="shared" si="1942"/>
        <v/>
      </c>
      <c r="BL549" s="535" t="str">
        <f t="shared" si="1942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886"/>
        <v/>
      </c>
      <c r="CA549" s="373" t="str">
        <f t="shared" si="1887"/>
        <v/>
      </c>
      <c r="CB549" s="373" t="str">
        <f t="shared" si="1888"/>
        <v/>
      </c>
      <c r="CC549" s="462" t="str">
        <f t="shared" si="1889"/>
        <v/>
      </c>
      <c r="CD549" s="110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0" t="str">
        <f t="shared" si="1933"/>
        <v/>
      </c>
      <c r="CF549" s="1111" t="str">
        <f t="shared" si="1933"/>
        <v/>
      </c>
      <c r="CG549" s="1111" t="str">
        <f t="shared" si="1933"/>
        <v/>
      </c>
      <c r="CH549" s="1111" t="str">
        <f t="shared" si="1933"/>
        <v/>
      </c>
      <c r="CI549" s="1111" t="str">
        <f t="shared" si="1933"/>
        <v/>
      </c>
      <c r="CJ549" s="1111" t="str">
        <f t="shared" si="1933"/>
        <v/>
      </c>
      <c r="CK549" s="1112" t="str">
        <f t="shared" si="1933"/>
        <v/>
      </c>
      <c r="CL549" s="1112" t="str">
        <f t="shared" si="1933"/>
        <v/>
      </c>
      <c r="CM549" s="1112" t="str">
        <f t="shared" si="1933"/>
        <v/>
      </c>
      <c r="CN549" s="1111" t="str">
        <f t="shared" si="1933"/>
        <v/>
      </c>
      <c r="CO549" s="1111" t="str">
        <f t="shared" si="1933"/>
        <v/>
      </c>
      <c r="CP549" s="1111" t="str">
        <f t="shared" si="1933"/>
        <v/>
      </c>
      <c r="CQ549" s="1111" t="str">
        <f t="shared" si="1933"/>
        <v/>
      </c>
      <c r="CR549" s="1111" t="str">
        <f t="shared" si="1933"/>
        <v/>
      </c>
      <c r="CS549" s="1110" t="str">
        <f t="shared" si="1933"/>
        <v/>
      </c>
      <c r="CT549" s="1113" t="str">
        <f t="shared" si="1933"/>
        <v/>
      </c>
      <c r="CU549" s="324" t="str">
        <f t="shared" si="1778"/>
        <v/>
      </c>
      <c r="CV549" s="325" t="str">
        <f t="shared" si="1779"/>
        <v/>
      </c>
      <c r="CW549" s="326" t="str">
        <f t="shared" si="1780"/>
        <v/>
      </c>
      <c r="CX549" s="326" t="str">
        <f t="shared" si="1781"/>
        <v/>
      </c>
      <c r="CY549" s="326" t="str">
        <f t="shared" si="1782"/>
        <v/>
      </c>
      <c r="CZ549" s="326" t="str">
        <f t="shared" si="1783"/>
        <v/>
      </c>
      <c r="DA549" s="326" t="str">
        <f t="shared" si="1784"/>
        <v/>
      </c>
      <c r="DB549" s="327" t="str">
        <f t="shared" si="1785"/>
        <v/>
      </c>
      <c r="DC549" s="327" t="str">
        <f t="shared" si="1786"/>
        <v/>
      </c>
      <c r="DD549" s="327" t="str">
        <f t="shared" si="1787"/>
        <v/>
      </c>
      <c r="DE549" s="326" t="str">
        <f t="shared" si="1788"/>
        <v/>
      </c>
      <c r="DF549" s="326" t="str">
        <f t="shared" si="1789"/>
        <v/>
      </c>
      <c r="DG549" s="326" t="str">
        <f t="shared" si="1790"/>
        <v/>
      </c>
      <c r="DH549" s="326" t="str">
        <f t="shared" si="1791"/>
        <v/>
      </c>
      <c r="DI549" s="326" t="str">
        <f t="shared" si="1792"/>
        <v/>
      </c>
      <c r="DJ549" s="325" t="str">
        <f t="shared" si="1793"/>
        <v/>
      </c>
      <c r="DK549" s="324" t="str">
        <f t="shared" si="1794"/>
        <v/>
      </c>
      <c r="DL549" s="428">
        <f t="shared" si="1882"/>
        <v>0</v>
      </c>
      <c r="DM549" s="66">
        <f t="shared" si="1883"/>
        <v>0</v>
      </c>
      <c r="DN549" s="66">
        <f t="shared" si="1884"/>
        <v>0</v>
      </c>
      <c r="DO549" s="66">
        <f t="shared" si="188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5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778"/>
        <v/>
      </c>
      <c r="CV550" s="325" t="str">
        <f t="shared" si="1779"/>
        <v/>
      </c>
      <c r="CW550" s="326" t="str">
        <f t="shared" si="1780"/>
        <v/>
      </c>
      <c r="CX550" s="326" t="str">
        <f t="shared" si="1781"/>
        <v/>
      </c>
      <c r="CY550" s="326" t="str">
        <f t="shared" si="1782"/>
        <v/>
      </c>
      <c r="CZ550" s="326" t="str">
        <f t="shared" si="1783"/>
        <v/>
      </c>
      <c r="DA550" s="326" t="str">
        <f t="shared" si="1784"/>
        <v/>
      </c>
      <c r="DB550" s="327" t="str">
        <f t="shared" si="1785"/>
        <v/>
      </c>
      <c r="DC550" s="327" t="str">
        <f t="shared" si="1786"/>
        <v/>
      </c>
      <c r="DD550" s="327" t="str">
        <f t="shared" si="1787"/>
        <v/>
      </c>
      <c r="DE550" s="326" t="str">
        <f t="shared" si="1788"/>
        <v/>
      </c>
      <c r="DF550" s="326" t="str">
        <f t="shared" si="1789"/>
        <v/>
      </c>
      <c r="DG550" s="326" t="str">
        <f t="shared" si="1790"/>
        <v/>
      </c>
      <c r="DH550" s="326" t="str">
        <f t="shared" si="1791"/>
        <v/>
      </c>
      <c r="DI550" s="326" t="str">
        <f t="shared" si="1792"/>
        <v/>
      </c>
      <c r="DJ550" s="325" t="str">
        <f t="shared" si="1793"/>
        <v/>
      </c>
      <c r="DK550" s="324" t="str">
        <f t="shared" si="1794"/>
        <v/>
      </c>
      <c r="DL550" s="428">
        <f t="shared" si="1882"/>
        <v>0</v>
      </c>
      <c r="DM550" s="66">
        <f t="shared" si="1883"/>
        <v>0</v>
      </c>
      <c r="DN550" s="66">
        <f t="shared" si="1884"/>
        <v>0</v>
      </c>
      <c r="DO550" s="66">
        <f t="shared" si="188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886"/>
        <v/>
      </c>
      <c r="CA551" s="373" t="str">
        <f t="shared" si="1887"/>
        <v/>
      </c>
      <c r="CB551" s="373">
        <f t="shared" si="1888"/>
        <v>280</v>
      </c>
      <c r="CC551" s="462">
        <f t="shared" si="1889"/>
        <v>85</v>
      </c>
      <c r="CD551" s="110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0" t="str">
        <f t="shared" si="1933"/>
        <v/>
      </c>
      <c r="CF551" s="1111" t="str">
        <f t="shared" si="1933"/>
        <v/>
      </c>
      <c r="CG551" s="1111" t="str">
        <f t="shared" si="1933"/>
        <v/>
      </c>
      <c r="CH551" s="1111" t="str">
        <f t="shared" si="1933"/>
        <v/>
      </c>
      <c r="CI551" s="1111" t="str">
        <f t="shared" si="1933"/>
        <v/>
      </c>
      <c r="CJ551" s="1111" t="str">
        <f t="shared" si="1933"/>
        <v/>
      </c>
      <c r="CK551" s="1112" t="str">
        <f t="shared" si="1933"/>
        <v/>
      </c>
      <c r="CL551" s="1112">
        <f t="shared" si="1933"/>
        <v>40</v>
      </c>
      <c r="CM551" s="1112" t="str">
        <f t="shared" si="1933"/>
        <v/>
      </c>
      <c r="CN551" s="1111" t="str">
        <f t="shared" si="1933"/>
        <v/>
      </c>
      <c r="CO551" s="1111" t="str">
        <f t="shared" si="1933"/>
        <v/>
      </c>
      <c r="CP551" s="1111" t="str">
        <f t="shared" si="1933"/>
        <v/>
      </c>
      <c r="CQ551" s="1111" t="str">
        <f t="shared" si="1933"/>
        <v/>
      </c>
      <c r="CR551" s="1111" t="str">
        <f t="shared" si="1933"/>
        <v/>
      </c>
      <c r="CS551" s="1110" t="str">
        <f t="shared" si="1933"/>
        <v/>
      </c>
      <c r="CT551" s="1113" t="str">
        <f t="shared" si="1933"/>
        <v/>
      </c>
      <c r="CU551" s="324" t="str">
        <f t="shared" si="1778"/>
        <v/>
      </c>
      <c r="CV551" s="325" t="str">
        <f t="shared" si="1779"/>
        <v/>
      </c>
      <c r="CW551" s="326" t="str">
        <f t="shared" si="1780"/>
        <v/>
      </c>
      <c r="CX551" s="326" t="str">
        <f t="shared" si="1781"/>
        <v/>
      </c>
      <c r="CY551" s="326" t="str">
        <f t="shared" si="1782"/>
        <v/>
      </c>
      <c r="CZ551" s="326" t="str">
        <f t="shared" si="1783"/>
        <v/>
      </c>
      <c r="DA551" s="326" t="str">
        <f t="shared" si="1784"/>
        <v/>
      </c>
      <c r="DB551" s="327" t="str">
        <f t="shared" si="1785"/>
        <v/>
      </c>
      <c r="DC551" s="327" t="str">
        <f t="shared" si="1786"/>
        <v/>
      </c>
      <c r="DD551" s="327" t="str">
        <f t="shared" si="1787"/>
        <v/>
      </c>
      <c r="DE551" s="326" t="str">
        <f t="shared" si="1788"/>
        <v/>
      </c>
      <c r="DF551" s="326" t="str">
        <f t="shared" si="1789"/>
        <v/>
      </c>
      <c r="DG551" s="326" t="str">
        <f t="shared" si="1790"/>
        <v/>
      </c>
      <c r="DH551" s="326" t="str">
        <f t="shared" si="1791"/>
        <v/>
      </c>
      <c r="DI551" s="326" t="str">
        <f t="shared" si="1792"/>
        <v/>
      </c>
      <c r="DJ551" s="325" t="str">
        <f t="shared" si="1793"/>
        <v/>
      </c>
      <c r="DK551" s="324" t="str">
        <f t="shared" si="1794"/>
        <v/>
      </c>
      <c r="DL551" s="428">
        <f t="shared" si="1882"/>
        <v>1</v>
      </c>
      <c r="DM551" s="66">
        <f t="shared" si="1883"/>
        <v>0</v>
      </c>
      <c r="DN551" s="66">
        <f t="shared" si="1884"/>
        <v>3</v>
      </c>
      <c r="DO551" s="66">
        <f t="shared" si="188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943">630*$K$1</f>
        <v>630</v>
      </c>
      <c r="BF552" s="536">
        <f t="shared" si="1943"/>
        <v>630</v>
      </c>
      <c r="BG552" s="536">
        <f t="shared" si="1943"/>
        <v>630</v>
      </c>
      <c r="BH552" s="536">
        <f t="shared" si="1943"/>
        <v>630</v>
      </c>
      <c r="BI552" s="536">
        <f t="shared" si="1943"/>
        <v>630</v>
      </c>
      <c r="BJ552" s="536">
        <f t="shared" si="1943"/>
        <v>630</v>
      </c>
      <c r="BK552" s="536">
        <f t="shared" si="1943"/>
        <v>630</v>
      </c>
      <c r="BL552" s="536">
        <f t="shared" si="1943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943"/>
        <v>630</v>
      </c>
      <c r="BW552" s="536">
        <f t="shared" si="1943"/>
        <v>630</v>
      </c>
      <c r="BX552" s="536">
        <f t="shared" si="1943"/>
        <v>630</v>
      </c>
      <c r="BY552" s="536">
        <f t="shared" si="1943"/>
        <v>630</v>
      </c>
      <c r="BZ552" s="373">
        <f t="shared" si="1886"/>
        <v>640</v>
      </c>
      <c r="CA552" s="373">
        <f t="shared" si="1887"/>
        <v>640</v>
      </c>
      <c r="CB552" s="373">
        <f t="shared" si="1888"/>
        <v>640</v>
      </c>
      <c r="CC552" s="462">
        <f t="shared" si="1889"/>
        <v>630</v>
      </c>
      <c r="CD552" s="110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0" t="str">
        <f t="shared" si="1933"/>
        <v/>
      </c>
      <c r="CF552" s="1111" t="str">
        <f t="shared" si="1933"/>
        <v/>
      </c>
      <c r="CG552" s="1111" t="str">
        <f t="shared" si="1933"/>
        <v/>
      </c>
      <c r="CH552" s="1111">
        <f t="shared" si="1933"/>
        <v>640</v>
      </c>
      <c r="CI552" s="1111">
        <f t="shared" si="1933"/>
        <v>640</v>
      </c>
      <c r="CJ552" s="1111">
        <f t="shared" si="1933"/>
        <v>640</v>
      </c>
      <c r="CK552" s="1112">
        <f t="shared" si="1933"/>
        <v>640</v>
      </c>
      <c r="CL552" s="1112">
        <f t="shared" si="1933"/>
        <v>640</v>
      </c>
      <c r="CM552" s="1112">
        <f t="shared" si="1933"/>
        <v>640</v>
      </c>
      <c r="CN552" s="1111">
        <f t="shared" si="1933"/>
        <v>640</v>
      </c>
      <c r="CO552" s="1111">
        <f t="shared" si="1933"/>
        <v>640</v>
      </c>
      <c r="CP552" s="1111">
        <f t="shared" si="1933"/>
        <v>640</v>
      </c>
      <c r="CQ552" s="1111" t="str">
        <f t="shared" si="1933"/>
        <v/>
      </c>
      <c r="CR552" s="1111" t="str">
        <f t="shared" si="1933"/>
        <v/>
      </c>
      <c r="CS552" s="1110" t="str">
        <f t="shared" si="1933"/>
        <v/>
      </c>
      <c r="CT552" s="1113" t="str">
        <f t="shared" si="1933"/>
        <v/>
      </c>
      <c r="CU552" s="324" t="str">
        <f t="shared" si="1778"/>
        <v/>
      </c>
      <c r="CV552" s="325" t="str">
        <f t="shared" si="1779"/>
        <v/>
      </c>
      <c r="CW552" s="326" t="str">
        <f t="shared" si="1780"/>
        <v/>
      </c>
      <c r="CX552" s="326" t="str">
        <f t="shared" si="1781"/>
        <v/>
      </c>
      <c r="CY552" s="326">
        <f t="shared" si="1782"/>
        <v>640</v>
      </c>
      <c r="CZ552" s="326">
        <f t="shared" si="1783"/>
        <v>640</v>
      </c>
      <c r="DA552" s="326">
        <f t="shared" si="1784"/>
        <v>640</v>
      </c>
      <c r="DB552" s="327">
        <f t="shared" si="1785"/>
        <v>640</v>
      </c>
      <c r="DC552" s="327">
        <f t="shared" si="1786"/>
        <v>640</v>
      </c>
      <c r="DD552" s="327">
        <f t="shared" si="1787"/>
        <v>640</v>
      </c>
      <c r="DE552" s="326">
        <f t="shared" si="1788"/>
        <v>640</v>
      </c>
      <c r="DF552" s="326">
        <f t="shared" si="1789"/>
        <v>640</v>
      </c>
      <c r="DG552" s="326">
        <f t="shared" si="1790"/>
        <v>640</v>
      </c>
      <c r="DH552" s="326" t="str">
        <f t="shared" si="1791"/>
        <v/>
      </c>
      <c r="DI552" s="326" t="str">
        <f t="shared" si="1792"/>
        <v/>
      </c>
      <c r="DJ552" s="325" t="str">
        <f t="shared" si="1793"/>
        <v/>
      </c>
      <c r="DK552" s="324" t="str">
        <f t="shared" si="1794"/>
        <v/>
      </c>
      <c r="DL552" s="428">
        <f t="shared" si="1882"/>
        <v>9</v>
      </c>
      <c r="DM552" s="66">
        <f t="shared" si="1883"/>
        <v>9</v>
      </c>
      <c r="DN552" s="66">
        <f t="shared" si="1884"/>
        <v>9</v>
      </c>
      <c r="DO552" s="66">
        <f t="shared" si="1885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944">IF(B551="","",B551*B552/B$46/365/$G$1)</f>
        <v/>
      </c>
      <c r="C553" s="540">
        <f t="shared" si="1944"/>
        <v>4.771223557916318E-3</v>
      </c>
      <c r="D553" s="540" t="str">
        <f t="shared" si="1944"/>
        <v/>
      </c>
      <c r="E553" s="540" t="str">
        <f t="shared" si="1944"/>
        <v/>
      </c>
      <c r="F553" s="540" t="str">
        <f t="shared" si="1944"/>
        <v/>
      </c>
      <c r="G553" s="540" t="str">
        <f t="shared" si="1944"/>
        <v/>
      </c>
      <c r="H553" s="540" t="str">
        <f t="shared" si="1944"/>
        <v/>
      </c>
      <c r="I553" s="540" t="str">
        <f t="shared" si="1944"/>
        <v/>
      </c>
      <c r="J553" s="540" t="str">
        <f t="shared" si="1944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945">IF(T551="","",T551*T552/T$46/365/$G$1)</f>
        <v/>
      </c>
      <c r="U553" s="540" t="str">
        <f t="shared" si="1945"/>
        <v/>
      </c>
      <c r="V553" s="540" t="str">
        <f t="shared" si="1945"/>
        <v/>
      </c>
      <c r="W553" s="540" t="str">
        <f t="shared" si="1945"/>
        <v/>
      </c>
      <c r="X553" s="540" t="str">
        <f t="shared" si="1945"/>
        <v/>
      </c>
      <c r="Y553" s="540" t="str">
        <f t="shared" si="1945"/>
        <v/>
      </c>
      <c r="Z553" s="540" t="str">
        <f t="shared" si="1945"/>
        <v/>
      </c>
      <c r="AA553" s="540" t="str">
        <f t="shared" si="1945"/>
        <v/>
      </c>
      <c r="AB553" s="540" t="str">
        <f t="shared" si="1945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946">IF(AL551="","",AL551*AL552/AL$46/365/$G$1)</f>
        <v/>
      </c>
      <c r="AM553" s="540" t="str">
        <f t="shared" si="1946"/>
        <v/>
      </c>
      <c r="AN553" s="540" t="str">
        <f t="shared" si="1946"/>
        <v/>
      </c>
      <c r="AO553" s="540">
        <f t="shared" si="1946"/>
        <v>1.6699282452707111E-2</v>
      </c>
      <c r="AP553" s="540" t="str">
        <f t="shared" si="1946"/>
        <v/>
      </c>
      <c r="AQ553" s="540" t="str">
        <f t="shared" si="1946"/>
        <v/>
      </c>
      <c r="AR553" s="540" t="str">
        <f t="shared" si="1946"/>
        <v/>
      </c>
      <c r="AS553" s="540">
        <f t="shared" si="1946"/>
        <v>3.3398564905414221E-2</v>
      </c>
      <c r="AT553" s="540">
        <f t="shared" si="1946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947">IF(BD551="","",BD551*BD552/BD$46/365/$G$1)</f>
        <v/>
      </c>
      <c r="BE553" s="540" t="str">
        <f t="shared" si="1947"/>
        <v/>
      </c>
      <c r="BF553" s="540">
        <f t="shared" si="1947"/>
        <v>6.5753424657534251E-3</v>
      </c>
      <c r="BG553" s="540" t="str">
        <f t="shared" si="1947"/>
        <v/>
      </c>
      <c r="BH553" s="540">
        <f t="shared" si="1947"/>
        <v>7.3972602739726034E-3</v>
      </c>
      <c r="BI553" s="540" t="str">
        <f t="shared" si="1947"/>
        <v/>
      </c>
      <c r="BJ553" s="540">
        <f t="shared" si="1947"/>
        <v>1.3698630136986301E-3</v>
      </c>
      <c r="BK553" s="540" t="str">
        <f t="shared" si="1947"/>
        <v/>
      </c>
      <c r="BL553" s="540">
        <f t="shared" si="1947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886"/>
        <v/>
      </c>
      <c r="CA553" s="398" t="str">
        <f t="shared" si="1887"/>
        <v/>
      </c>
      <c r="CB553" s="398">
        <f t="shared" si="1888"/>
        <v>2.3378995433789955E-2</v>
      </c>
      <c r="CC553" s="398">
        <f t="shared" si="1889"/>
        <v>6.9863013698630121E-3</v>
      </c>
      <c r="CD553" s="111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5" t="str">
        <f t="shared" si="1933"/>
        <v/>
      </c>
      <c r="CF553" s="1116" t="str">
        <f t="shared" si="1933"/>
        <v/>
      </c>
      <c r="CG553" s="1116" t="str">
        <f t="shared" si="1933"/>
        <v/>
      </c>
      <c r="CH553" s="1116" t="str">
        <f t="shared" si="1933"/>
        <v/>
      </c>
      <c r="CI553" s="1116" t="str">
        <f t="shared" si="1933"/>
        <v/>
      </c>
      <c r="CJ553" s="1116" t="str">
        <f t="shared" si="1933"/>
        <v/>
      </c>
      <c r="CK553" s="1117" t="str">
        <f t="shared" si="1933"/>
        <v/>
      </c>
      <c r="CL553" s="1117">
        <f t="shared" si="1933"/>
        <v>4.771223557916318E-3</v>
      </c>
      <c r="CM553" s="1117" t="str">
        <f t="shared" si="1933"/>
        <v/>
      </c>
      <c r="CN553" s="1116" t="str">
        <f t="shared" si="1933"/>
        <v/>
      </c>
      <c r="CO553" s="1116" t="str">
        <f t="shared" si="1933"/>
        <v/>
      </c>
      <c r="CP553" s="1116" t="str">
        <f t="shared" si="1933"/>
        <v/>
      </c>
      <c r="CQ553" s="1116" t="str">
        <f t="shared" si="1933"/>
        <v/>
      </c>
      <c r="CR553" s="1116" t="str">
        <f t="shared" si="1933"/>
        <v/>
      </c>
      <c r="CS553" s="1115" t="str">
        <f t="shared" si="1933"/>
        <v/>
      </c>
      <c r="CT553" s="1118" t="str">
        <f t="shared" si="1933"/>
        <v/>
      </c>
      <c r="CU553" s="312" t="str">
        <f t="shared" si="1778"/>
        <v/>
      </c>
      <c r="CV553" s="313" t="str">
        <f t="shared" si="1779"/>
        <v/>
      </c>
      <c r="CW553" s="314" t="str">
        <f t="shared" si="1780"/>
        <v/>
      </c>
      <c r="CX553" s="314" t="str">
        <f t="shared" si="1781"/>
        <v/>
      </c>
      <c r="CY553" s="314" t="str">
        <f t="shared" si="1782"/>
        <v/>
      </c>
      <c r="CZ553" s="314" t="str">
        <f t="shared" si="1783"/>
        <v/>
      </c>
      <c r="DA553" s="314" t="str">
        <f t="shared" si="1784"/>
        <v/>
      </c>
      <c r="DB553" s="315" t="str">
        <f t="shared" si="1785"/>
        <v/>
      </c>
      <c r="DC553" s="315" t="str">
        <f t="shared" si="1786"/>
        <v/>
      </c>
      <c r="DD553" s="315" t="str">
        <f t="shared" si="1787"/>
        <v/>
      </c>
      <c r="DE553" s="314" t="str">
        <f t="shared" si="1788"/>
        <v/>
      </c>
      <c r="DF553" s="314" t="str">
        <f t="shared" si="1789"/>
        <v/>
      </c>
      <c r="DG553" s="314" t="str">
        <f t="shared" si="1790"/>
        <v/>
      </c>
      <c r="DH553" s="314" t="str">
        <f t="shared" si="1791"/>
        <v/>
      </c>
      <c r="DI553" s="314" t="str">
        <f t="shared" si="1792"/>
        <v/>
      </c>
      <c r="DJ553" s="313" t="str">
        <f t="shared" si="1793"/>
        <v/>
      </c>
      <c r="DK553" s="312" t="str">
        <f t="shared" si="1794"/>
        <v/>
      </c>
      <c r="DL553" s="428">
        <f t="shared" si="1882"/>
        <v>1</v>
      </c>
      <c r="DM553" s="66">
        <f t="shared" si="1883"/>
        <v>0</v>
      </c>
      <c r="DN553" s="66">
        <f t="shared" si="1884"/>
        <v>3</v>
      </c>
      <c r="DO553" s="66">
        <f t="shared" si="188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886"/>
        <v/>
      </c>
      <c r="CA554" s="373" t="str">
        <f t="shared" si="1887"/>
        <v/>
      </c>
      <c r="CB554" s="373">
        <f t="shared" si="1888"/>
        <v>1.5</v>
      </c>
      <c r="CC554" s="462">
        <f t="shared" si="1889"/>
        <v>1.9000000000000004</v>
      </c>
      <c r="CD554" s="110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0" t="str">
        <f t="shared" si="1933"/>
        <v/>
      </c>
      <c r="CF554" s="1111" t="str">
        <f t="shared" si="1933"/>
        <v/>
      </c>
      <c r="CG554" s="1111" t="str">
        <f t="shared" si="1933"/>
        <v/>
      </c>
      <c r="CH554" s="1111" t="str">
        <f t="shared" si="1933"/>
        <v/>
      </c>
      <c r="CI554" s="1111" t="str">
        <f t="shared" si="1933"/>
        <v/>
      </c>
      <c r="CJ554" s="1111" t="str">
        <f t="shared" si="1933"/>
        <v/>
      </c>
      <c r="CK554" s="1112" t="str">
        <f t="shared" si="1933"/>
        <v/>
      </c>
      <c r="CL554" s="1112">
        <f t="shared" si="1933"/>
        <v>2.5</v>
      </c>
      <c r="CM554" s="1112" t="str">
        <f t="shared" si="1933"/>
        <v/>
      </c>
      <c r="CN554" s="1111" t="str">
        <f t="shared" si="1933"/>
        <v/>
      </c>
      <c r="CO554" s="1111" t="str">
        <f t="shared" si="1933"/>
        <v/>
      </c>
      <c r="CP554" s="1111" t="str">
        <f t="shared" si="1933"/>
        <v/>
      </c>
      <c r="CQ554" s="1111" t="str">
        <f t="shared" si="1933"/>
        <v/>
      </c>
      <c r="CR554" s="1111" t="str">
        <f t="shared" si="1933"/>
        <v/>
      </c>
      <c r="CS554" s="1110" t="str">
        <f t="shared" si="1933"/>
        <v/>
      </c>
      <c r="CT554" s="1113" t="str">
        <f t="shared" si="1933"/>
        <v/>
      </c>
      <c r="CU554" s="324" t="str">
        <f t="shared" si="1778"/>
        <v/>
      </c>
      <c r="CV554" s="325" t="str">
        <f t="shared" si="1779"/>
        <v/>
      </c>
      <c r="CW554" s="326" t="str">
        <f t="shared" si="1780"/>
        <v/>
      </c>
      <c r="CX554" s="326" t="str">
        <f t="shared" si="1781"/>
        <v/>
      </c>
      <c r="CY554" s="326" t="str">
        <f t="shared" si="1782"/>
        <v/>
      </c>
      <c r="CZ554" s="326" t="str">
        <f t="shared" si="1783"/>
        <v/>
      </c>
      <c r="DA554" s="326" t="str">
        <f t="shared" si="1784"/>
        <v/>
      </c>
      <c r="DB554" s="327" t="str">
        <f t="shared" si="1785"/>
        <v/>
      </c>
      <c r="DC554" s="327" t="str">
        <f t="shared" si="1786"/>
        <v/>
      </c>
      <c r="DD554" s="327" t="str">
        <f t="shared" si="1787"/>
        <v/>
      </c>
      <c r="DE554" s="326" t="str">
        <f t="shared" si="1788"/>
        <v/>
      </c>
      <c r="DF554" s="326" t="str">
        <f t="shared" si="1789"/>
        <v/>
      </c>
      <c r="DG554" s="326" t="str">
        <f t="shared" si="1790"/>
        <v/>
      </c>
      <c r="DH554" s="326" t="str">
        <f t="shared" si="1791"/>
        <v/>
      </c>
      <c r="DI554" s="326" t="str">
        <f t="shared" si="1792"/>
        <v/>
      </c>
      <c r="DJ554" s="325" t="str">
        <f t="shared" si="1793"/>
        <v/>
      </c>
      <c r="DK554" s="324" t="str">
        <f t="shared" si="1794"/>
        <v/>
      </c>
      <c r="DL554" s="428">
        <f t="shared" si="1882"/>
        <v>1</v>
      </c>
      <c r="DM554" s="66">
        <f t="shared" si="1883"/>
        <v>0</v>
      </c>
      <c r="DN554" s="66">
        <f t="shared" si="1884"/>
        <v>3</v>
      </c>
      <c r="DO554" s="66">
        <f t="shared" si="188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948">IF(B554="","",B551*B554)</f>
        <v/>
      </c>
      <c r="C555" s="535">
        <f t="shared" si="1948"/>
        <v>100</v>
      </c>
      <c r="D555" s="535" t="str">
        <f t="shared" si="1948"/>
        <v/>
      </c>
      <c r="E555" s="535" t="str">
        <f t="shared" si="1948"/>
        <v/>
      </c>
      <c r="F555" s="535" t="str">
        <f t="shared" si="1948"/>
        <v/>
      </c>
      <c r="G555" s="535" t="str">
        <f t="shared" si="1948"/>
        <v/>
      </c>
      <c r="H555" s="535" t="str">
        <f t="shared" si="1948"/>
        <v/>
      </c>
      <c r="I555" s="535" t="str">
        <f t="shared" si="1948"/>
        <v/>
      </c>
      <c r="J555" s="535" t="str">
        <f t="shared" si="1948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949">IF(T554="","",T551*T554)</f>
        <v/>
      </c>
      <c r="U555" s="535" t="str">
        <f t="shared" si="1949"/>
        <v/>
      </c>
      <c r="V555" s="535" t="str">
        <f t="shared" si="1949"/>
        <v/>
      </c>
      <c r="W555" s="535" t="str">
        <f t="shared" si="1949"/>
        <v/>
      </c>
      <c r="X555" s="535" t="str">
        <f t="shared" si="1949"/>
        <v/>
      </c>
      <c r="Y555" s="535" t="str">
        <f t="shared" si="1949"/>
        <v/>
      </c>
      <c r="Z555" s="535" t="str">
        <f t="shared" si="1949"/>
        <v/>
      </c>
      <c r="AA555" s="535" t="str">
        <f t="shared" si="1949"/>
        <v/>
      </c>
      <c r="AB555" s="535" t="str">
        <f t="shared" si="1949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950">IF(AL554="","",AL551*AL554)</f>
        <v/>
      </c>
      <c r="AM555" s="535" t="str">
        <f t="shared" si="1950"/>
        <v/>
      </c>
      <c r="AN555" s="535" t="str">
        <f t="shared" si="1950"/>
        <v/>
      </c>
      <c r="AO555" s="535">
        <f t="shared" si="1950"/>
        <v>240</v>
      </c>
      <c r="AP555" s="535" t="str">
        <f t="shared" si="1950"/>
        <v/>
      </c>
      <c r="AQ555" s="535" t="str">
        <f t="shared" si="1950"/>
        <v/>
      </c>
      <c r="AR555" s="535" t="str">
        <f t="shared" si="1950"/>
        <v/>
      </c>
      <c r="AS555" s="535">
        <f t="shared" si="1950"/>
        <v>640</v>
      </c>
      <c r="AT555" s="535">
        <f t="shared" si="1950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951">IF(BD554="","",BD551*BD554)</f>
        <v/>
      </c>
      <c r="BE555" s="535" t="str">
        <f t="shared" si="1951"/>
        <v/>
      </c>
      <c r="BF555" s="535">
        <f t="shared" si="1951"/>
        <v>80</v>
      </c>
      <c r="BG555" s="535" t="str">
        <f t="shared" si="1951"/>
        <v/>
      </c>
      <c r="BH555" s="535">
        <f t="shared" si="1951"/>
        <v>180</v>
      </c>
      <c r="BI555" s="535" t="str">
        <f t="shared" si="1951"/>
        <v/>
      </c>
      <c r="BJ555" s="535">
        <f t="shared" si="1951"/>
        <v>250</v>
      </c>
      <c r="BK555" s="535" t="str">
        <f t="shared" si="1951"/>
        <v/>
      </c>
      <c r="BL555" s="535">
        <f t="shared" si="1951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886"/>
        <v/>
      </c>
      <c r="CA555" s="373" t="str">
        <f t="shared" si="1887"/>
        <v/>
      </c>
      <c r="CB555" s="373">
        <f t="shared" si="1888"/>
        <v>420</v>
      </c>
      <c r="CC555" s="462">
        <f t="shared" si="1889"/>
        <v>215</v>
      </c>
      <c r="CD555" s="110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0" t="str">
        <f t="shared" si="1933"/>
        <v/>
      </c>
      <c r="CF555" s="1111" t="str">
        <f t="shared" si="1933"/>
        <v/>
      </c>
      <c r="CG555" s="1111" t="str">
        <f t="shared" si="1933"/>
        <v/>
      </c>
      <c r="CH555" s="1111" t="str">
        <f t="shared" si="1933"/>
        <v/>
      </c>
      <c r="CI555" s="1111" t="str">
        <f t="shared" si="1933"/>
        <v/>
      </c>
      <c r="CJ555" s="1111" t="str">
        <f t="shared" si="1933"/>
        <v/>
      </c>
      <c r="CK555" s="1112" t="str">
        <f t="shared" si="1933"/>
        <v/>
      </c>
      <c r="CL555" s="1112">
        <f t="shared" si="1933"/>
        <v>100</v>
      </c>
      <c r="CM555" s="1112" t="str">
        <f t="shared" si="1933"/>
        <v/>
      </c>
      <c r="CN555" s="1111" t="str">
        <f t="shared" si="1933"/>
        <v/>
      </c>
      <c r="CO555" s="1111" t="str">
        <f t="shared" si="1933"/>
        <v/>
      </c>
      <c r="CP555" s="1111" t="str">
        <f t="shared" si="1933"/>
        <v/>
      </c>
      <c r="CQ555" s="1111" t="str">
        <f t="shared" si="1933"/>
        <v/>
      </c>
      <c r="CR555" s="1111" t="str">
        <f t="shared" si="1933"/>
        <v/>
      </c>
      <c r="CS555" s="1110" t="str">
        <f t="shared" si="1933"/>
        <v/>
      </c>
      <c r="CT555" s="1113" t="str">
        <f t="shared" si="1933"/>
        <v/>
      </c>
      <c r="CU555" s="324" t="str">
        <f t="shared" si="1778"/>
        <v/>
      </c>
      <c r="CV555" s="325" t="str">
        <f t="shared" si="1779"/>
        <v/>
      </c>
      <c r="CW555" s="326" t="str">
        <f t="shared" si="1780"/>
        <v/>
      </c>
      <c r="CX555" s="326" t="str">
        <f t="shared" si="1781"/>
        <v/>
      </c>
      <c r="CY555" s="326" t="str">
        <f t="shared" si="1782"/>
        <v/>
      </c>
      <c r="CZ555" s="326" t="str">
        <f t="shared" si="1783"/>
        <v/>
      </c>
      <c r="DA555" s="326" t="str">
        <f t="shared" si="1784"/>
        <v/>
      </c>
      <c r="DB555" s="327" t="str">
        <f t="shared" si="1785"/>
        <v/>
      </c>
      <c r="DC555" s="327" t="str">
        <f t="shared" si="1786"/>
        <v/>
      </c>
      <c r="DD555" s="327" t="str">
        <f t="shared" si="1787"/>
        <v/>
      </c>
      <c r="DE555" s="326" t="str">
        <f t="shared" si="1788"/>
        <v/>
      </c>
      <c r="DF555" s="326" t="str">
        <f t="shared" si="1789"/>
        <v/>
      </c>
      <c r="DG555" s="326" t="str">
        <f t="shared" si="1790"/>
        <v/>
      </c>
      <c r="DH555" s="326" t="str">
        <f t="shared" si="1791"/>
        <v/>
      </c>
      <c r="DI555" s="326" t="str">
        <f t="shared" si="1792"/>
        <v/>
      </c>
      <c r="DJ555" s="325" t="str">
        <f t="shared" si="1793"/>
        <v/>
      </c>
      <c r="DK555" s="324" t="str">
        <f t="shared" si="1794"/>
        <v/>
      </c>
      <c r="DL555" s="428">
        <f t="shared" si="1882"/>
        <v>1</v>
      </c>
      <c r="DM555" s="66">
        <f t="shared" si="1883"/>
        <v>0</v>
      </c>
      <c r="DN555" s="66">
        <f t="shared" si="1884"/>
        <v>3</v>
      </c>
      <c r="DO555" s="66">
        <f t="shared" si="188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5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778"/>
        <v/>
      </c>
      <c r="CV556" s="325" t="str">
        <f t="shared" si="1779"/>
        <v/>
      </c>
      <c r="CW556" s="326" t="str">
        <f t="shared" si="1780"/>
        <v/>
      </c>
      <c r="CX556" s="326" t="str">
        <f t="shared" si="1781"/>
        <v/>
      </c>
      <c r="CY556" s="326" t="str">
        <f t="shared" si="1782"/>
        <v/>
      </c>
      <c r="CZ556" s="326" t="str">
        <f t="shared" si="1783"/>
        <v/>
      </c>
      <c r="DA556" s="326" t="str">
        <f t="shared" si="1784"/>
        <v/>
      </c>
      <c r="DB556" s="327" t="str">
        <f t="shared" si="1785"/>
        <v/>
      </c>
      <c r="DC556" s="327" t="str">
        <f t="shared" si="1786"/>
        <v/>
      </c>
      <c r="DD556" s="327" t="str">
        <f t="shared" si="1787"/>
        <v/>
      </c>
      <c r="DE556" s="326" t="str">
        <f t="shared" si="1788"/>
        <v/>
      </c>
      <c r="DF556" s="326" t="str">
        <f t="shared" si="1789"/>
        <v/>
      </c>
      <c r="DG556" s="326" t="str">
        <f t="shared" si="1790"/>
        <v/>
      </c>
      <c r="DH556" s="326" t="str">
        <f t="shared" si="1791"/>
        <v/>
      </c>
      <c r="DI556" s="326" t="str">
        <f t="shared" si="1792"/>
        <v/>
      </c>
      <c r="DJ556" s="325" t="str">
        <f t="shared" si="1793"/>
        <v/>
      </c>
      <c r="DK556" s="324" t="str">
        <f t="shared" si="1794"/>
        <v/>
      </c>
      <c r="DL556" s="428">
        <f t="shared" si="1882"/>
        <v>3</v>
      </c>
      <c r="DM556" s="66">
        <f t="shared" si="1883"/>
        <v>0</v>
      </c>
      <c r="DN556" s="66">
        <f t="shared" si="1884"/>
        <v>0</v>
      </c>
      <c r="DO556" s="66">
        <f t="shared" si="188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886"/>
        <v>96</v>
      </c>
      <c r="CA557" s="373" t="str">
        <f t="shared" si="1887"/>
        <v/>
      </c>
      <c r="CB557" s="373" t="str">
        <f t="shared" si="1888"/>
        <v/>
      </c>
      <c r="CC557" s="462">
        <f t="shared" si="1889"/>
        <v>120</v>
      </c>
      <c r="CD557" s="110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0" t="str">
        <f t="shared" si="1933"/>
        <v/>
      </c>
      <c r="CF557" s="1111" t="str">
        <f t="shared" si="1933"/>
        <v/>
      </c>
      <c r="CG557" s="1111" t="str">
        <f t="shared" si="1933"/>
        <v/>
      </c>
      <c r="CH557" s="1111" t="str">
        <f t="shared" si="1933"/>
        <v/>
      </c>
      <c r="CI557" s="1111" t="str">
        <f t="shared" si="1933"/>
        <v/>
      </c>
      <c r="CJ557" s="1111" t="str">
        <f t="shared" si="1933"/>
        <v/>
      </c>
      <c r="CK557" s="1112">
        <f t="shared" si="1933"/>
        <v>5</v>
      </c>
      <c r="CL557" s="1112">
        <f t="shared" si="1933"/>
        <v>96</v>
      </c>
      <c r="CM557" s="1112">
        <f t="shared" si="1933"/>
        <v>144</v>
      </c>
      <c r="CN557" s="1111" t="str">
        <f t="shared" si="1933"/>
        <v/>
      </c>
      <c r="CO557" s="1111" t="str">
        <f t="shared" si="1933"/>
        <v/>
      </c>
      <c r="CP557" s="1111" t="str">
        <f t="shared" si="1933"/>
        <v/>
      </c>
      <c r="CQ557" s="1111" t="str">
        <f t="shared" si="1933"/>
        <v/>
      </c>
      <c r="CR557" s="1111" t="str">
        <f t="shared" si="1933"/>
        <v/>
      </c>
      <c r="CS557" s="1110" t="str">
        <f t="shared" si="1933"/>
        <v/>
      </c>
      <c r="CT557" s="1113" t="str">
        <f t="shared" si="1933"/>
        <v/>
      </c>
      <c r="CU557" s="324" t="str">
        <f t="shared" si="1778"/>
        <v/>
      </c>
      <c r="CV557" s="325" t="str">
        <f t="shared" si="1779"/>
        <v/>
      </c>
      <c r="CW557" s="326" t="str">
        <f t="shared" si="1780"/>
        <v/>
      </c>
      <c r="CX557" s="326" t="str">
        <f t="shared" si="1781"/>
        <v/>
      </c>
      <c r="CY557" s="326" t="str">
        <f t="shared" si="1782"/>
        <v/>
      </c>
      <c r="CZ557" s="326" t="str">
        <f t="shared" si="1783"/>
        <v/>
      </c>
      <c r="DA557" s="326" t="str">
        <f t="shared" si="1784"/>
        <v/>
      </c>
      <c r="DB557" s="327" t="str">
        <f t="shared" si="1785"/>
        <v/>
      </c>
      <c r="DC557" s="327">
        <f t="shared" si="1786"/>
        <v>96</v>
      </c>
      <c r="DD557" s="327">
        <f t="shared" si="1787"/>
        <v>100</v>
      </c>
      <c r="DE557" s="326" t="str">
        <f t="shared" si="1788"/>
        <v/>
      </c>
      <c r="DF557" s="326" t="str">
        <f t="shared" si="1789"/>
        <v/>
      </c>
      <c r="DG557" s="326" t="str">
        <f t="shared" si="1790"/>
        <v/>
      </c>
      <c r="DH557" s="326" t="str">
        <f t="shared" si="1791"/>
        <v/>
      </c>
      <c r="DI557" s="326" t="str">
        <f t="shared" si="1792"/>
        <v/>
      </c>
      <c r="DJ557" s="325" t="str">
        <f t="shared" si="1793"/>
        <v/>
      </c>
      <c r="DK557" s="324" t="str">
        <f t="shared" si="1794"/>
        <v/>
      </c>
      <c r="DL557" s="428">
        <f t="shared" si="1882"/>
        <v>3</v>
      </c>
      <c r="DM557" s="66">
        <f t="shared" si="1883"/>
        <v>2</v>
      </c>
      <c r="DN557" s="66">
        <f t="shared" si="1884"/>
        <v>2</v>
      </c>
      <c r="DO557" s="66">
        <f t="shared" si="188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952">200*$K$1</f>
        <v>200</v>
      </c>
      <c r="D558" s="536">
        <f t="shared" si="1952"/>
        <v>200</v>
      </c>
      <c r="E558" s="536">
        <f t="shared" si="1952"/>
        <v>200</v>
      </c>
      <c r="F558" s="536">
        <f t="shared" si="1952"/>
        <v>200</v>
      </c>
      <c r="G558" s="536">
        <v>200</v>
      </c>
      <c r="H558" s="536">
        <f t="shared" si="1952"/>
        <v>200</v>
      </c>
      <c r="I558" s="536">
        <f t="shared" si="1952"/>
        <v>200</v>
      </c>
      <c r="J558" s="536">
        <f t="shared" si="1952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953">200*$K$1</f>
        <v>200</v>
      </c>
      <c r="V558" s="536">
        <f t="shared" si="1953"/>
        <v>200</v>
      </c>
      <c r="W558" s="536">
        <f t="shared" si="1953"/>
        <v>200</v>
      </c>
      <c r="X558" s="536">
        <f t="shared" si="1953"/>
        <v>200</v>
      </c>
      <c r="Y558" s="536">
        <f t="shared" si="1953"/>
        <v>200</v>
      </c>
      <c r="Z558" s="536">
        <f t="shared" si="1953"/>
        <v>200</v>
      </c>
      <c r="AA558" s="536">
        <f t="shared" si="1953"/>
        <v>200</v>
      </c>
      <c r="AB558" s="536">
        <f t="shared" si="1953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954">200*$K$1</f>
        <v>200</v>
      </c>
      <c r="AN558" s="536">
        <f t="shared" si="1954"/>
        <v>200</v>
      </c>
      <c r="AO558" s="536">
        <f t="shared" si="1954"/>
        <v>200</v>
      </c>
      <c r="AP558" s="536">
        <f t="shared" si="1954"/>
        <v>200</v>
      </c>
      <c r="AQ558" s="536">
        <f t="shared" si="1954"/>
        <v>200</v>
      </c>
      <c r="AR558" s="536">
        <f t="shared" si="1954"/>
        <v>200</v>
      </c>
      <c r="AS558" s="536">
        <f t="shared" si="1954"/>
        <v>200</v>
      </c>
      <c r="AT558" s="536">
        <f t="shared" si="1954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955">200*$K$1</f>
        <v>200</v>
      </c>
      <c r="BF558" s="536">
        <f t="shared" si="1955"/>
        <v>200</v>
      </c>
      <c r="BG558" s="536">
        <f t="shared" si="1955"/>
        <v>200</v>
      </c>
      <c r="BH558" s="536">
        <f t="shared" si="1955"/>
        <v>200</v>
      </c>
      <c r="BI558" s="536">
        <f t="shared" si="1955"/>
        <v>200</v>
      </c>
      <c r="BJ558" s="536">
        <f t="shared" si="1955"/>
        <v>200</v>
      </c>
      <c r="BK558" s="536">
        <f t="shared" si="1955"/>
        <v>200</v>
      </c>
      <c r="BL558" s="536">
        <f t="shared" si="1955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955"/>
        <v>200</v>
      </c>
      <c r="BW558" s="536">
        <f t="shared" si="1955"/>
        <v>200</v>
      </c>
      <c r="BX558" s="536">
        <f t="shared" si="1955"/>
        <v>200</v>
      </c>
      <c r="BY558" s="536">
        <f t="shared" si="1955"/>
        <v>200</v>
      </c>
      <c r="BZ558" s="373">
        <f t="shared" si="1886"/>
        <v>200</v>
      </c>
      <c r="CA558" s="373">
        <f t="shared" si="1887"/>
        <v>200</v>
      </c>
      <c r="CB558" s="373">
        <f t="shared" si="1888"/>
        <v>200</v>
      </c>
      <c r="CC558" s="462">
        <f t="shared" si="1889"/>
        <v>200</v>
      </c>
      <c r="CD558" s="110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0" t="str">
        <f t="shared" si="1933"/>
        <v/>
      </c>
      <c r="CF558" s="1111" t="str">
        <f t="shared" si="1933"/>
        <v/>
      </c>
      <c r="CG558" s="1111" t="str">
        <f t="shared" si="1933"/>
        <v/>
      </c>
      <c r="CH558" s="1111">
        <f t="shared" si="1933"/>
        <v>200</v>
      </c>
      <c r="CI558" s="1111">
        <f t="shared" si="1933"/>
        <v>200</v>
      </c>
      <c r="CJ558" s="1111">
        <f t="shared" si="1933"/>
        <v>200</v>
      </c>
      <c r="CK558" s="1112">
        <f t="shared" si="1933"/>
        <v>200</v>
      </c>
      <c r="CL558" s="1112">
        <f t="shared" si="1933"/>
        <v>200</v>
      </c>
      <c r="CM558" s="1112">
        <f t="shared" si="1933"/>
        <v>200</v>
      </c>
      <c r="CN558" s="1111">
        <f t="shared" si="1933"/>
        <v>200</v>
      </c>
      <c r="CO558" s="1111">
        <f t="shared" si="1933"/>
        <v>200</v>
      </c>
      <c r="CP558" s="1111">
        <f t="shared" si="1933"/>
        <v>200</v>
      </c>
      <c r="CQ558" s="1111" t="str">
        <f t="shared" si="1933"/>
        <v/>
      </c>
      <c r="CR558" s="1111" t="str">
        <f t="shared" si="1933"/>
        <v/>
      </c>
      <c r="CS558" s="1110" t="str">
        <f t="shared" si="1933"/>
        <v/>
      </c>
      <c r="CT558" s="1113" t="str">
        <f t="shared" si="1933"/>
        <v/>
      </c>
      <c r="CU558" s="324" t="str">
        <f t="shared" ref="CU558:DJ561" si="195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956"/>
        <v/>
      </c>
      <c r="CW558" s="326" t="str">
        <f t="shared" si="1956"/>
        <v/>
      </c>
      <c r="CX558" s="326" t="str">
        <f t="shared" si="1956"/>
        <v/>
      </c>
      <c r="CY558" s="326">
        <f t="shared" si="1956"/>
        <v>200</v>
      </c>
      <c r="CZ558" s="326">
        <f t="shared" si="1956"/>
        <v>200</v>
      </c>
      <c r="DA558" s="326">
        <f t="shared" si="1956"/>
        <v>200</v>
      </c>
      <c r="DB558" s="327">
        <f t="shared" si="1956"/>
        <v>200</v>
      </c>
      <c r="DC558" s="327">
        <f t="shared" si="1956"/>
        <v>200</v>
      </c>
      <c r="DD558" s="327">
        <f t="shared" si="1956"/>
        <v>200</v>
      </c>
      <c r="DE558" s="326">
        <f t="shared" si="1956"/>
        <v>200</v>
      </c>
      <c r="DF558" s="326">
        <f t="shared" si="1956"/>
        <v>200</v>
      </c>
      <c r="DG558" s="326">
        <f t="shared" si="1956"/>
        <v>200</v>
      </c>
      <c r="DH558" s="326" t="str">
        <f t="shared" si="1956"/>
        <v/>
      </c>
      <c r="DI558" s="326" t="str">
        <f t="shared" si="1956"/>
        <v/>
      </c>
      <c r="DJ558" s="325" t="str">
        <f t="shared" si="1956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882"/>
        <v>9</v>
      </c>
      <c r="DM558" s="66">
        <f t="shared" si="1883"/>
        <v>9</v>
      </c>
      <c r="DN558" s="66">
        <f t="shared" si="1884"/>
        <v>9</v>
      </c>
      <c r="DO558" s="66">
        <f t="shared" si="1885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957">IF(B557="","",B557*B558/B$46/365/$G$1)</f>
        <v>3.7573385518590995E-3</v>
      </c>
      <c r="C559" s="540">
        <f t="shared" si="1957"/>
        <v>3.5784176684372378E-3</v>
      </c>
      <c r="D559" s="540" t="str">
        <f t="shared" si="1957"/>
        <v/>
      </c>
      <c r="E559" s="540" t="str">
        <f t="shared" si="1957"/>
        <v/>
      </c>
      <c r="F559" s="540">
        <f t="shared" si="1957"/>
        <v>2.1743857360295715E-4</v>
      </c>
      <c r="G559" s="540" t="str">
        <f t="shared" si="1957"/>
        <v/>
      </c>
      <c r="H559" s="540" t="str">
        <f t="shared" si="1957"/>
        <v/>
      </c>
      <c r="I559" s="540" t="str">
        <f t="shared" si="1957"/>
        <v/>
      </c>
      <c r="J559" s="540" t="str">
        <f t="shared" si="1957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958">IF(T557="","",T557*T558/T$46/365/$G$1)</f>
        <v/>
      </c>
      <c r="U559" s="540">
        <f t="shared" si="1958"/>
        <v>2.2771748799146063E-3</v>
      </c>
      <c r="V559" s="540">
        <f t="shared" si="1958"/>
        <v>2.1743857360295715E-3</v>
      </c>
      <c r="W559" s="540" t="str">
        <f t="shared" si="1958"/>
        <v/>
      </c>
      <c r="X559" s="540" t="str">
        <f t="shared" si="1958"/>
        <v/>
      </c>
      <c r="Y559" s="540" t="str">
        <f t="shared" si="1958"/>
        <v/>
      </c>
      <c r="Z559" s="540" t="str">
        <f t="shared" si="1958"/>
        <v/>
      </c>
      <c r="AA559" s="540" t="str">
        <f t="shared" si="1958"/>
        <v/>
      </c>
      <c r="AB559" s="540" t="str">
        <f t="shared" si="1958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959">IF(AL557="","",AL557*AL558/AL$46/365/$G$1)</f>
        <v/>
      </c>
      <c r="AM559" s="540" t="str">
        <f t="shared" si="1959"/>
        <v/>
      </c>
      <c r="AN559" s="540">
        <f t="shared" si="1959"/>
        <v>3.2615786040443573E-3</v>
      </c>
      <c r="AO559" s="540" t="str">
        <f t="shared" si="1959"/>
        <v/>
      </c>
      <c r="AP559" s="540" t="str">
        <f t="shared" si="1959"/>
        <v/>
      </c>
      <c r="AQ559" s="540" t="str">
        <f t="shared" si="1959"/>
        <v/>
      </c>
      <c r="AR559" s="540">
        <f t="shared" si="1959"/>
        <v>9.784735812133074E-4</v>
      </c>
      <c r="AS559" s="540" t="str">
        <f t="shared" si="1959"/>
        <v/>
      </c>
      <c r="AT559" s="540" t="str">
        <f t="shared" si="1959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960">IF(BD557="","",BD557*BD558/BD$46/365/$G$1)</f>
        <v/>
      </c>
      <c r="BE559" s="540">
        <f t="shared" si="1960"/>
        <v>1.9569471624266144E-2</v>
      </c>
      <c r="BF559" s="540" t="str">
        <f t="shared" si="1960"/>
        <v/>
      </c>
      <c r="BG559" s="540" t="str">
        <f t="shared" si="1960"/>
        <v/>
      </c>
      <c r="BH559" s="540" t="str">
        <f t="shared" si="1960"/>
        <v/>
      </c>
      <c r="BI559" s="540" t="str">
        <f t="shared" si="1960"/>
        <v/>
      </c>
      <c r="BJ559" s="540" t="str">
        <f t="shared" si="1960"/>
        <v/>
      </c>
      <c r="BK559" s="540">
        <f t="shared" si="1960"/>
        <v>1.9569471624266148E-3</v>
      </c>
      <c r="BL559" s="540">
        <f t="shared" si="1960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886"/>
        <v>3.5784176684372378E-3</v>
      </c>
      <c r="CA559" s="398" t="str">
        <f t="shared" si="1887"/>
        <v/>
      </c>
      <c r="CB559" s="398" t="str">
        <f t="shared" si="1888"/>
        <v/>
      </c>
      <c r="CC559" s="398">
        <f t="shared" si="1889"/>
        <v>3.4790171776473144E-3</v>
      </c>
      <c r="CD559" s="111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5" t="str">
        <f t="shared" si="1933"/>
        <v/>
      </c>
      <c r="CF559" s="1116" t="str">
        <f t="shared" si="1933"/>
        <v/>
      </c>
      <c r="CG559" s="1116" t="str">
        <f t="shared" si="1933"/>
        <v/>
      </c>
      <c r="CH559" s="1116" t="str">
        <f t="shared" si="1933"/>
        <v/>
      </c>
      <c r="CI559" s="1116" t="str">
        <f t="shared" si="1933"/>
        <v/>
      </c>
      <c r="CJ559" s="1116" t="str">
        <f t="shared" si="1933"/>
        <v/>
      </c>
      <c r="CK559" s="1117">
        <f t="shared" si="1933"/>
        <v>2.1743857360295715E-4</v>
      </c>
      <c r="CL559" s="1117">
        <f t="shared" si="1933"/>
        <v>3.5784176684372378E-3</v>
      </c>
      <c r="CM559" s="1117">
        <f t="shared" si="1933"/>
        <v>3.7573385518590995E-3</v>
      </c>
      <c r="CN559" s="1116" t="str">
        <f t="shared" si="1933"/>
        <v/>
      </c>
      <c r="CO559" s="1116" t="str">
        <f t="shared" si="1933"/>
        <v/>
      </c>
      <c r="CP559" s="1116" t="str">
        <f t="shared" si="1933"/>
        <v/>
      </c>
      <c r="CQ559" s="1116" t="str">
        <f t="shared" si="1933"/>
        <v/>
      </c>
      <c r="CR559" s="1116" t="str">
        <f t="shared" si="1933"/>
        <v/>
      </c>
      <c r="CS559" s="1115" t="str">
        <f t="shared" si="1933"/>
        <v/>
      </c>
      <c r="CT559" s="1118" t="str">
        <f t="shared" si="1933"/>
        <v/>
      </c>
      <c r="CU559" s="312" t="str">
        <f t="shared" si="1956"/>
        <v/>
      </c>
      <c r="CV559" s="313" t="str">
        <f t="shared" si="1956"/>
        <v/>
      </c>
      <c r="CW559" s="314" t="str">
        <f t="shared" si="1956"/>
        <v/>
      </c>
      <c r="CX559" s="314" t="str">
        <f t="shared" si="1956"/>
        <v/>
      </c>
      <c r="CY559" s="314" t="str">
        <f t="shared" si="1956"/>
        <v/>
      </c>
      <c r="CZ559" s="314" t="str">
        <f t="shared" si="1956"/>
        <v/>
      </c>
      <c r="DA559" s="314" t="str">
        <f t="shared" si="1956"/>
        <v/>
      </c>
      <c r="DB559" s="315" t="str">
        <f t="shared" si="1956"/>
        <v/>
      </c>
      <c r="DC559" s="315">
        <f t="shared" si="1956"/>
        <v>2.1743857360295715E-3</v>
      </c>
      <c r="DD559" s="315">
        <f t="shared" si="1956"/>
        <v>2.2771748799146063E-3</v>
      </c>
      <c r="DE559" s="314" t="str">
        <f t="shared" si="1956"/>
        <v/>
      </c>
      <c r="DF559" s="314" t="str">
        <f t="shared" si="1956"/>
        <v/>
      </c>
      <c r="DG559" s="314" t="str">
        <f t="shared" si="1956"/>
        <v/>
      </c>
      <c r="DH559" s="314" t="str">
        <f t="shared" si="1956"/>
        <v/>
      </c>
      <c r="DI559" s="314" t="str">
        <f t="shared" si="1956"/>
        <v/>
      </c>
      <c r="DJ559" s="313" t="str">
        <f t="shared" si="1956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882"/>
        <v>3</v>
      </c>
      <c r="DM559" s="66">
        <f t="shared" si="1883"/>
        <v>2</v>
      </c>
      <c r="DN559" s="66">
        <f t="shared" si="1884"/>
        <v>2</v>
      </c>
      <c r="DO559" s="66">
        <f t="shared" si="188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886"/>
        <v>0.30000000000000004</v>
      </c>
      <c r="CA560" s="373" t="str">
        <f t="shared" si="1887"/>
        <v/>
      </c>
      <c r="CB560" s="373" t="str">
        <f t="shared" si="1888"/>
        <v/>
      </c>
      <c r="CC560" s="462">
        <f t="shared" si="1889"/>
        <v>1</v>
      </c>
      <c r="CD560" s="110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0" t="str">
        <f t="shared" si="1933"/>
        <v/>
      </c>
      <c r="CF560" s="1111" t="str">
        <f t="shared" si="1933"/>
        <v/>
      </c>
      <c r="CG560" s="1111" t="str">
        <f t="shared" si="1933"/>
        <v/>
      </c>
      <c r="CH560" s="1111" t="str">
        <f t="shared" si="1933"/>
        <v/>
      </c>
      <c r="CI560" s="1111" t="str">
        <f t="shared" si="1933"/>
        <v/>
      </c>
      <c r="CJ560" s="1111" t="str">
        <f t="shared" si="1933"/>
        <v/>
      </c>
      <c r="CK560" s="1112">
        <f t="shared" si="1933"/>
        <v>0.25</v>
      </c>
      <c r="CL560" s="1112">
        <f t="shared" si="1933"/>
        <v>0.3</v>
      </c>
      <c r="CM560" s="1112">
        <f t="shared" si="1933"/>
        <v>1</v>
      </c>
      <c r="CN560" s="1111" t="str">
        <f t="shared" si="1933"/>
        <v/>
      </c>
      <c r="CO560" s="1111" t="str">
        <f t="shared" si="1933"/>
        <v/>
      </c>
      <c r="CP560" s="1111" t="str">
        <f t="shared" si="1933"/>
        <v/>
      </c>
      <c r="CQ560" s="1111" t="str">
        <f t="shared" si="1933"/>
        <v/>
      </c>
      <c r="CR560" s="1111" t="str">
        <f t="shared" si="1933"/>
        <v/>
      </c>
      <c r="CS560" s="1110" t="str">
        <f t="shared" si="1933"/>
        <v/>
      </c>
      <c r="CT560" s="1113" t="str">
        <f t="shared" si="1933"/>
        <v/>
      </c>
      <c r="CU560" s="324" t="str">
        <f t="shared" si="1956"/>
        <v/>
      </c>
      <c r="CV560" s="325" t="str">
        <f t="shared" si="1956"/>
        <v/>
      </c>
      <c r="CW560" s="326" t="str">
        <f t="shared" si="1956"/>
        <v/>
      </c>
      <c r="CX560" s="326" t="str">
        <f t="shared" si="1956"/>
        <v/>
      </c>
      <c r="CY560" s="326" t="str">
        <f t="shared" si="1956"/>
        <v/>
      </c>
      <c r="CZ560" s="326" t="str">
        <f t="shared" si="1956"/>
        <v/>
      </c>
      <c r="DA560" s="326" t="str">
        <f t="shared" si="1956"/>
        <v/>
      </c>
      <c r="DB560" s="327" t="str">
        <f t="shared" si="1956"/>
        <v/>
      </c>
      <c r="DC560" s="327">
        <f t="shared" si="1956"/>
        <v>2</v>
      </c>
      <c r="DD560" s="327">
        <f t="shared" si="1956"/>
        <v>2</v>
      </c>
      <c r="DE560" s="326" t="str">
        <f t="shared" si="1956"/>
        <v/>
      </c>
      <c r="DF560" s="326" t="str">
        <f t="shared" si="1956"/>
        <v/>
      </c>
      <c r="DG560" s="326" t="str">
        <f t="shared" si="1956"/>
        <v/>
      </c>
      <c r="DH560" s="326" t="str">
        <f t="shared" si="1956"/>
        <v/>
      </c>
      <c r="DI560" s="326" t="str">
        <f t="shared" si="1956"/>
        <v/>
      </c>
      <c r="DJ560" s="325" t="str">
        <f t="shared" si="1956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882"/>
        <v>3</v>
      </c>
      <c r="DM560" s="66">
        <f t="shared" si="1883"/>
        <v>2</v>
      </c>
      <c r="DN560" s="66">
        <f t="shared" si="1884"/>
        <v>2</v>
      </c>
      <c r="DO560" s="66">
        <f t="shared" si="188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961">IF(B560="","",B557*B560)</f>
        <v>36</v>
      </c>
      <c r="C561" s="535">
        <f t="shared" si="1961"/>
        <v>28.799999999999997</v>
      </c>
      <c r="D561" s="535" t="str">
        <f t="shared" si="1961"/>
        <v/>
      </c>
      <c r="E561" s="535" t="str">
        <f t="shared" si="1961"/>
        <v/>
      </c>
      <c r="F561" s="535">
        <f t="shared" si="1961"/>
        <v>5</v>
      </c>
      <c r="G561" s="535" t="str">
        <f t="shared" si="1961"/>
        <v/>
      </c>
      <c r="H561" s="535" t="str">
        <f t="shared" si="1961"/>
        <v/>
      </c>
      <c r="I561" s="535" t="str">
        <f t="shared" si="1961"/>
        <v/>
      </c>
      <c r="J561" s="535" t="str">
        <f t="shared" si="1961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962">IF(T560="","",T557*T560)</f>
        <v/>
      </c>
      <c r="U561" s="535">
        <f t="shared" si="1962"/>
        <v>192</v>
      </c>
      <c r="V561" s="535">
        <f t="shared" si="1962"/>
        <v>200</v>
      </c>
      <c r="W561" s="535" t="str">
        <f t="shared" si="1962"/>
        <v/>
      </c>
      <c r="X561" s="535" t="str">
        <f t="shared" si="1962"/>
        <v/>
      </c>
      <c r="Y561" s="535" t="str">
        <f t="shared" si="1962"/>
        <v/>
      </c>
      <c r="Z561" s="535" t="str">
        <f t="shared" si="1962"/>
        <v/>
      </c>
      <c r="AA561" s="535" t="str">
        <f t="shared" si="1962"/>
        <v/>
      </c>
      <c r="AB561" s="535" t="str">
        <f t="shared" si="1962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963">IF(AL560="","",AL557*AL560)</f>
        <v/>
      </c>
      <c r="AM561" s="535" t="str">
        <f t="shared" si="1963"/>
        <v/>
      </c>
      <c r="AN561" s="535">
        <f t="shared" si="1963"/>
        <v>200</v>
      </c>
      <c r="AO561" s="535" t="str">
        <f t="shared" si="1963"/>
        <v/>
      </c>
      <c r="AP561" s="535" t="str">
        <f t="shared" si="1963"/>
        <v/>
      </c>
      <c r="AQ561" s="535" t="str">
        <f t="shared" si="1963"/>
        <v/>
      </c>
      <c r="AR561" s="535">
        <f t="shared" si="1963"/>
        <v>45</v>
      </c>
      <c r="AS561" s="535" t="str">
        <f t="shared" si="1963"/>
        <v/>
      </c>
      <c r="AT561" s="535" t="str">
        <f t="shared" si="1963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964">IF(BD560="","",BD557*BD560)</f>
        <v/>
      </c>
      <c r="BE561" s="535">
        <f t="shared" si="1964"/>
        <v>900</v>
      </c>
      <c r="BF561" s="535" t="str">
        <f t="shared" si="1964"/>
        <v/>
      </c>
      <c r="BG561" s="535" t="str">
        <f t="shared" si="1964"/>
        <v/>
      </c>
      <c r="BH561" s="535" t="str">
        <f t="shared" si="1964"/>
        <v/>
      </c>
      <c r="BI561" s="535" t="str">
        <f t="shared" si="1964"/>
        <v/>
      </c>
      <c r="BJ561" s="535" t="str">
        <f t="shared" si="1964"/>
        <v/>
      </c>
      <c r="BK561" s="535">
        <f t="shared" si="1964"/>
        <v>180</v>
      </c>
      <c r="BL561" s="535">
        <f t="shared" si="1964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886"/>
        <v>28.799999999999997</v>
      </c>
      <c r="CA561" s="373" t="str">
        <f t="shared" si="1887"/>
        <v/>
      </c>
      <c r="CB561" s="373" t="str">
        <f t="shared" si="1888"/>
        <v/>
      </c>
      <c r="CC561" s="462">
        <f t="shared" si="1889"/>
        <v>180</v>
      </c>
      <c r="CD561" s="110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0" t="str">
        <f t="shared" si="1933"/>
        <v/>
      </c>
      <c r="CF561" s="1111" t="str">
        <f t="shared" si="1933"/>
        <v/>
      </c>
      <c r="CG561" s="1111" t="str">
        <f t="shared" si="1933"/>
        <v/>
      </c>
      <c r="CH561" s="1111" t="str">
        <f t="shared" si="1933"/>
        <v/>
      </c>
      <c r="CI561" s="1111" t="str">
        <f t="shared" si="1933"/>
        <v/>
      </c>
      <c r="CJ561" s="1111" t="str">
        <f t="shared" si="1933"/>
        <v/>
      </c>
      <c r="CK561" s="1112">
        <f t="shared" si="1933"/>
        <v>5</v>
      </c>
      <c r="CL561" s="1112">
        <f t="shared" si="1933"/>
        <v>28.799999999999997</v>
      </c>
      <c r="CM561" s="1112">
        <f t="shared" si="1933"/>
        <v>36</v>
      </c>
      <c r="CN561" s="1111" t="str">
        <f t="shared" si="1933"/>
        <v/>
      </c>
      <c r="CO561" s="1111" t="str">
        <f t="shared" si="1933"/>
        <v/>
      </c>
      <c r="CP561" s="1111" t="str">
        <f t="shared" si="1933"/>
        <v/>
      </c>
      <c r="CQ561" s="1111" t="str">
        <f t="shared" si="1933"/>
        <v/>
      </c>
      <c r="CR561" s="1111" t="str">
        <f t="shared" si="1933"/>
        <v/>
      </c>
      <c r="CS561" s="1110" t="str">
        <f t="shared" si="1933"/>
        <v/>
      </c>
      <c r="CT561" s="1113" t="str">
        <f t="shared" si="1933"/>
        <v/>
      </c>
      <c r="CU561" s="324" t="str">
        <f t="shared" si="1956"/>
        <v/>
      </c>
      <c r="CV561" s="325" t="str">
        <f t="shared" si="1956"/>
        <v/>
      </c>
      <c r="CW561" s="326" t="str">
        <f t="shared" si="1956"/>
        <v/>
      </c>
      <c r="CX561" s="326" t="str">
        <f t="shared" si="1956"/>
        <v/>
      </c>
      <c r="CY561" s="326" t="str">
        <f t="shared" si="1956"/>
        <v/>
      </c>
      <c r="CZ561" s="326" t="str">
        <f t="shared" si="1956"/>
        <v/>
      </c>
      <c r="DA561" s="326" t="str">
        <f t="shared" si="1956"/>
        <v/>
      </c>
      <c r="DB561" s="327" t="str">
        <f t="shared" si="1956"/>
        <v/>
      </c>
      <c r="DC561" s="327">
        <f t="shared" si="1956"/>
        <v>192</v>
      </c>
      <c r="DD561" s="327">
        <f t="shared" si="1956"/>
        <v>200</v>
      </c>
      <c r="DE561" s="326" t="str">
        <f t="shared" si="1956"/>
        <v/>
      </c>
      <c r="DF561" s="326" t="str">
        <f t="shared" si="1956"/>
        <v/>
      </c>
      <c r="DG561" s="326" t="str">
        <f t="shared" si="1956"/>
        <v/>
      </c>
      <c r="DH561" s="326" t="str">
        <f t="shared" si="1956"/>
        <v/>
      </c>
      <c r="DI561" s="326" t="str">
        <f t="shared" si="1956"/>
        <v/>
      </c>
      <c r="DJ561" s="325" t="str">
        <f t="shared" si="1956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882"/>
        <v>3</v>
      </c>
      <c r="DM561" s="66">
        <f t="shared" si="1883"/>
        <v>2</v>
      </c>
      <c r="DN561" s="66">
        <f t="shared" si="1884"/>
        <v>2</v>
      </c>
      <c r="DO561" s="66">
        <f t="shared" si="188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5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9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965"/>
        <v/>
      </c>
      <c r="CF563" s="58" t="str">
        <f t="shared" si="1965"/>
        <v/>
      </c>
      <c r="CG563" s="58" t="str">
        <f t="shared" si="1965"/>
        <v/>
      </c>
      <c r="CH563" s="58" t="str">
        <f t="shared" si="1965"/>
        <v/>
      </c>
      <c r="CI563" s="58" t="str">
        <f t="shared" si="1965"/>
        <v/>
      </c>
      <c r="CJ563" s="58" t="str">
        <f t="shared" si="1965"/>
        <v/>
      </c>
      <c r="CK563" s="78">
        <f t="shared" si="1965"/>
        <v>9</v>
      </c>
      <c r="CL563" s="78">
        <f t="shared" si="1965"/>
        <v>12</v>
      </c>
      <c r="CM563" s="78">
        <f t="shared" si="1965"/>
        <v>15</v>
      </c>
      <c r="CN563" s="58" t="str">
        <f t="shared" si="1965"/>
        <v/>
      </c>
      <c r="CO563" s="58" t="str">
        <f t="shared" si="1965"/>
        <v/>
      </c>
      <c r="CP563" s="58" t="str">
        <f t="shared" si="1965"/>
        <v/>
      </c>
      <c r="CQ563" s="58" t="str">
        <f t="shared" si="1965"/>
        <v/>
      </c>
      <c r="CR563" s="58" t="str">
        <f t="shared" si="1965"/>
        <v/>
      </c>
      <c r="CS563" s="57" t="str">
        <f t="shared" si="1965"/>
        <v/>
      </c>
      <c r="CT563" s="302" t="str">
        <f t="shared" si="1965"/>
        <v/>
      </c>
      <c r="CU563" s="324" t="str">
        <f t="shared" ref="CU563:DJ571" si="19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966"/>
        <v/>
      </c>
      <c r="CW563" s="326" t="str">
        <f t="shared" si="1966"/>
        <v/>
      </c>
      <c r="CX563" s="326" t="str">
        <f t="shared" si="1966"/>
        <v/>
      </c>
      <c r="CY563" s="326" t="str">
        <f t="shared" si="1966"/>
        <v/>
      </c>
      <c r="CZ563" s="326" t="str">
        <f t="shared" si="1966"/>
        <v/>
      </c>
      <c r="DA563" s="326" t="str">
        <f t="shared" si="1966"/>
        <v/>
      </c>
      <c r="DB563" s="327" t="str">
        <f t="shared" si="1966"/>
        <v/>
      </c>
      <c r="DC563" s="327" t="str">
        <f t="shared" si="1966"/>
        <v/>
      </c>
      <c r="DD563" s="327" t="str">
        <f t="shared" si="1966"/>
        <v/>
      </c>
      <c r="DE563" s="326" t="str">
        <f t="shared" si="1966"/>
        <v/>
      </c>
      <c r="DF563" s="326" t="str">
        <f t="shared" si="1966"/>
        <v/>
      </c>
      <c r="DG563" s="326" t="str">
        <f t="shared" si="1966"/>
        <v/>
      </c>
      <c r="DH563" s="326" t="str">
        <f t="shared" si="1966"/>
        <v/>
      </c>
      <c r="DI563" s="326" t="str">
        <f t="shared" si="1966"/>
        <v/>
      </c>
      <c r="DJ563" s="325" t="str">
        <f t="shared" si="1966"/>
        <v/>
      </c>
      <c r="DK563" s="324" t="str">
        <f t="shared" ref="DK563:DK571" si="19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968">COUNT(B563:R563)</f>
        <v>3</v>
      </c>
      <c r="DM563" s="617">
        <f t="shared" ref="DM563:DM571" si="1969">COUNT(T563:AJ563)</f>
        <v>0</v>
      </c>
      <c r="DN563" s="617">
        <f t="shared" ref="DN563:DN571" si="1970">COUNT(AL563:BB563)</f>
        <v>1</v>
      </c>
      <c r="DO563" s="617">
        <f t="shared" ref="DO563:DO571" si="1971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972">480*$K$1</f>
        <v>480</v>
      </c>
      <c r="D564" s="536">
        <f t="shared" si="1972"/>
        <v>480</v>
      </c>
      <c r="E564" s="536">
        <f t="shared" si="1972"/>
        <v>480</v>
      </c>
      <c r="F564" s="536">
        <f t="shared" si="1972"/>
        <v>480</v>
      </c>
      <c r="G564" s="536">
        <f t="shared" si="1972"/>
        <v>480</v>
      </c>
      <c r="H564" s="536">
        <f t="shared" si="1972"/>
        <v>480</v>
      </c>
      <c r="I564" s="536">
        <f t="shared" si="1972"/>
        <v>480</v>
      </c>
      <c r="J564" s="536">
        <f t="shared" si="1972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973">480*$K$1</f>
        <v>480</v>
      </c>
      <c r="V564" s="536">
        <f t="shared" si="1973"/>
        <v>480</v>
      </c>
      <c r="W564" s="536">
        <f t="shared" si="1973"/>
        <v>480</v>
      </c>
      <c r="X564" s="536">
        <f t="shared" si="1973"/>
        <v>480</v>
      </c>
      <c r="Y564" s="536">
        <f t="shared" si="1973"/>
        <v>480</v>
      </c>
      <c r="Z564" s="536">
        <f t="shared" si="1973"/>
        <v>480</v>
      </c>
      <c r="AA564" s="536">
        <f t="shared" si="1973"/>
        <v>480</v>
      </c>
      <c r="AB564" s="536">
        <f t="shared" si="1973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974">480*$K$1</f>
        <v>480</v>
      </c>
      <c r="AN564" s="536">
        <f t="shared" si="1974"/>
        <v>480</v>
      </c>
      <c r="AO564" s="536">
        <f t="shared" si="1974"/>
        <v>480</v>
      </c>
      <c r="AP564" s="536">
        <f t="shared" si="1974"/>
        <v>480</v>
      </c>
      <c r="AQ564" s="536">
        <f t="shared" si="1974"/>
        <v>480</v>
      </c>
      <c r="AR564" s="536">
        <f t="shared" si="1974"/>
        <v>480</v>
      </c>
      <c r="AS564" s="536">
        <f t="shared" si="1974"/>
        <v>480</v>
      </c>
      <c r="AT564" s="536">
        <f t="shared" si="1974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975">480*$K$1</f>
        <v>480</v>
      </c>
      <c r="BF564" s="536">
        <f t="shared" si="1975"/>
        <v>480</v>
      </c>
      <c r="BG564" s="536">
        <f t="shared" si="1975"/>
        <v>480</v>
      </c>
      <c r="BH564" s="536">
        <f t="shared" si="1975"/>
        <v>480</v>
      </c>
      <c r="BI564" s="536">
        <f t="shared" si="1975"/>
        <v>480</v>
      </c>
      <c r="BJ564" s="536">
        <f t="shared" si="1975"/>
        <v>480</v>
      </c>
      <c r="BK564" s="536">
        <f t="shared" si="1975"/>
        <v>480</v>
      </c>
      <c r="BL564" s="536">
        <f t="shared" si="1975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975"/>
        <v>480</v>
      </c>
      <c r="BW564" s="536">
        <f t="shared" si="1975"/>
        <v>480</v>
      </c>
      <c r="BX564" s="536">
        <f t="shared" si="1975"/>
        <v>480</v>
      </c>
      <c r="BY564" s="536">
        <f t="shared" si="1975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965"/>
        <v/>
      </c>
      <c r="CE564" s="57" t="str">
        <f t="shared" si="1965"/>
        <v/>
      </c>
      <c r="CF564" s="58" t="str">
        <f t="shared" si="1965"/>
        <v/>
      </c>
      <c r="CG564" s="58" t="str">
        <f t="shared" si="1965"/>
        <v/>
      </c>
      <c r="CH564" s="58">
        <f t="shared" si="1965"/>
        <v>480</v>
      </c>
      <c r="CI564" s="58">
        <f t="shared" si="1965"/>
        <v>480</v>
      </c>
      <c r="CJ564" s="58">
        <f t="shared" si="1965"/>
        <v>480</v>
      </c>
      <c r="CK564" s="78">
        <f t="shared" si="1965"/>
        <v>480</v>
      </c>
      <c r="CL564" s="78">
        <f t="shared" si="1965"/>
        <v>480</v>
      </c>
      <c r="CM564" s="78">
        <f t="shared" si="1965"/>
        <v>480</v>
      </c>
      <c r="CN564" s="58">
        <f t="shared" si="1965"/>
        <v>480</v>
      </c>
      <c r="CO564" s="58">
        <f t="shared" si="1965"/>
        <v>480</v>
      </c>
      <c r="CP564" s="58">
        <f t="shared" si="1965"/>
        <v>480</v>
      </c>
      <c r="CQ564" s="58" t="str">
        <f t="shared" si="1965"/>
        <v/>
      </c>
      <c r="CR564" s="58" t="str">
        <f t="shared" si="1965"/>
        <v/>
      </c>
      <c r="CS564" s="57" t="str">
        <f t="shared" si="1965"/>
        <v/>
      </c>
      <c r="CT564" s="302" t="str">
        <f t="shared" si="1965"/>
        <v/>
      </c>
      <c r="CU564" s="324" t="str">
        <f t="shared" si="1966"/>
        <v/>
      </c>
      <c r="CV564" s="325" t="str">
        <f t="shared" si="1966"/>
        <v/>
      </c>
      <c r="CW564" s="326" t="str">
        <f t="shared" si="1966"/>
        <v/>
      </c>
      <c r="CX564" s="326" t="str">
        <f t="shared" si="1966"/>
        <v/>
      </c>
      <c r="CY564" s="326">
        <f t="shared" si="1966"/>
        <v>480</v>
      </c>
      <c r="CZ564" s="326">
        <f t="shared" si="1966"/>
        <v>480</v>
      </c>
      <c r="DA564" s="326">
        <f t="shared" si="1966"/>
        <v>480</v>
      </c>
      <c r="DB564" s="327">
        <f t="shared" si="1966"/>
        <v>480</v>
      </c>
      <c r="DC564" s="327">
        <f t="shared" si="1966"/>
        <v>480</v>
      </c>
      <c r="DD564" s="327">
        <f t="shared" si="1966"/>
        <v>480</v>
      </c>
      <c r="DE564" s="326">
        <f t="shared" si="1966"/>
        <v>480</v>
      </c>
      <c r="DF564" s="326">
        <f t="shared" si="1966"/>
        <v>480</v>
      </c>
      <c r="DG564" s="326">
        <f t="shared" si="1966"/>
        <v>480</v>
      </c>
      <c r="DH564" s="326" t="str">
        <f t="shared" si="1966"/>
        <v/>
      </c>
      <c r="DI564" s="326" t="str">
        <f t="shared" si="1966"/>
        <v/>
      </c>
      <c r="DJ564" s="325" t="str">
        <f t="shared" si="1966"/>
        <v/>
      </c>
      <c r="DK564" s="324" t="str">
        <f t="shared" si="1967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976">IF(B563="","",B563*B564/B$46/365/$G$1)</f>
        <v>7.5146771037181998E-4</v>
      </c>
      <c r="C565" s="540">
        <f t="shared" si="1976"/>
        <v>8.0514397539837852E-4</v>
      </c>
      <c r="D565" s="540" t="str">
        <f t="shared" si="1976"/>
        <v/>
      </c>
      <c r="E565" s="540">
        <f t="shared" si="1976"/>
        <v>1.5655577299412914E-3</v>
      </c>
      <c r="F565" s="540" t="str">
        <f t="shared" si="1976"/>
        <v/>
      </c>
      <c r="G565" s="540" t="str">
        <f t="shared" si="1976"/>
        <v/>
      </c>
      <c r="H565" s="540" t="str">
        <f t="shared" si="1976"/>
        <v/>
      </c>
      <c r="I565" s="540" t="str">
        <f t="shared" si="1976"/>
        <v/>
      </c>
      <c r="J565" s="540" t="str">
        <f t="shared" si="1976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977">IF(T563="","",T563*T564/T$46/365/$G$1)</f>
        <v/>
      </c>
      <c r="U565" s="540" t="str">
        <f t="shared" si="1977"/>
        <v/>
      </c>
      <c r="V565" s="540" t="str">
        <f t="shared" si="1977"/>
        <v/>
      </c>
      <c r="W565" s="540" t="str">
        <f t="shared" si="1977"/>
        <v/>
      </c>
      <c r="X565" s="540" t="str">
        <f t="shared" si="1977"/>
        <v/>
      </c>
      <c r="Y565" s="540" t="str">
        <f t="shared" si="1977"/>
        <v/>
      </c>
      <c r="Z565" s="540" t="str">
        <f t="shared" si="1977"/>
        <v/>
      </c>
      <c r="AA565" s="540" t="str">
        <f t="shared" si="1977"/>
        <v/>
      </c>
      <c r="AB565" s="540" t="str">
        <f t="shared" si="1977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978">IF(AL563="","",AL563*AL564/AL$46/365/$G$1)</f>
        <v>2.0494573919231456E-3</v>
      </c>
      <c r="AM565" s="540" t="str">
        <f t="shared" si="1978"/>
        <v/>
      </c>
      <c r="AN565" s="540" t="str">
        <f t="shared" si="1978"/>
        <v/>
      </c>
      <c r="AO565" s="540" t="str">
        <f t="shared" si="1978"/>
        <v/>
      </c>
      <c r="AP565" s="540" t="str">
        <f t="shared" si="1978"/>
        <v/>
      </c>
      <c r="AQ565" s="540" t="str">
        <f t="shared" si="1978"/>
        <v/>
      </c>
      <c r="AR565" s="540" t="str">
        <f t="shared" si="1978"/>
        <v/>
      </c>
      <c r="AS565" s="540" t="str">
        <f t="shared" si="1978"/>
        <v/>
      </c>
      <c r="AT565" s="540" t="str">
        <f t="shared" si="1978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979">IF(BD563="","",BD563*BD564/BD$46/365/$G$1)</f>
        <v/>
      </c>
      <c r="BE565" s="540">
        <f t="shared" si="1979"/>
        <v>1.5655577299412918E-2</v>
      </c>
      <c r="BF565" s="540" t="str">
        <f t="shared" si="1979"/>
        <v/>
      </c>
      <c r="BG565" s="540" t="str">
        <f t="shared" si="1979"/>
        <v/>
      </c>
      <c r="BH565" s="540" t="str">
        <f t="shared" si="1979"/>
        <v/>
      </c>
      <c r="BI565" s="540" t="str">
        <f t="shared" si="1979"/>
        <v/>
      </c>
      <c r="BJ565" s="540" t="str">
        <f t="shared" si="1979"/>
        <v/>
      </c>
      <c r="BK565" s="540" t="str">
        <f t="shared" si="1979"/>
        <v/>
      </c>
      <c r="BL565" s="540">
        <f t="shared" si="1979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5" t="str">
        <f t="shared" si="1965"/>
        <v/>
      </c>
      <c r="CF565" s="1116" t="str">
        <f t="shared" si="1965"/>
        <v/>
      </c>
      <c r="CG565" s="1116" t="str">
        <f t="shared" si="1965"/>
        <v/>
      </c>
      <c r="CH565" s="1116" t="str">
        <f t="shared" si="1965"/>
        <v/>
      </c>
      <c r="CI565" s="1116" t="str">
        <f t="shared" si="1965"/>
        <v/>
      </c>
      <c r="CJ565" s="1116" t="str">
        <f t="shared" si="1965"/>
        <v/>
      </c>
      <c r="CK565" s="1117">
        <f t="shared" si="1965"/>
        <v>7.5146771037181998E-4</v>
      </c>
      <c r="CL565" s="1117">
        <f t="shared" si="1965"/>
        <v>8.0514397539837852E-4</v>
      </c>
      <c r="CM565" s="1117">
        <f t="shared" si="1965"/>
        <v>1.5655577299412914E-3</v>
      </c>
      <c r="CN565" s="1116" t="str">
        <f t="shared" si="1965"/>
        <v/>
      </c>
      <c r="CO565" s="1116" t="str">
        <f t="shared" si="1965"/>
        <v/>
      </c>
      <c r="CP565" s="1116" t="str">
        <f t="shared" si="1965"/>
        <v/>
      </c>
      <c r="CQ565" s="1116" t="str">
        <f t="shared" si="1965"/>
        <v/>
      </c>
      <c r="CR565" s="1116" t="str">
        <f t="shared" si="1965"/>
        <v/>
      </c>
      <c r="CS565" s="1115" t="str">
        <f t="shared" si="1965"/>
        <v/>
      </c>
      <c r="CT565" s="1118" t="str">
        <f t="shared" si="1965"/>
        <v/>
      </c>
      <c r="CU565" s="312" t="str">
        <f t="shared" si="1966"/>
        <v/>
      </c>
      <c r="CV565" s="313" t="str">
        <f t="shared" si="1966"/>
        <v/>
      </c>
      <c r="CW565" s="314" t="str">
        <f t="shared" si="1966"/>
        <v/>
      </c>
      <c r="CX565" s="314" t="str">
        <f t="shared" si="1966"/>
        <v/>
      </c>
      <c r="CY565" s="314" t="str">
        <f t="shared" si="1966"/>
        <v/>
      </c>
      <c r="CZ565" s="314" t="str">
        <f t="shared" si="1966"/>
        <v/>
      </c>
      <c r="DA565" s="314" t="str">
        <f t="shared" si="1966"/>
        <v/>
      </c>
      <c r="DB565" s="315" t="str">
        <f t="shared" si="1966"/>
        <v/>
      </c>
      <c r="DC565" s="315" t="str">
        <f t="shared" si="1966"/>
        <v/>
      </c>
      <c r="DD565" s="315" t="str">
        <f t="shared" si="1966"/>
        <v/>
      </c>
      <c r="DE565" s="314" t="str">
        <f t="shared" si="1966"/>
        <v/>
      </c>
      <c r="DF565" s="314" t="str">
        <f t="shared" si="1966"/>
        <v/>
      </c>
      <c r="DG565" s="314" t="str">
        <f t="shared" si="1966"/>
        <v/>
      </c>
      <c r="DH565" s="314" t="str">
        <f t="shared" si="1966"/>
        <v/>
      </c>
      <c r="DI565" s="314" t="str">
        <f t="shared" si="1966"/>
        <v/>
      </c>
      <c r="DJ565" s="313" t="str">
        <f t="shared" si="1966"/>
        <v/>
      </c>
      <c r="DK565" s="312" t="str">
        <f t="shared" si="1967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965"/>
        <v/>
      </c>
      <c r="CE566" s="57" t="str">
        <f t="shared" si="1965"/>
        <v/>
      </c>
      <c r="CF566" s="58" t="str">
        <f t="shared" si="1965"/>
        <v/>
      </c>
      <c r="CG566" s="58" t="str">
        <f t="shared" si="1965"/>
        <v/>
      </c>
      <c r="CH566" s="58" t="str">
        <f t="shared" si="1965"/>
        <v/>
      </c>
      <c r="CI566" s="58" t="str">
        <f t="shared" si="1965"/>
        <v/>
      </c>
      <c r="CJ566" s="58" t="str">
        <f t="shared" si="1965"/>
        <v/>
      </c>
      <c r="CK566" s="78">
        <f t="shared" si="1965"/>
        <v>1</v>
      </c>
      <c r="CL566" s="78">
        <f t="shared" si="1965"/>
        <v>1</v>
      </c>
      <c r="CM566" s="78">
        <f t="shared" si="1965"/>
        <v>1</v>
      </c>
      <c r="CN566" s="58" t="str">
        <f t="shared" si="1965"/>
        <v/>
      </c>
      <c r="CO566" s="58" t="str">
        <f t="shared" si="1965"/>
        <v/>
      </c>
      <c r="CP566" s="58" t="str">
        <f t="shared" si="1965"/>
        <v/>
      </c>
      <c r="CQ566" s="58" t="str">
        <f t="shared" si="1965"/>
        <v/>
      </c>
      <c r="CR566" s="58" t="str">
        <f t="shared" si="1965"/>
        <v/>
      </c>
      <c r="CS566" s="57" t="str">
        <f t="shared" si="1965"/>
        <v/>
      </c>
      <c r="CT566" s="302" t="str">
        <f t="shared" si="1965"/>
        <v/>
      </c>
      <c r="CU566" s="324" t="str">
        <f t="shared" si="1966"/>
        <v/>
      </c>
      <c r="CV566" s="325" t="str">
        <f t="shared" si="1966"/>
        <v/>
      </c>
      <c r="CW566" s="326" t="str">
        <f t="shared" si="1966"/>
        <v/>
      </c>
      <c r="CX566" s="326" t="str">
        <f t="shared" si="1966"/>
        <v/>
      </c>
      <c r="CY566" s="326" t="str">
        <f t="shared" si="1966"/>
        <v/>
      </c>
      <c r="CZ566" s="326" t="str">
        <f t="shared" si="1966"/>
        <v/>
      </c>
      <c r="DA566" s="326" t="str">
        <f t="shared" si="1966"/>
        <v/>
      </c>
      <c r="DB566" s="327" t="str">
        <f t="shared" si="1966"/>
        <v/>
      </c>
      <c r="DC566" s="327" t="str">
        <f t="shared" si="1966"/>
        <v/>
      </c>
      <c r="DD566" s="327" t="str">
        <f t="shared" si="1966"/>
        <v/>
      </c>
      <c r="DE566" s="326" t="str">
        <f t="shared" si="1966"/>
        <v/>
      </c>
      <c r="DF566" s="326" t="str">
        <f t="shared" si="1966"/>
        <v/>
      </c>
      <c r="DG566" s="326" t="str">
        <f t="shared" si="1966"/>
        <v/>
      </c>
      <c r="DH566" s="326" t="str">
        <f t="shared" si="1966"/>
        <v/>
      </c>
      <c r="DI566" s="326" t="str">
        <f t="shared" si="1966"/>
        <v/>
      </c>
      <c r="DJ566" s="325" t="str">
        <f t="shared" si="1966"/>
        <v/>
      </c>
      <c r="DK566" s="324" t="str">
        <f t="shared" si="1967"/>
        <v/>
      </c>
      <c r="DL566" s="662">
        <f t="shared" si="1968"/>
        <v>3</v>
      </c>
      <c r="DM566" s="617">
        <f t="shared" si="1969"/>
        <v>0</v>
      </c>
      <c r="DN566" s="617">
        <f t="shared" si="1970"/>
        <v>1</v>
      </c>
      <c r="DO566" s="617">
        <f t="shared" si="1971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980">IF(B566="","",B563*B566)</f>
        <v>12</v>
      </c>
      <c r="C567" s="535">
        <f t="shared" si="1980"/>
        <v>9</v>
      </c>
      <c r="D567" s="535" t="str">
        <f t="shared" si="1980"/>
        <v/>
      </c>
      <c r="E567" s="535">
        <f t="shared" si="1980"/>
        <v>15</v>
      </c>
      <c r="F567" s="535" t="str">
        <f t="shared" si="1980"/>
        <v/>
      </c>
      <c r="G567" s="535" t="str">
        <f t="shared" si="1980"/>
        <v/>
      </c>
      <c r="H567" s="535" t="str">
        <f t="shared" si="1980"/>
        <v/>
      </c>
      <c r="I567" s="535" t="str">
        <f t="shared" si="1980"/>
        <v/>
      </c>
      <c r="J567" s="535" t="str">
        <f t="shared" si="1980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981">IF(T566="","",T563*T566)</f>
        <v/>
      </c>
      <c r="U567" s="535" t="str">
        <f t="shared" si="1981"/>
        <v/>
      </c>
      <c r="V567" s="535" t="str">
        <f t="shared" si="1981"/>
        <v/>
      </c>
      <c r="W567" s="535" t="str">
        <f t="shared" si="1981"/>
        <v/>
      </c>
      <c r="X567" s="535" t="str">
        <f t="shared" si="1981"/>
        <v/>
      </c>
      <c r="Y567" s="535" t="str">
        <f t="shared" si="1981"/>
        <v/>
      </c>
      <c r="Z567" s="535" t="str">
        <f t="shared" si="1981"/>
        <v/>
      </c>
      <c r="AA567" s="535" t="str">
        <f t="shared" si="1981"/>
        <v/>
      </c>
      <c r="AB567" s="535" t="str">
        <f t="shared" si="1981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982">IF(AL566="","",AL563*AL566)</f>
        <v>900</v>
      </c>
      <c r="AM567" s="535" t="str">
        <f t="shared" si="1982"/>
        <v/>
      </c>
      <c r="AN567" s="535" t="str">
        <f t="shared" si="1982"/>
        <v/>
      </c>
      <c r="AO567" s="535" t="str">
        <f t="shared" si="1982"/>
        <v/>
      </c>
      <c r="AP567" s="535" t="str">
        <f t="shared" si="1982"/>
        <v/>
      </c>
      <c r="AQ567" s="535" t="str">
        <f t="shared" si="1982"/>
        <v/>
      </c>
      <c r="AR567" s="535" t="str">
        <f t="shared" si="1982"/>
        <v/>
      </c>
      <c r="AS567" s="535" t="str">
        <f t="shared" si="1982"/>
        <v/>
      </c>
      <c r="AT567" s="535" t="str">
        <f t="shared" si="1982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983">IF(BD566="","",BD563*BD566)</f>
        <v/>
      </c>
      <c r="BE567" s="535">
        <f t="shared" si="1983"/>
        <v>900</v>
      </c>
      <c r="BF567" s="535" t="str">
        <f t="shared" si="1983"/>
        <v/>
      </c>
      <c r="BG567" s="535" t="str">
        <f t="shared" si="1983"/>
        <v/>
      </c>
      <c r="BH567" s="535" t="str">
        <f t="shared" si="1983"/>
        <v/>
      </c>
      <c r="BI567" s="535" t="str">
        <f t="shared" si="1983"/>
        <v/>
      </c>
      <c r="BJ567" s="535" t="str">
        <f t="shared" si="1983"/>
        <v/>
      </c>
      <c r="BK567" s="535" t="str">
        <f t="shared" si="1983"/>
        <v/>
      </c>
      <c r="BL567" s="535">
        <f t="shared" si="1983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965"/>
        <v/>
      </c>
      <c r="CE567" s="57" t="str">
        <f t="shared" si="1965"/>
        <v/>
      </c>
      <c r="CF567" s="58" t="str">
        <f t="shared" si="1965"/>
        <v/>
      </c>
      <c r="CG567" s="58" t="str">
        <f t="shared" si="1965"/>
        <v/>
      </c>
      <c r="CH567" s="58" t="str">
        <f t="shared" si="1965"/>
        <v/>
      </c>
      <c r="CI567" s="58" t="str">
        <f t="shared" si="1965"/>
        <v/>
      </c>
      <c r="CJ567" s="58" t="str">
        <f t="shared" si="1965"/>
        <v/>
      </c>
      <c r="CK567" s="78">
        <f t="shared" si="1965"/>
        <v>9</v>
      </c>
      <c r="CL567" s="78">
        <f t="shared" si="1965"/>
        <v>12</v>
      </c>
      <c r="CM567" s="78">
        <f t="shared" si="1965"/>
        <v>15</v>
      </c>
      <c r="CN567" s="58" t="str">
        <f t="shared" si="1965"/>
        <v/>
      </c>
      <c r="CO567" s="58" t="str">
        <f t="shared" si="1965"/>
        <v/>
      </c>
      <c r="CP567" s="58" t="str">
        <f t="shared" si="1965"/>
        <v/>
      </c>
      <c r="CQ567" s="58" t="str">
        <f t="shared" si="1965"/>
        <v/>
      </c>
      <c r="CR567" s="58" t="str">
        <f t="shared" si="1965"/>
        <v/>
      </c>
      <c r="CS567" s="57" t="str">
        <f t="shared" si="1965"/>
        <v/>
      </c>
      <c r="CT567" s="302" t="str">
        <f t="shared" si="1965"/>
        <v/>
      </c>
      <c r="CU567" s="324" t="str">
        <f t="shared" si="1966"/>
        <v/>
      </c>
      <c r="CV567" s="325" t="str">
        <f t="shared" si="1966"/>
        <v/>
      </c>
      <c r="CW567" s="326" t="str">
        <f t="shared" si="1966"/>
        <v/>
      </c>
      <c r="CX567" s="326" t="str">
        <f t="shared" si="1966"/>
        <v/>
      </c>
      <c r="CY567" s="326" t="str">
        <f t="shared" si="1966"/>
        <v/>
      </c>
      <c r="CZ567" s="326" t="str">
        <f t="shared" si="1966"/>
        <v/>
      </c>
      <c r="DA567" s="326" t="str">
        <f t="shared" si="1966"/>
        <v/>
      </c>
      <c r="DB567" s="327" t="str">
        <f t="shared" si="1966"/>
        <v/>
      </c>
      <c r="DC567" s="327" t="str">
        <f t="shared" si="1966"/>
        <v/>
      </c>
      <c r="DD567" s="327" t="str">
        <f t="shared" si="1966"/>
        <v/>
      </c>
      <c r="DE567" s="326" t="str">
        <f t="shared" si="1966"/>
        <v/>
      </c>
      <c r="DF567" s="326" t="str">
        <f t="shared" si="1966"/>
        <v/>
      </c>
      <c r="DG567" s="326" t="str">
        <f t="shared" si="1966"/>
        <v/>
      </c>
      <c r="DH567" s="326" t="str">
        <f t="shared" si="1966"/>
        <v/>
      </c>
      <c r="DI567" s="326" t="str">
        <f t="shared" si="1966"/>
        <v/>
      </c>
      <c r="DJ567" s="325" t="str">
        <f t="shared" si="1966"/>
        <v/>
      </c>
      <c r="DK567" s="324" t="str">
        <f t="shared" si="1967"/>
        <v/>
      </c>
      <c r="DL567" s="662">
        <f t="shared" si="1968"/>
        <v>3</v>
      </c>
      <c r="DM567" s="617">
        <f t="shared" si="1969"/>
        <v>0</v>
      </c>
      <c r="DN567" s="617">
        <f t="shared" si="1970"/>
        <v>1</v>
      </c>
      <c r="DO567" s="617">
        <f t="shared" si="1971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5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966"/>
        <v/>
      </c>
      <c r="CV568" s="313" t="str">
        <f t="shared" si="1966"/>
        <v/>
      </c>
      <c r="CW568" s="314" t="str">
        <f t="shared" si="1966"/>
        <v/>
      </c>
      <c r="CX568" s="314" t="str">
        <f t="shared" si="1966"/>
        <v/>
      </c>
      <c r="CY568" s="314" t="str">
        <f t="shared" si="1966"/>
        <v/>
      </c>
      <c r="CZ568" s="314" t="str">
        <f t="shared" si="1966"/>
        <v/>
      </c>
      <c r="DA568" s="314" t="str">
        <f t="shared" si="1966"/>
        <v/>
      </c>
      <c r="DB568" s="315" t="str">
        <f t="shared" si="1966"/>
        <v/>
      </c>
      <c r="DC568" s="315" t="str">
        <f t="shared" si="1966"/>
        <v/>
      </c>
      <c r="DD568" s="315" t="str">
        <f t="shared" si="1966"/>
        <v/>
      </c>
      <c r="DE568" s="314" t="str">
        <f t="shared" si="1966"/>
        <v/>
      </c>
      <c r="DF568" s="314" t="str">
        <f t="shared" si="1966"/>
        <v/>
      </c>
      <c r="DG568" s="314" t="str">
        <f t="shared" si="1966"/>
        <v/>
      </c>
      <c r="DH568" s="314" t="str">
        <f t="shared" si="1966"/>
        <v/>
      </c>
      <c r="DI568" s="314" t="str">
        <f t="shared" si="1966"/>
        <v/>
      </c>
      <c r="DJ568" s="313" t="str">
        <f t="shared" si="1966"/>
        <v/>
      </c>
      <c r="DK568" s="312" t="str">
        <f t="shared" si="1967"/>
        <v/>
      </c>
      <c r="DL568" s="662">
        <f t="shared" si="1968"/>
        <v>0</v>
      </c>
      <c r="DM568" s="617">
        <f t="shared" si="1969"/>
        <v>0</v>
      </c>
      <c r="DN568" s="617">
        <f t="shared" si="1970"/>
        <v>0</v>
      </c>
      <c r="DO568" s="617">
        <f t="shared" si="1971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965"/>
        <v/>
      </c>
      <c r="CE569" s="57" t="str">
        <f t="shared" si="1965"/>
        <v/>
      </c>
      <c r="CF569" s="58" t="str">
        <f t="shared" si="1965"/>
        <v/>
      </c>
      <c r="CG569" s="58" t="str">
        <f t="shared" si="1965"/>
        <v/>
      </c>
      <c r="CH569" s="58" t="str">
        <f t="shared" si="1965"/>
        <v/>
      </c>
      <c r="CI569" s="58" t="str">
        <f t="shared" si="1965"/>
        <v/>
      </c>
      <c r="CJ569" s="58" t="str">
        <f t="shared" si="1965"/>
        <v/>
      </c>
      <c r="CK569" s="78" t="str">
        <f t="shared" si="1965"/>
        <v/>
      </c>
      <c r="CL569" s="78" t="str">
        <f t="shared" si="1965"/>
        <v/>
      </c>
      <c r="CM569" s="78" t="str">
        <f t="shared" si="1965"/>
        <v/>
      </c>
      <c r="CN569" s="58" t="str">
        <f t="shared" si="1965"/>
        <v/>
      </c>
      <c r="CO569" s="58" t="str">
        <f t="shared" si="1965"/>
        <v/>
      </c>
      <c r="CP569" s="58" t="str">
        <f t="shared" si="1965"/>
        <v/>
      </c>
      <c r="CQ569" s="58" t="str">
        <f t="shared" si="1965"/>
        <v/>
      </c>
      <c r="CR569" s="58" t="str">
        <f t="shared" si="1965"/>
        <v/>
      </c>
      <c r="CS569" s="57" t="str">
        <f t="shared" si="1965"/>
        <v/>
      </c>
      <c r="CT569" s="302" t="str">
        <f t="shared" si="1965"/>
        <v/>
      </c>
      <c r="CU569" s="324" t="str">
        <f t="shared" si="1966"/>
        <v/>
      </c>
      <c r="CV569" s="325" t="str">
        <f t="shared" si="1966"/>
        <v/>
      </c>
      <c r="CW569" s="326" t="str">
        <f t="shared" si="1966"/>
        <v/>
      </c>
      <c r="CX569" s="326" t="str">
        <f t="shared" si="1966"/>
        <v/>
      </c>
      <c r="CY569" s="326" t="str">
        <f t="shared" si="1966"/>
        <v/>
      </c>
      <c r="CZ569" s="326" t="str">
        <f t="shared" si="1966"/>
        <v/>
      </c>
      <c r="DA569" s="326" t="str">
        <f t="shared" si="1966"/>
        <v/>
      </c>
      <c r="DB569" s="327" t="str">
        <f t="shared" si="1966"/>
        <v/>
      </c>
      <c r="DC569" s="327" t="str">
        <f t="shared" si="1966"/>
        <v/>
      </c>
      <c r="DD569" s="327" t="str">
        <f t="shared" si="1966"/>
        <v/>
      </c>
      <c r="DE569" s="326" t="str">
        <f t="shared" si="1966"/>
        <v/>
      </c>
      <c r="DF569" s="326" t="str">
        <f t="shared" si="1966"/>
        <v/>
      </c>
      <c r="DG569" s="326" t="str">
        <f t="shared" si="1966"/>
        <v/>
      </c>
      <c r="DH569" s="326" t="str">
        <f t="shared" si="1966"/>
        <v/>
      </c>
      <c r="DI569" s="326" t="str">
        <f t="shared" si="1966"/>
        <v/>
      </c>
      <c r="DJ569" s="325" t="str">
        <f t="shared" si="1966"/>
        <v/>
      </c>
      <c r="DK569" s="324" t="str">
        <f t="shared" si="1967"/>
        <v/>
      </c>
      <c r="DL569" s="662">
        <f t="shared" si="1968"/>
        <v>0</v>
      </c>
      <c r="DM569" s="617">
        <f t="shared" si="1969"/>
        <v>0</v>
      </c>
      <c r="DN569" s="617">
        <f t="shared" si="1970"/>
        <v>1</v>
      </c>
      <c r="DO569" s="617">
        <f t="shared" si="1971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984">1160*$K$1</f>
        <v>1160</v>
      </c>
      <c r="D570" s="536">
        <f t="shared" si="1984"/>
        <v>1160</v>
      </c>
      <c r="E570" s="536">
        <f t="shared" si="1984"/>
        <v>1160</v>
      </c>
      <c r="F570" s="536">
        <f t="shared" si="1984"/>
        <v>1160</v>
      </c>
      <c r="G570" s="536">
        <v>1160</v>
      </c>
      <c r="H570" s="536">
        <f t="shared" si="1984"/>
        <v>1160</v>
      </c>
      <c r="I570" s="536">
        <f t="shared" si="1984"/>
        <v>1160</v>
      </c>
      <c r="J570" s="536">
        <f t="shared" si="1984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985">1160*$K$1</f>
        <v>1160</v>
      </c>
      <c r="V570" s="536">
        <f t="shared" si="1985"/>
        <v>1160</v>
      </c>
      <c r="W570" s="536">
        <f t="shared" si="1985"/>
        <v>1160</v>
      </c>
      <c r="X570" s="536">
        <f t="shared" si="1985"/>
        <v>1160</v>
      </c>
      <c r="Y570" s="536">
        <f t="shared" si="1985"/>
        <v>1160</v>
      </c>
      <c r="Z570" s="536">
        <f t="shared" si="1985"/>
        <v>1160</v>
      </c>
      <c r="AA570" s="536">
        <f t="shared" si="1985"/>
        <v>1160</v>
      </c>
      <c r="AB570" s="536">
        <f t="shared" si="1985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986">1160*$K$1</f>
        <v>1160</v>
      </c>
      <c r="AN570" s="536">
        <f t="shared" si="1986"/>
        <v>1160</v>
      </c>
      <c r="AO570" s="536">
        <f t="shared" si="1986"/>
        <v>1160</v>
      </c>
      <c r="AP570" s="536">
        <f t="shared" si="1986"/>
        <v>1160</v>
      </c>
      <c r="AQ570" s="536">
        <f t="shared" si="1986"/>
        <v>1160</v>
      </c>
      <c r="AR570" s="536">
        <f t="shared" si="1986"/>
        <v>1160</v>
      </c>
      <c r="AS570" s="536">
        <f t="shared" si="1986"/>
        <v>1160</v>
      </c>
      <c r="AT570" s="536">
        <f t="shared" si="1986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987">1160*$K$1</f>
        <v>1160</v>
      </c>
      <c r="BF570" s="536">
        <f t="shared" si="1987"/>
        <v>1160</v>
      </c>
      <c r="BG570" s="536">
        <f t="shared" si="1987"/>
        <v>1160</v>
      </c>
      <c r="BH570" s="536">
        <f t="shared" si="1987"/>
        <v>1160</v>
      </c>
      <c r="BI570" s="536">
        <f t="shared" si="1987"/>
        <v>1160</v>
      </c>
      <c r="BJ570" s="536">
        <f t="shared" si="1987"/>
        <v>1160</v>
      </c>
      <c r="BK570" s="536">
        <f t="shared" si="1987"/>
        <v>1160</v>
      </c>
      <c r="BL570" s="536">
        <f t="shared" si="1987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987"/>
        <v>1160</v>
      </c>
      <c r="BW570" s="536">
        <f t="shared" si="1987"/>
        <v>1160</v>
      </c>
      <c r="BX570" s="536">
        <f t="shared" si="1987"/>
        <v>1160</v>
      </c>
      <c r="BY570" s="536">
        <f t="shared" si="1987"/>
        <v>1160</v>
      </c>
      <c r="BZ570" s="660">
        <f>IF(DL570&lt;3,"",(SUM(B570:R570)-MIN(B570:R570)-MAX(B570:R570))/(DL570-2))</f>
        <v>1160</v>
      </c>
      <c r="CA570" s="660">
        <f>IF(DM570&lt;3,"",(SUM(T570:AJ570)-MIN(T570:AJ570)-MAX(T570:AJ570))/(DM570-2))</f>
        <v>1160</v>
      </c>
      <c r="CB570" s="660">
        <f>IF(DN570&lt;3,"",(SUM(AL570:BB570)-MIN(AL570:BB570)-MAX(AL570:BB570))/(DN570-2))</f>
        <v>1160</v>
      </c>
      <c r="CC570" s="661">
        <f>IF(DO570&lt;3,"",(SUM(BD570:BT570)-MIN(BD570:BT570)-MAX(BD570:BT570))/(DO570-2))</f>
        <v>1160</v>
      </c>
      <c r="CD570" s="301" t="str">
        <f t="shared" si="1965"/>
        <v/>
      </c>
      <c r="CE570" s="57" t="str">
        <f t="shared" si="1965"/>
        <v/>
      </c>
      <c r="CF570" s="58" t="str">
        <f t="shared" si="1965"/>
        <v/>
      </c>
      <c r="CG570" s="58" t="str">
        <f t="shared" si="1965"/>
        <v/>
      </c>
      <c r="CH570" s="58">
        <f t="shared" si="1965"/>
        <v>1160</v>
      </c>
      <c r="CI570" s="58">
        <f t="shared" si="1965"/>
        <v>1160</v>
      </c>
      <c r="CJ570" s="58">
        <f t="shared" si="1965"/>
        <v>1160</v>
      </c>
      <c r="CK570" s="78">
        <f t="shared" si="1965"/>
        <v>1160</v>
      </c>
      <c r="CL570" s="78">
        <f t="shared" si="1965"/>
        <v>1160</v>
      </c>
      <c r="CM570" s="78">
        <f t="shared" si="1965"/>
        <v>1160</v>
      </c>
      <c r="CN570" s="58">
        <f t="shared" si="1965"/>
        <v>1160</v>
      </c>
      <c r="CO570" s="58">
        <f t="shared" si="1965"/>
        <v>1160</v>
      </c>
      <c r="CP570" s="58">
        <f t="shared" si="1965"/>
        <v>1160</v>
      </c>
      <c r="CQ570" s="58" t="str">
        <f t="shared" si="1965"/>
        <v/>
      </c>
      <c r="CR570" s="58" t="str">
        <f t="shared" si="1965"/>
        <v/>
      </c>
      <c r="CS570" s="57" t="str">
        <f t="shared" si="1965"/>
        <v/>
      </c>
      <c r="CT570" s="302" t="str">
        <f t="shared" si="1965"/>
        <v/>
      </c>
      <c r="CU570" s="324" t="str">
        <f t="shared" si="1966"/>
        <v/>
      </c>
      <c r="CV570" s="325" t="str">
        <f t="shared" si="1966"/>
        <v/>
      </c>
      <c r="CW570" s="326" t="str">
        <f t="shared" si="1966"/>
        <v/>
      </c>
      <c r="CX570" s="326" t="str">
        <f t="shared" si="1966"/>
        <v/>
      </c>
      <c r="CY570" s="326">
        <f t="shared" si="1966"/>
        <v>1160</v>
      </c>
      <c r="CZ570" s="326">
        <f t="shared" si="1966"/>
        <v>1160</v>
      </c>
      <c r="DA570" s="326">
        <f t="shared" si="1966"/>
        <v>1160</v>
      </c>
      <c r="DB570" s="327">
        <f t="shared" si="1966"/>
        <v>1160</v>
      </c>
      <c r="DC570" s="327">
        <f t="shared" si="1966"/>
        <v>1160</v>
      </c>
      <c r="DD570" s="327">
        <f t="shared" si="1966"/>
        <v>1160</v>
      </c>
      <c r="DE570" s="326">
        <f t="shared" si="1966"/>
        <v>1160</v>
      </c>
      <c r="DF570" s="326">
        <f t="shared" si="1966"/>
        <v>1160</v>
      </c>
      <c r="DG570" s="326">
        <f t="shared" si="1966"/>
        <v>1160</v>
      </c>
      <c r="DH570" s="326" t="str">
        <f t="shared" si="1966"/>
        <v/>
      </c>
      <c r="DI570" s="326" t="str">
        <f t="shared" si="1966"/>
        <v/>
      </c>
      <c r="DJ570" s="325" t="str">
        <f t="shared" si="1966"/>
        <v/>
      </c>
      <c r="DK570" s="324" t="str">
        <f t="shared" si="1967"/>
        <v/>
      </c>
      <c r="DL570" s="662">
        <f t="shared" si="1968"/>
        <v>9</v>
      </c>
      <c r="DM570" s="617">
        <f t="shared" si="1969"/>
        <v>9</v>
      </c>
      <c r="DN570" s="617">
        <f t="shared" si="1970"/>
        <v>9</v>
      </c>
      <c r="DO570" s="617">
        <f t="shared" si="1971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988">IF(B569="","",B569*B570/B$46/365/$G$1)</f>
        <v/>
      </c>
      <c r="C571" s="540" t="str">
        <f t="shared" si="1988"/>
        <v/>
      </c>
      <c r="D571" s="540" t="str">
        <f t="shared" si="1988"/>
        <v/>
      </c>
      <c r="E571" s="540" t="str">
        <f t="shared" si="1988"/>
        <v/>
      </c>
      <c r="F571" s="540" t="str">
        <f t="shared" si="1988"/>
        <v/>
      </c>
      <c r="G571" s="540" t="str">
        <f t="shared" si="1988"/>
        <v/>
      </c>
      <c r="H571" s="540" t="str">
        <f t="shared" si="1988"/>
        <v/>
      </c>
      <c r="I571" s="540" t="str">
        <f t="shared" si="1988"/>
        <v/>
      </c>
      <c r="J571" s="540" t="str">
        <f t="shared" si="1988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989">IF(T569="","",T569*T570/T$46/365/$G$1)</f>
        <v/>
      </c>
      <c r="U571" s="540" t="str">
        <f t="shared" si="1989"/>
        <v/>
      </c>
      <c r="V571" s="540" t="str">
        <f t="shared" si="1989"/>
        <v/>
      </c>
      <c r="W571" s="540" t="str">
        <f t="shared" si="1989"/>
        <v/>
      </c>
      <c r="X571" s="540" t="str">
        <f t="shared" si="1989"/>
        <v/>
      </c>
      <c r="Y571" s="540" t="str">
        <f t="shared" si="1989"/>
        <v/>
      </c>
      <c r="Z571" s="540" t="str">
        <f t="shared" si="1989"/>
        <v/>
      </c>
      <c r="AA571" s="540" t="str">
        <f t="shared" si="1989"/>
        <v/>
      </c>
      <c r="AB571" s="540" t="str">
        <f t="shared" si="1989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990">IF(AL569="","",AL569*AL570/AL$46/365/$G$1)</f>
        <v/>
      </c>
      <c r="AM571" s="540" t="str">
        <f t="shared" si="1990"/>
        <v/>
      </c>
      <c r="AN571" s="540" t="str">
        <f t="shared" si="1990"/>
        <v/>
      </c>
      <c r="AO571" s="540">
        <f t="shared" si="1990"/>
        <v>1.3904109589041097E-2</v>
      </c>
      <c r="AP571" s="540" t="str">
        <f t="shared" si="1990"/>
        <v/>
      </c>
      <c r="AQ571" s="540" t="str">
        <f t="shared" si="1990"/>
        <v/>
      </c>
      <c r="AR571" s="540" t="str">
        <f t="shared" si="1990"/>
        <v/>
      </c>
      <c r="AS571" s="540" t="str">
        <f t="shared" si="1990"/>
        <v/>
      </c>
      <c r="AT571" s="540" t="str">
        <f t="shared" si="1990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991">IF(BD569="","",BD569*BD570/BD$46/365/$G$1)</f>
        <v/>
      </c>
      <c r="BE571" s="540" t="str">
        <f t="shared" si="1991"/>
        <v/>
      </c>
      <c r="BF571" s="540" t="str">
        <f t="shared" si="1991"/>
        <v/>
      </c>
      <c r="BG571" s="540" t="str">
        <f t="shared" si="1991"/>
        <v/>
      </c>
      <c r="BH571" s="540" t="str">
        <f t="shared" si="1991"/>
        <v/>
      </c>
      <c r="BI571" s="540" t="str">
        <f t="shared" si="1991"/>
        <v/>
      </c>
      <c r="BJ571" s="540" t="str">
        <f t="shared" si="1991"/>
        <v/>
      </c>
      <c r="BK571" s="540" t="str">
        <f t="shared" si="1991"/>
        <v/>
      </c>
      <c r="BL571" s="540" t="str">
        <f t="shared" si="1991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5" t="str">
        <f t="shared" si="1965"/>
        <v/>
      </c>
      <c r="CF571" s="1116" t="str">
        <f t="shared" si="1965"/>
        <v/>
      </c>
      <c r="CG571" s="1116" t="str">
        <f t="shared" si="1965"/>
        <v/>
      </c>
      <c r="CH571" s="1116" t="str">
        <f t="shared" si="1965"/>
        <v/>
      </c>
      <c r="CI571" s="1116" t="str">
        <f t="shared" si="1965"/>
        <v/>
      </c>
      <c r="CJ571" s="1116" t="str">
        <f t="shared" si="1965"/>
        <v/>
      </c>
      <c r="CK571" s="1117" t="str">
        <f t="shared" si="1965"/>
        <v/>
      </c>
      <c r="CL571" s="1117" t="str">
        <f t="shared" si="1965"/>
        <v/>
      </c>
      <c r="CM571" s="1117" t="str">
        <f t="shared" si="1965"/>
        <v/>
      </c>
      <c r="CN571" s="1116" t="str">
        <f t="shared" si="1965"/>
        <v/>
      </c>
      <c r="CO571" s="1116" t="str">
        <f t="shared" si="1965"/>
        <v/>
      </c>
      <c r="CP571" s="1116" t="str">
        <f t="shared" si="1965"/>
        <v/>
      </c>
      <c r="CQ571" s="1116" t="str">
        <f t="shared" si="1965"/>
        <v/>
      </c>
      <c r="CR571" s="1116" t="str">
        <f t="shared" si="1965"/>
        <v/>
      </c>
      <c r="CS571" s="1115" t="str">
        <f t="shared" si="1965"/>
        <v/>
      </c>
      <c r="CT571" s="1118" t="str">
        <f t="shared" si="1965"/>
        <v/>
      </c>
      <c r="CU571" s="312" t="str">
        <f t="shared" si="1966"/>
        <v/>
      </c>
      <c r="CV571" s="313" t="str">
        <f t="shared" si="1966"/>
        <v/>
      </c>
      <c r="CW571" s="314" t="str">
        <f t="shared" si="1966"/>
        <v/>
      </c>
      <c r="CX571" s="314" t="str">
        <f t="shared" si="1966"/>
        <v/>
      </c>
      <c r="CY571" s="314" t="str">
        <f t="shared" si="1966"/>
        <v/>
      </c>
      <c r="CZ571" s="314" t="str">
        <f t="shared" si="1966"/>
        <v/>
      </c>
      <c r="DA571" s="314" t="str">
        <f t="shared" si="1966"/>
        <v/>
      </c>
      <c r="DB571" s="315" t="str">
        <f t="shared" si="1966"/>
        <v/>
      </c>
      <c r="DC571" s="315" t="str">
        <f t="shared" si="1966"/>
        <v/>
      </c>
      <c r="DD571" s="315" t="str">
        <f t="shared" si="1966"/>
        <v/>
      </c>
      <c r="DE571" s="314" t="str">
        <f t="shared" si="1966"/>
        <v/>
      </c>
      <c r="DF571" s="314" t="str">
        <f t="shared" si="1966"/>
        <v/>
      </c>
      <c r="DG571" s="314" t="str">
        <f t="shared" si="1966"/>
        <v/>
      </c>
      <c r="DH571" s="314" t="str">
        <f t="shared" si="1966"/>
        <v/>
      </c>
      <c r="DI571" s="314" t="str">
        <f t="shared" si="1966"/>
        <v/>
      </c>
      <c r="DJ571" s="313" t="str">
        <f t="shared" si="1966"/>
        <v/>
      </c>
      <c r="DK571" s="312" t="str">
        <f t="shared" si="1967"/>
        <v/>
      </c>
      <c r="DL571" s="428">
        <f t="shared" si="1968"/>
        <v>0</v>
      </c>
      <c r="DM571" s="66">
        <f t="shared" si="1969"/>
        <v>0</v>
      </c>
      <c r="DN571" s="66">
        <f t="shared" si="1970"/>
        <v>1</v>
      </c>
      <c r="DO571" s="66">
        <f t="shared" si="1971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199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92"/>
        <v/>
      </c>
      <c r="CF572" s="58" t="str">
        <f t="shared" si="1992"/>
        <v/>
      </c>
      <c r="CG572" s="58" t="str">
        <f t="shared" si="1992"/>
        <v/>
      </c>
      <c r="CH572" s="58" t="str">
        <f t="shared" si="1992"/>
        <v/>
      </c>
      <c r="CI572" s="58" t="str">
        <f t="shared" si="1992"/>
        <v/>
      </c>
      <c r="CJ572" s="58" t="str">
        <f t="shared" si="1992"/>
        <v/>
      </c>
      <c r="CK572" s="78" t="str">
        <f t="shared" si="1992"/>
        <v/>
      </c>
      <c r="CL572" s="1086" t="str">
        <f t="shared" si="1992"/>
        <v/>
      </c>
      <c r="CM572" s="78" t="str">
        <f t="shared" si="1992"/>
        <v/>
      </c>
      <c r="CN572" s="58" t="str">
        <f t="shared" si="1992"/>
        <v/>
      </c>
      <c r="CO572" s="58" t="str">
        <f t="shared" si="1992"/>
        <v/>
      </c>
      <c r="CP572" s="58" t="str">
        <f t="shared" si="1992"/>
        <v/>
      </c>
      <c r="CQ572" s="58" t="str">
        <f t="shared" si="1992"/>
        <v/>
      </c>
      <c r="CR572" s="58" t="str">
        <f t="shared" si="1992"/>
        <v/>
      </c>
      <c r="CS572" s="57" t="str">
        <f t="shared" si="1992"/>
        <v/>
      </c>
      <c r="CT572" s="302" t="str">
        <f t="shared" si="1992"/>
        <v/>
      </c>
      <c r="CU572" s="324" t="str">
        <f t="shared" ref="CU572:DJ584" si="199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93"/>
        <v/>
      </c>
      <c r="CW572" s="326" t="str">
        <f t="shared" si="1993"/>
        <v/>
      </c>
      <c r="CX572" s="326" t="str">
        <f t="shared" si="1993"/>
        <v/>
      </c>
      <c r="CY572" s="326" t="str">
        <f t="shared" si="1993"/>
        <v/>
      </c>
      <c r="CZ572" s="326" t="str">
        <f t="shared" si="1993"/>
        <v/>
      </c>
      <c r="DA572" s="326" t="str">
        <f t="shared" si="1993"/>
        <v/>
      </c>
      <c r="DB572" s="327" t="str">
        <f t="shared" si="1993"/>
        <v/>
      </c>
      <c r="DC572" s="327" t="str">
        <f t="shared" si="1993"/>
        <v/>
      </c>
      <c r="DD572" s="327" t="str">
        <f t="shared" si="1993"/>
        <v/>
      </c>
      <c r="DE572" s="326" t="str">
        <f t="shared" si="1993"/>
        <v/>
      </c>
      <c r="DF572" s="326" t="str">
        <f t="shared" si="1993"/>
        <v/>
      </c>
      <c r="DG572" s="326" t="str">
        <f t="shared" si="1993"/>
        <v/>
      </c>
      <c r="DH572" s="326" t="str">
        <f t="shared" si="1993"/>
        <v/>
      </c>
      <c r="DI572" s="326" t="str">
        <f t="shared" si="1993"/>
        <v/>
      </c>
      <c r="DJ572" s="325" t="str">
        <f t="shared" si="1993"/>
        <v/>
      </c>
      <c r="DK572" s="324" t="str">
        <f t="shared" ref="DK572:DK595" si="199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1995">COUNT(B572:R572)</f>
        <v>0</v>
      </c>
      <c r="DM572" s="617">
        <f t="shared" ref="DM572:DM578" si="1996">COUNT(T572:AJ572)</f>
        <v>0</v>
      </c>
      <c r="DN572" s="617">
        <f t="shared" ref="DN572:DN578" si="1997">COUNT(AL572:BB572)</f>
        <v>1</v>
      </c>
      <c r="DO572" s="617">
        <f t="shared" ref="DO572:DO578" si="1998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1999">IF(B572="","",B569*B572)</f>
        <v/>
      </c>
      <c r="C573" s="535" t="str">
        <f t="shared" si="1999"/>
        <v/>
      </c>
      <c r="D573" s="535" t="str">
        <f t="shared" si="1999"/>
        <v/>
      </c>
      <c r="E573" s="535" t="str">
        <f t="shared" si="1999"/>
        <v/>
      </c>
      <c r="F573" s="535" t="str">
        <f t="shared" si="1999"/>
        <v/>
      </c>
      <c r="G573" s="535" t="str">
        <f t="shared" si="1999"/>
        <v/>
      </c>
      <c r="H573" s="535" t="str">
        <f t="shared" si="1999"/>
        <v/>
      </c>
      <c r="I573" s="535" t="str">
        <f t="shared" si="1999"/>
        <v/>
      </c>
      <c r="J573" s="535" t="str">
        <f t="shared" si="1999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000">IF(T572="","",T569*T572)</f>
        <v/>
      </c>
      <c r="U573" s="535" t="str">
        <f t="shared" si="2000"/>
        <v/>
      </c>
      <c r="V573" s="535" t="str">
        <f t="shared" si="2000"/>
        <v/>
      </c>
      <c r="W573" s="535" t="str">
        <f t="shared" si="2000"/>
        <v/>
      </c>
      <c r="X573" s="535" t="str">
        <f t="shared" si="2000"/>
        <v/>
      </c>
      <c r="Y573" s="535" t="str">
        <f t="shared" si="2000"/>
        <v/>
      </c>
      <c r="Z573" s="535" t="str">
        <f t="shared" si="2000"/>
        <v/>
      </c>
      <c r="AA573" s="535" t="str">
        <f t="shared" si="2000"/>
        <v/>
      </c>
      <c r="AB573" s="535" t="str">
        <f t="shared" si="2000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2001">IF(AL572="","",AL569*AL572)</f>
        <v/>
      </c>
      <c r="AM573" s="535" t="str">
        <f t="shared" si="2001"/>
        <v/>
      </c>
      <c r="AN573" s="535" t="str">
        <f t="shared" si="2001"/>
        <v/>
      </c>
      <c r="AO573" s="535">
        <f t="shared" si="2001"/>
        <v>36.75</v>
      </c>
      <c r="AP573" s="535" t="str">
        <f t="shared" si="2001"/>
        <v/>
      </c>
      <c r="AQ573" s="535" t="str">
        <f t="shared" si="2001"/>
        <v/>
      </c>
      <c r="AR573" s="535" t="str">
        <f t="shared" si="2001"/>
        <v/>
      </c>
      <c r="AS573" s="535" t="str">
        <f t="shared" si="2001"/>
        <v/>
      </c>
      <c r="AT573" s="535" t="str">
        <f t="shared" si="2001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2002">IF(BD572="","",BD569*BD572)</f>
        <v/>
      </c>
      <c r="BE573" s="535" t="str">
        <f t="shared" si="2002"/>
        <v/>
      </c>
      <c r="BF573" s="535" t="str">
        <f t="shared" si="2002"/>
        <v/>
      </c>
      <c r="BG573" s="535" t="str">
        <f t="shared" si="2002"/>
        <v/>
      </c>
      <c r="BH573" s="535" t="str">
        <f t="shared" si="2002"/>
        <v/>
      </c>
      <c r="BI573" s="535" t="str">
        <f t="shared" si="2002"/>
        <v/>
      </c>
      <c r="BJ573" s="535" t="str">
        <f t="shared" si="2002"/>
        <v/>
      </c>
      <c r="BK573" s="535" t="str">
        <f t="shared" si="2002"/>
        <v/>
      </c>
      <c r="BL573" s="535" t="str">
        <f t="shared" si="2002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 t="str">
        <f t="shared" ref="BZ573:BZ576" si="2003">IF(DL573&lt;3,"",(SUM(B573:R573)-MIN(B573:R573)-MAX(B573:R573))/(DL573-2))</f>
        <v/>
      </c>
      <c r="CA573" s="660" t="str">
        <f t="shared" ref="CA573:CA576" si="2004">IF(DM573&lt;3,"",(SUM(T573:AJ573)-MIN(T573:AJ573)-MAX(T573:AJ573))/(DM573-2))</f>
        <v/>
      </c>
      <c r="CB573" s="660" t="str">
        <f t="shared" ref="CB573:CB576" si="2005">IF(DN573&lt;3,"",(SUM(AL573:BB573)-MIN(AL573:BB573)-MAX(AL573:BB573))/(DN573-2))</f>
        <v/>
      </c>
      <c r="CC573" s="661" t="str">
        <f t="shared" ref="CC573:CC576" si="2006">IF(DO573&lt;3,"",(SUM(BD573:BT573)-MIN(BD573:BT573)-MAX(BD573:BT573))/(DO573-2))</f>
        <v/>
      </c>
      <c r="CD573" s="301" t="str">
        <f t="shared" si="1992"/>
        <v/>
      </c>
      <c r="CE573" s="57" t="str">
        <f t="shared" si="1992"/>
        <v/>
      </c>
      <c r="CF573" s="58" t="str">
        <f t="shared" si="1992"/>
        <v/>
      </c>
      <c r="CG573" s="58" t="str">
        <f t="shared" si="1992"/>
        <v/>
      </c>
      <c r="CH573" s="58" t="str">
        <f t="shared" si="1992"/>
        <v/>
      </c>
      <c r="CI573" s="58" t="str">
        <f t="shared" si="1992"/>
        <v/>
      </c>
      <c r="CJ573" s="58" t="str">
        <f t="shared" si="1992"/>
        <v/>
      </c>
      <c r="CK573" s="78" t="str">
        <f t="shared" si="1992"/>
        <v/>
      </c>
      <c r="CL573" s="78" t="str">
        <f t="shared" si="1992"/>
        <v/>
      </c>
      <c r="CM573" s="78" t="str">
        <f t="shared" si="1992"/>
        <v/>
      </c>
      <c r="CN573" s="58" t="str">
        <f t="shared" si="1992"/>
        <v/>
      </c>
      <c r="CO573" s="58" t="str">
        <f t="shared" si="1992"/>
        <v/>
      </c>
      <c r="CP573" s="58" t="str">
        <f t="shared" si="1992"/>
        <v/>
      </c>
      <c r="CQ573" s="58" t="str">
        <f t="shared" si="1992"/>
        <v/>
      </c>
      <c r="CR573" s="58" t="str">
        <f t="shared" si="1992"/>
        <v/>
      </c>
      <c r="CS573" s="57" t="str">
        <f t="shared" si="1992"/>
        <v/>
      </c>
      <c r="CT573" s="302" t="str">
        <f t="shared" si="1992"/>
        <v/>
      </c>
      <c r="CU573" s="324" t="str">
        <f t="shared" si="1993"/>
        <v/>
      </c>
      <c r="CV573" s="325" t="str">
        <f t="shared" si="1993"/>
        <v/>
      </c>
      <c r="CW573" s="326" t="str">
        <f t="shared" si="1993"/>
        <v/>
      </c>
      <c r="CX573" s="326" t="str">
        <f t="shared" si="1993"/>
        <v/>
      </c>
      <c r="CY573" s="326" t="str">
        <f t="shared" si="1993"/>
        <v/>
      </c>
      <c r="CZ573" s="326" t="str">
        <f t="shared" si="1993"/>
        <v/>
      </c>
      <c r="DA573" s="326" t="str">
        <f t="shared" si="1993"/>
        <v/>
      </c>
      <c r="DB573" s="327" t="str">
        <f t="shared" si="1993"/>
        <v/>
      </c>
      <c r="DC573" s="327" t="str">
        <f t="shared" si="1993"/>
        <v/>
      </c>
      <c r="DD573" s="327" t="str">
        <f t="shared" si="1993"/>
        <v/>
      </c>
      <c r="DE573" s="326" t="str">
        <f t="shared" si="1993"/>
        <v/>
      </c>
      <c r="DF573" s="326" t="str">
        <f t="shared" si="1993"/>
        <v/>
      </c>
      <c r="DG573" s="326" t="str">
        <f t="shared" si="1993"/>
        <v/>
      </c>
      <c r="DH573" s="326" t="str">
        <f t="shared" si="1993"/>
        <v/>
      </c>
      <c r="DI573" s="326" t="str">
        <f t="shared" si="1993"/>
        <v/>
      </c>
      <c r="DJ573" s="325" t="str">
        <f t="shared" si="1993"/>
        <v/>
      </c>
      <c r="DK573" s="324" t="str">
        <f t="shared" si="1994"/>
        <v/>
      </c>
      <c r="DL573" s="662">
        <f t="shared" si="1995"/>
        <v>0</v>
      </c>
      <c r="DM573" s="617">
        <f t="shared" si="1996"/>
        <v>0</v>
      </c>
      <c r="DN573" s="617">
        <f t="shared" si="1997"/>
        <v>1</v>
      </c>
      <c r="DO573" s="617">
        <f t="shared" si="1998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5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 t="str">
        <f t="shared" si="2003"/>
        <v/>
      </c>
      <c r="CA574" s="660" t="str">
        <f t="shared" si="2004"/>
        <v/>
      </c>
      <c r="CB574" s="660" t="str">
        <f t="shared" si="2005"/>
        <v/>
      </c>
      <c r="CC574" s="661" t="str">
        <f t="shared" si="2006"/>
        <v/>
      </c>
      <c r="CD574" s="301" t="str">
        <f t="shared" si="1992"/>
        <v/>
      </c>
      <c r="CE574" s="57" t="str">
        <f t="shared" si="1992"/>
        <v/>
      </c>
      <c r="CF574" s="58" t="str">
        <f t="shared" si="1992"/>
        <v/>
      </c>
      <c r="CG574" s="58" t="str">
        <f t="shared" si="1992"/>
        <v/>
      </c>
      <c r="CH574" s="58" t="str">
        <f t="shared" si="1992"/>
        <v/>
      </c>
      <c r="CI574" s="58" t="str">
        <f t="shared" si="1992"/>
        <v/>
      </c>
      <c r="CJ574" s="58" t="str">
        <f t="shared" si="1992"/>
        <v/>
      </c>
      <c r="CK574" s="78" t="str">
        <f t="shared" si="1992"/>
        <v/>
      </c>
      <c r="CL574" s="78">
        <f t="shared" si="1992"/>
        <v>5</v>
      </c>
      <c r="CM574" s="78">
        <f t="shared" si="1992"/>
        <v>5</v>
      </c>
      <c r="CN574" s="58" t="str">
        <f t="shared" si="1992"/>
        <v/>
      </c>
      <c r="CO574" s="58" t="str">
        <f t="shared" si="1992"/>
        <v/>
      </c>
      <c r="CP574" s="58" t="str">
        <f t="shared" si="1992"/>
        <v/>
      </c>
      <c r="CQ574" s="58" t="str">
        <f t="shared" si="1992"/>
        <v/>
      </c>
      <c r="CR574" s="58" t="str">
        <f t="shared" si="1992"/>
        <v/>
      </c>
      <c r="CS574" s="57" t="str">
        <f t="shared" si="1992"/>
        <v/>
      </c>
      <c r="CT574" s="302" t="str">
        <f t="shared" si="1992"/>
        <v/>
      </c>
      <c r="CU574" s="324" t="str">
        <f t="shared" si="1993"/>
        <v/>
      </c>
      <c r="CV574" s="325" t="str">
        <f t="shared" si="1993"/>
        <v/>
      </c>
      <c r="CW574" s="326" t="str">
        <f t="shared" si="1993"/>
        <v/>
      </c>
      <c r="CX574" s="326" t="str">
        <f t="shared" si="1993"/>
        <v/>
      </c>
      <c r="CY574" s="326" t="str">
        <f t="shared" si="1993"/>
        <v/>
      </c>
      <c r="CZ574" s="326" t="str">
        <f t="shared" si="1993"/>
        <v/>
      </c>
      <c r="DA574" s="326" t="str">
        <f t="shared" si="1993"/>
        <v/>
      </c>
      <c r="DB574" s="327" t="str">
        <f t="shared" si="1993"/>
        <v/>
      </c>
      <c r="DC574" s="327">
        <f t="shared" si="1993"/>
        <v>5</v>
      </c>
      <c r="DD574" s="327" t="str">
        <f t="shared" si="1993"/>
        <v/>
      </c>
      <c r="DE574" s="326" t="str">
        <f t="shared" si="1993"/>
        <v/>
      </c>
      <c r="DF574" s="326" t="str">
        <f t="shared" si="1993"/>
        <v/>
      </c>
      <c r="DG574" s="326" t="str">
        <f t="shared" si="1993"/>
        <v/>
      </c>
      <c r="DH574" s="326" t="str">
        <f t="shared" si="1993"/>
        <v/>
      </c>
      <c r="DI574" s="326" t="str">
        <f t="shared" si="1993"/>
        <v/>
      </c>
      <c r="DJ574" s="325" t="str">
        <f t="shared" si="1993"/>
        <v/>
      </c>
      <c r="DK574" s="324" t="str">
        <f t="shared" si="1994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 t="str">
        <f t="shared" si="2003"/>
        <v/>
      </c>
      <c r="CA575" s="660" t="str">
        <f t="shared" si="2004"/>
        <v/>
      </c>
      <c r="CB575" s="660" t="str">
        <f t="shared" si="2005"/>
        <v/>
      </c>
      <c r="CC575" s="661" t="str">
        <f t="shared" si="2006"/>
        <v/>
      </c>
      <c r="CD575" s="301" t="str">
        <f t="shared" si="1992"/>
        <v/>
      </c>
      <c r="CE575" s="57" t="str">
        <f t="shared" si="1992"/>
        <v/>
      </c>
      <c r="CF575" s="58" t="str">
        <f t="shared" si="1992"/>
        <v/>
      </c>
      <c r="CG575" s="58" t="str">
        <f t="shared" si="1992"/>
        <v/>
      </c>
      <c r="CH575" s="58" t="str">
        <f t="shared" si="1992"/>
        <v/>
      </c>
      <c r="CI575" s="58" t="str">
        <f t="shared" si="1992"/>
        <v/>
      </c>
      <c r="CJ575" s="58" t="str">
        <f t="shared" si="1992"/>
        <v/>
      </c>
      <c r="CK575" s="78" t="str">
        <f t="shared" si="1992"/>
        <v/>
      </c>
      <c r="CL575" s="78">
        <f t="shared" si="1992"/>
        <v>16</v>
      </c>
      <c r="CM575" s="78">
        <f t="shared" si="1992"/>
        <v>64</v>
      </c>
      <c r="CN575" s="58" t="str">
        <f t="shared" si="1992"/>
        <v/>
      </c>
      <c r="CO575" s="58" t="str">
        <f t="shared" si="1992"/>
        <v/>
      </c>
      <c r="CP575" s="58" t="str">
        <f t="shared" si="1992"/>
        <v/>
      </c>
      <c r="CQ575" s="58" t="str">
        <f t="shared" si="1992"/>
        <v/>
      </c>
      <c r="CR575" s="58" t="str">
        <f t="shared" si="1992"/>
        <v/>
      </c>
      <c r="CS575" s="57" t="str">
        <f t="shared" si="1992"/>
        <v/>
      </c>
      <c r="CT575" s="302" t="str">
        <f t="shared" si="1992"/>
        <v/>
      </c>
      <c r="CU575" s="324" t="str">
        <f t="shared" si="1993"/>
        <v/>
      </c>
      <c r="CV575" s="325" t="str">
        <f t="shared" si="1993"/>
        <v/>
      </c>
      <c r="CW575" s="326" t="str">
        <f t="shared" si="1993"/>
        <v/>
      </c>
      <c r="CX575" s="326" t="str">
        <f t="shared" si="1993"/>
        <v/>
      </c>
      <c r="CY575" s="326" t="str">
        <f t="shared" si="1993"/>
        <v/>
      </c>
      <c r="CZ575" s="326" t="str">
        <f t="shared" si="1993"/>
        <v/>
      </c>
      <c r="DA575" s="326" t="str">
        <f t="shared" si="1993"/>
        <v/>
      </c>
      <c r="DB575" s="327" t="str">
        <f t="shared" si="1993"/>
        <v/>
      </c>
      <c r="DC575" s="327">
        <f t="shared" si="1993"/>
        <v>12</v>
      </c>
      <c r="DD575" s="327" t="str">
        <f t="shared" si="1993"/>
        <v/>
      </c>
      <c r="DE575" s="326" t="str">
        <f t="shared" si="1993"/>
        <v/>
      </c>
      <c r="DF575" s="326" t="str">
        <f t="shared" si="1993"/>
        <v/>
      </c>
      <c r="DG575" s="326" t="str">
        <f t="shared" si="1993"/>
        <v/>
      </c>
      <c r="DH575" s="326" t="str">
        <f t="shared" si="1993"/>
        <v/>
      </c>
      <c r="DI575" s="326" t="str">
        <f t="shared" si="1993"/>
        <v/>
      </c>
      <c r="DJ575" s="325" t="str">
        <f t="shared" si="1993"/>
        <v/>
      </c>
      <c r="DK575" s="324" t="str">
        <f t="shared" si="1994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007">360*$K$1</f>
        <v>360</v>
      </c>
      <c r="D576" s="536">
        <f t="shared" si="2007"/>
        <v>360</v>
      </c>
      <c r="E576" s="536">
        <f t="shared" si="2007"/>
        <v>360</v>
      </c>
      <c r="F576" s="536">
        <f t="shared" si="2007"/>
        <v>360</v>
      </c>
      <c r="G576" s="536">
        <f t="shared" si="2007"/>
        <v>360</v>
      </c>
      <c r="H576" s="536">
        <f t="shared" si="2007"/>
        <v>360</v>
      </c>
      <c r="I576" s="536">
        <f t="shared" si="2007"/>
        <v>360</v>
      </c>
      <c r="J576" s="536">
        <f t="shared" si="2007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2008">360*$K$1</f>
        <v>360</v>
      </c>
      <c r="V576" s="536">
        <f t="shared" si="2008"/>
        <v>360</v>
      </c>
      <c r="W576" s="536">
        <f t="shared" si="2008"/>
        <v>360</v>
      </c>
      <c r="X576" s="536">
        <f t="shared" si="2008"/>
        <v>360</v>
      </c>
      <c r="Y576" s="536">
        <f t="shared" si="2008"/>
        <v>360</v>
      </c>
      <c r="Z576" s="536">
        <f t="shared" si="2008"/>
        <v>360</v>
      </c>
      <c r="AA576" s="536">
        <f t="shared" si="2008"/>
        <v>360</v>
      </c>
      <c r="AB576" s="536">
        <f t="shared" si="2008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2009">360*$K$1</f>
        <v>360</v>
      </c>
      <c r="AN576" s="536">
        <f t="shared" si="2009"/>
        <v>360</v>
      </c>
      <c r="AO576" s="536">
        <f t="shared" si="2009"/>
        <v>360</v>
      </c>
      <c r="AP576" s="536">
        <f t="shared" si="2009"/>
        <v>360</v>
      </c>
      <c r="AQ576" s="536">
        <f t="shared" si="2009"/>
        <v>360</v>
      </c>
      <c r="AR576" s="536">
        <f t="shared" si="2009"/>
        <v>360</v>
      </c>
      <c r="AS576" s="536">
        <f t="shared" si="2009"/>
        <v>360</v>
      </c>
      <c r="AT576" s="536">
        <f t="shared" si="2009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2010">360*$K$1</f>
        <v>360</v>
      </c>
      <c r="BF576" s="536">
        <f t="shared" si="2010"/>
        <v>360</v>
      </c>
      <c r="BG576" s="536">
        <f t="shared" si="2010"/>
        <v>360</v>
      </c>
      <c r="BH576" s="536">
        <f t="shared" si="2010"/>
        <v>360</v>
      </c>
      <c r="BI576" s="536">
        <f t="shared" si="2010"/>
        <v>360</v>
      </c>
      <c r="BJ576" s="536">
        <f t="shared" si="2010"/>
        <v>360</v>
      </c>
      <c r="BK576" s="536">
        <f t="shared" si="2010"/>
        <v>360</v>
      </c>
      <c r="BL576" s="536">
        <f t="shared" si="2010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2010"/>
        <v>360</v>
      </c>
      <c r="BW576" s="536">
        <f t="shared" si="2010"/>
        <v>360</v>
      </c>
      <c r="BX576" s="536">
        <f t="shared" si="2010"/>
        <v>360</v>
      </c>
      <c r="BY576" s="536">
        <f t="shared" si="2010"/>
        <v>360</v>
      </c>
      <c r="BZ576" s="660">
        <f t="shared" si="2003"/>
        <v>360</v>
      </c>
      <c r="CA576" s="660">
        <f t="shared" si="2004"/>
        <v>360</v>
      </c>
      <c r="CB576" s="660">
        <f t="shared" si="2005"/>
        <v>360</v>
      </c>
      <c r="CC576" s="661">
        <f t="shared" si="2006"/>
        <v>360</v>
      </c>
      <c r="CD576" s="301" t="str">
        <f t="shared" si="1992"/>
        <v/>
      </c>
      <c r="CE576" s="57" t="str">
        <f t="shared" si="1992"/>
        <v/>
      </c>
      <c r="CF576" s="58" t="str">
        <f t="shared" si="1992"/>
        <v/>
      </c>
      <c r="CG576" s="58" t="str">
        <f t="shared" si="1992"/>
        <v/>
      </c>
      <c r="CH576" s="58">
        <f t="shared" si="1992"/>
        <v>360</v>
      </c>
      <c r="CI576" s="58">
        <f t="shared" si="1992"/>
        <v>360</v>
      </c>
      <c r="CJ576" s="58">
        <f t="shared" si="1992"/>
        <v>360</v>
      </c>
      <c r="CK576" s="78">
        <f t="shared" si="1992"/>
        <v>360</v>
      </c>
      <c r="CL576" s="78">
        <f t="shared" si="1992"/>
        <v>360</v>
      </c>
      <c r="CM576" s="78">
        <f t="shared" si="1992"/>
        <v>360</v>
      </c>
      <c r="CN576" s="58">
        <f t="shared" si="1992"/>
        <v>360</v>
      </c>
      <c r="CO576" s="58">
        <f t="shared" si="1992"/>
        <v>360</v>
      </c>
      <c r="CP576" s="58">
        <f t="shared" si="1992"/>
        <v>360</v>
      </c>
      <c r="CQ576" s="58" t="str">
        <f t="shared" si="1992"/>
        <v/>
      </c>
      <c r="CR576" s="58" t="str">
        <f t="shared" si="1992"/>
        <v/>
      </c>
      <c r="CS576" s="57" t="str">
        <f t="shared" si="1992"/>
        <v/>
      </c>
      <c r="CT576" s="302" t="str">
        <f t="shared" si="1992"/>
        <v/>
      </c>
      <c r="CU576" s="324" t="str">
        <f t="shared" si="1993"/>
        <v/>
      </c>
      <c r="CV576" s="325" t="str">
        <f t="shared" si="1993"/>
        <v/>
      </c>
      <c r="CW576" s="326" t="str">
        <f t="shared" si="1993"/>
        <v/>
      </c>
      <c r="CX576" s="326" t="str">
        <f t="shared" si="1993"/>
        <v/>
      </c>
      <c r="CY576" s="326">
        <f t="shared" si="1993"/>
        <v>360</v>
      </c>
      <c r="CZ576" s="326">
        <f t="shared" si="1993"/>
        <v>360</v>
      </c>
      <c r="DA576" s="326">
        <f t="shared" si="1993"/>
        <v>360</v>
      </c>
      <c r="DB576" s="327">
        <f t="shared" si="1993"/>
        <v>360</v>
      </c>
      <c r="DC576" s="327">
        <f t="shared" si="1993"/>
        <v>360</v>
      </c>
      <c r="DD576" s="327">
        <f t="shared" si="1993"/>
        <v>360</v>
      </c>
      <c r="DE576" s="326">
        <f t="shared" si="1993"/>
        <v>360</v>
      </c>
      <c r="DF576" s="326">
        <f t="shared" si="1993"/>
        <v>360</v>
      </c>
      <c r="DG576" s="326">
        <f t="shared" si="1993"/>
        <v>360</v>
      </c>
      <c r="DH576" s="326" t="str">
        <f t="shared" si="1993"/>
        <v/>
      </c>
      <c r="DI576" s="326" t="str">
        <f t="shared" si="1993"/>
        <v/>
      </c>
      <c r="DJ576" s="325" t="str">
        <f t="shared" si="1993"/>
        <v/>
      </c>
      <c r="DK576" s="324" t="str">
        <f t="shared" si="1994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011">IF(B575="","",B575*B576/B$46/365/$G$1)</f>
        <v/>
      </c>
      <c r="C577" s="540">
        <f t="shared" si="2011"/>
        <v>4.2941012021246849E-3</v>
      </c>
      <c r="D577" s="540">
        <f t="shared" si="2011"/>
        <v>1.2524461839530333E-3</v>
      </c>
      <c r="E577" s="540" t="str">
        <f t="shared" si="2011"/>
        <v/>
      </c>
      <c r="F577" s="540" t="str">
        <f t="shared" si="2011"/>
        <v/>
      </c>
      <c r="G577" s="540" t="str">
        <f t="shared" si="2011"/>
        <v/>
      </c>
      <c r="H577" s="540" t="str">
        <f t="shared" si="2011"/>
        <v/>
      </c>
      <c r="I577" s="540" t="str">
        <f t="shared" si="2011"/>
        <v/>
      </c>
      <c r="J577" s="540" t="str">
        <f t="shared" si="2011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012">IF(T575="","",T575*T576/T$46/365/$G$1)</f>
        <v>7.0450097847358118E-4</v>
      </c>
      <c r="U577" s="540" t="str">
        <f t="shared" si="2012"/>
        <v/>
      </c>
      <c r="V577" s="540" t="str">
        <f t="shared" si="2012"/>
        <v/>
      </c>
      <c r="W577" s="540" t="str">
        <f t="shared" si="2012"/>
        <v/>
      </c>
      <c r="X577" s="540" t="str">
        <f t="shared" si="2012"/>
        <v/>
      </c>
      <c r="Y577" s="540" t="str">
        <f t="shared" si="2012"/>
        <v/>
      </c>
      <c r="Z577" s="540" t="str">
        <f t="shared" si="2012"/>
        <v/>
      </c>
      <c r="AA577" s="540" t="str">
        <f t="shared" si="2012"/>
        <v/>
      </c>
      <c r="AB577" s="540" t="str">
        <f t="shared" si="2012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2013">IF(AL575="","",AL575*AL576/AL$46/365/$G$1)</f>
        <v/>
      </c>
      <c r="AM577" s="540" t="str">
        <f t="shared" si="2013"/>
        <v/>
      </c>
      <c r="AN577" s="540" t="str">
        <f t="shared" si="2013"/>
        <v/>
      </c>
      <c r="AO577" s="540" t="str">
        <f t="shared" si="2013"/>
        <v/>
      </c>
      <c r="AP577" s="540" t="str">
        <f t="shared" si="2013"/>
        <v/>
      </c>
      <c r="AQ577" s="540" t="str">
        <f t="shared" si="2013"/>
        <v/>
      </c>
      <c r="AR577" s="540" t="str">
        <f t="shared" si="2013"/>
        <v/>
      </c>
      <c r="AS577" s="540" t="str">
        <f t="shared" si="2013"/>
        <v/>
      </c>
      <c r="AT577" s="540" t="str">
        <f t="shared" si="2013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2014">IF(BD575="","",BD575*BD576/BD$46/365/$G$1)</f>
        <v/>
      </c>
      <c r="BE577" s="540" t="str">
        <f t="shared" si="2014"/>
        <v/>
      </c>
      <c r="BF577" s="540">
        <f t="shared" si="2014"/>
        <v>4.2270058708414874E-4</v>
      </c>
      <c r="BG577" s="540" t="str">
        <f t="shared" si="2014"/>
        <v/>
      </c>
      <c r="BH577" s="540" t="str">
        <f t="shared" si="2014"/>
        <v/>
      </c>
      <c r="BI577" s="540" t="str">
        <f t="shared" si="2014"/>
        <v/>
      </c>
      <c r="BJ577" s="540">
        <f t="shared" si="2014"/>
        <v>1.2524461839530333E-3</v>
      </c>
      <c r="BK577" s="540" t="str">
        <f t="shared" si="2014"/>
        <v/>
      </c>
      <c r="BL577" s="540" t="str">
        <f t="shared" si="2014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5" t="str">
        <f t="shared" si="1992"/>
        <v/>
      </c>
      <c r="CF577" s="1116" t="str">
        <f t="shared" si="1992"/>
        <v/>
      </c>
      <c r="CG577" s="1116" t="str">
        <f t="shared" si="1992"/>
        <v/>
      </c>
      <c r="CH577" s="1116" t="str">
        <f t="shared" si="1992"/>
        <v/>
      </c>
      <c r="CI577" s="1116" t="str">
        <f t="shared" si="1992"/>
        <v/>
      </c>
      <c r="CJ577" s="1116" t="str">
        <f t="shared" si="1992"/>
        <v/>
      </c>
      <c r="CK577" s="1117" t="str">
        <f t="shared" si="1992"/>
        <v/>
      </c>
      <c r="CL577" s="1117">
        <f t="shared" si="1992"/>
        <v>1.2524461839530333E-3</v>
      </c>
      <c r="CM577" s="1117">
        <f t="shared" si="1992"/>
        <v>4.2941012021246849E-3</v>
      </c>
      <c r="CN577" s="1116" t="str">
        <f t="shared" si="1992"/>
        <v/>
      </c>
      <c r="CO577" s="1116" t="str">
        <f t="shared" si="1992"/>
        <v/>
      </c>
      <c r="CP577" s="1116" t="str">
        <f t="shared" si="1992"/>
        <v/>
      </c>
      <c r="CQ577" s="1116" t="str">
        <f t="shared" si="1992"/>
        <v/>
      </c>
      <c r="CR577" s="1116" t="str">
        <f t="shared" si="1992"/>
        <v/>
      </c>
      <c r="CS577" s="1115" t="str">
        <f t="shared" si="1992"/>
        <v/>
      </c>
      <c r="CT577" s="1118" t="str">
        <f t="shared" si="1992"/>
        <v/>
      </c>
      <c r="CU577" s="312" t="str">
        <f t="shared" si="1993"/>
        <v/>
      </c>
      <c r="CV577" s="313" t="str">
        <f t="shared" si="1993"/>
        <v/>
      </c>
      <c r="CW577" s="314" t="str">
        <f t="shared" si="1993"/>
        <v/>
      </c>
      <c r="CX577" s="314" t="str">
        <f t="shared" si="1993"/>
        <v/>
      </c>
      <c r="CY577" s="314" t="str">
        <f t="shared" si="1993"/>
        <v/>
      </c>
      <c r="CZ577" s="314" t="str">
        <f t="shared" si="1993"/>
        <v/>
      </c>
      <c r="DA577" s="314" t="str">
        <f t="shared" si="1993"/>
        <v/>
      </c>
      <c r="DB577" s="315" t="str">
        <f t="shared" si="1993"/>
        <v/>
      </c>
      <c r="DC577" s="315">
        <f t="shared" si="1993"/>
        <v>7.0450097847358118E-4</v>
      </c>
      <c r="DD577" s="315" t="str">
        <f t="shared" si="1993"/>
        <v/>
      </c>
      <c r="DE577" s="314" t="str">
        <f t="shared" si="1993"/>
        <v/>
      </c>
      <c r="DF577" s="314" t="str">
        <f t="shared" si="1993"/>
        <v/>
      </c>
      <c r="DG577" s="314" t="str">
        <f t="shared" si="1993"/>
        <v/>
      </c>
      <c r="DH577" s="314" t="str">
        <f t="shared" si="1993"/>
        <v/>
      </c>
      <c r="DI577" s="314" t="str">
        <f t="shared" si="1993"/>
        <v/>
      </c>
      <c r="DJ577" s="313" t="str">
        <f t="shared" si="1993"/>
        <v/>
      </c>
      <c r="DK577" s="312" t="str">
        <f t="shared" si="1994"/>
        <v/>
      </c>
      <c r="DL577" s="428">
        <f t="shared" si="1995"/>
        <v>2</v>
      </c>
      <c r="DM577" s="66">
        <f t="shared" si="1996"/>
        <v>1</v>
      </c>
      <c r="DN577" s="66">
        <f t="shared" si="1997"/>
        <v>0</v>
      </c>
      <c r="DO577" s="66">
        <f t="shared" si="1998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 t="shared" ref="BZ578:BZ582" si="2015">IF(DL578&lt;3,"",(SUM(B578:R578)-MIN(B578:R578)-MAX(B578:R578))/(DL578-2))</f>
        <v/>
      </c>
      <c r="CA578" s="660" t="str">
        <f t="shared" ref="CA578:CA582" si="2016">IF(DM578&lt;3,"",(SUM(T578:AJ578)-MIN(T578:AJ578)-MAX(T578:AJ578))/(DM578-2))</f>
        <v/>
      </c>
      <c r="CB578" s="660" t="str">
        <f t="shared" ref="CB578:CB582" si="2017">IF(DN578&lt;3,"",(SUM(AL578:BB578)-MIN(AL578:BB578)-MAX(AL578:BB578))/(DN578-2))</f>
        <v/>
      </c>
      <c r="CC578" s="661" t="str">
        <f t="shared" ref="CC578:CC582" si="2018">IF(DO578&lt;3,"",(SUM(BD578:BT578)-MIN(BD578:BT578)-MAX(BD578:BT578))/(DO578-2))</f>
        <v/>
      </c>
      <c r="CD578" s="301" t="str">
        <f t="shared" si="1992"/>
        <v/>
      </c>
      <c r="CE578" s="57" t="str">
        <f t="shared" si="1992"/>
        <v/>
      </c>
      <c r="CF578" s="58" t="str">
        <f t="shared" si="1992"/>
        <v/>
      </c>
      <c r="CG578" s="58" t="str">
        <f t="shared" si="1992"/>
        <v/>
      </c>
      <c r="CH578" s="58" t="str">
        <f t="shared" si="1992"/>
        <v/>
      </c>
      <c r="CI578" s="58" t="str">
        <f t="shared" si="1992"/>
        <v/>
      </c>
      <c r="CJ578" s="58" t="str">
        <f t="shared" si="1992"/>
        <v/>
      </c>
      <c r="CK578" s="78" t="str">
        <f t="shared" si="1992"/>
        <v/>
      </c>
      <c r="CL578" s="78">
        <f t="shared" si="1992"/>
        <v>3</v>
      </c>
      <c r="CM578" s="78">
        <f t="shared" si="1992"/>
        <v>5</v>
      </c>
      <c r="CN578" s="58" t="str">
        <f t="shared" si="1992"/>
        <v/>
      </c>
      <c r="CO578" s="58" t="str">
        <f t="shared" si="1992"/>
        <v/>
      </c>
      <c r="CP578" s="58" t="str">
        <f t="shared" si="1992"/>
        <v/>
      </c>
      <c r="CQ578" s="58" t="str">
        <f t="shared" si="1992"/>
        <v/>
      </c>
      <c r="CR578" s="58" t="str">
        <f t="shared" si="1992"/>
        <v/>
      </c>
      <c r="CS578" s="57" t="str">
        <f t="shared" si="1992"/>
        <v/>
      </c>
      <c r="CT578" s="302" t="str">
        <f t="shared" si="1992"/>
        <v/>
      </c>
      <c r="CU578" s="324" t="str">
        <f t="shared" si="1993"/>
        <v/>
      </c>
      <c r="CV578" s="325" t="str">
        <f t="shared" si="1993"/>
        <v/>
      </c>
      <c r="CW578" s="326" t="str">
        <f t="shared" si="1993"/>
        <v/>
      </c>
      <c r="CX578" s="326" t="str">
        <f t="shared" si="1993"/>
        <v/>
      </c>
      <c r="CY578" s="326" t="str">
        <f t="shared" si="1993"/>
        <v/>
      </c>
      <c r="CZ578" s="326" t="str">
        <f t="shared" si="1993"/>
        <v/>
      </c>
      <c r="DA578" s="326" t="str">
        <f t="shared" si="1993"/>
        <v/>
      </c>
      <c r="DB578" s="327" t="str">
        <f t="shared" si="1993"/>
        <v/>
      </c>
      <c r="DC578" s="327">
        <f t="shared" si="1993"/>
        <v>1</v>
      </c>
      <c r="DD578" s="327" t="str">
        <f t="shared" si="1993"/>
        <v/>
      </c>
      <c r="DE578" s="326" t="str">
        <f t="shared" si="1993"/>
        <v/>
      </c>
      <c r="DF578" s="326" t="str">
        <f t="shared" si="1993"/>
        <v/>
      </c>
      <c r="DG578" s="326" t="str">
        <f t="shared" si="1993"/>
        <v/>
      </c>
      <c r="DH578" s="326" t="str">
        <f t="shared" si="1993"/>
        <v/>
      </c>
      <c r="DI578" s="326" t="str">
        <f t="shared" si="1993"/>
        <v/>
      </c>
      <c r="DJ578" s="325" t="str">
        <f t="shared" si="1993"/>
        <v/>
      </c>
      <c r="DK578" s="324" t="str">
        <f t="shared" si="1994"/>
        <v/>
      </c>
      <c r="DL578" s="662">
        <f t="shared" si="1995"/>
        <v>2</v>
      </c>
      <c r="DM578" s="617">
        <f t="shared" si="1996"/>
        <v>1</v>
      </c>
      <c r="DN578" s="617">
        <f t="shared" si="1997"/>
        <v>0</v>
      </c>
      <c r="DO578" s="617">
        <f t="shared" si="1998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 t="shared" ref="B579:J579" si="2019">IF(B578="","",B575*B578)</f>
        <v/>
      </c>
      <c r="C579" s="535">
        <f t="shared" si="2019"/>
        <v>192</v>
      </c>
      <c r="D579" s="535">
        <f t="shared" si="2019"/>
        <v>80</v>
      </c>
      <c r="E579" s="535" t="str">
        <f t="shared" si="2019"/>
        <v/>
      </c>
      <c r="F579" s="535" t="str">
        <f t="shared" si="2019"/>
        <v/>
      </c>
      <c r="G579" s="535" t="str">
        <f t="shared" si="2019"/>
        <v/>
      </c>
      <c r="H579" s="535" t="str">
        <f t="shared" si="2019"/>
        <v/>
      </c>
      <c r="I579" s="535" t="str">
        <f t="shared" si="2019"/>
        <v/>
      </c>
      <c r="J579" s="535" t="str">
        <f t="shared" si="2019"/>
        <v/>
      </c>
      <c r="K579" s="535"/>
      <c r="L579" s="535"/>
      <c r="M579" s="535"/>
      <c r="N579" s="535"/>
      <c r="O579" s="535"/>
      <c r="P579" s="535"/>
      <c r="Q579" s="535"/>
      <c r="R579" s="535"/>
      <c r="S579" s="541"/>
      <c r="T579" s="535">
        <f t="shared" ref="T579:AB579" si="2020">IF(T578="","",T575*T578)</f>
        <v>12</v>
      </c>
      <c r="U579" s="535" t="str">
        <f t="shared" si="2020"/>
        <v/>
      </c>
      <c r="V579" s="535" t="str">
        <f t="shared" si="2020"/>
        <v/>
      </c>
      <c r="W579" s="535" t="str">
        <f t="shared" si="2020"/>
        <v/>
      </c>
      <c r="X579" s="535" t="str">
        <f t="shared" si="2020"/>
        <v/>
      </c>
      <c r="Y579" s="535" t="str">
        <f t="shared" si="2020"/>
        <v/>
      </c>
      <c r="Z579" s="535" t="str">
        <f t="shared" si="2020"/>
        <v/>
      </c>
      <c r="AA579" s="535" t="str">
        <f t="shared" si="2020"/>
        <v/>
      </c>
      <c r="AB579" s="535" t="str">
        <f t="shared" si="2020"/>
        <v/>
      </c>
      <c r="AC579" s="535"/>
      <c r="AD579" s="535"/>
      <c r="AE579" s="535"/>
      <c r="AF579" s="535"/>
      <c r="AG579" s="535"/>
      <c r="AH579" s="535"/>
      <c r="AI579" s="535"/>
      <c r="AJ579" s="535"/>
      <c r="AK579" s="541"/>
      <c r="AL579" s="535" t="str">
        <f t="shared" ref="AL579:AT579" si="2021">IF(AL578="","",AL575*AL578)</f>
        <v/>
      </c>
      <c r="AM579" s="535" t="str">
        <f t="shared" si="2021"/>
        <v/>
      </c>
      <c r="AN579" s="535" t="str">
        <f t="shared" si="2021"/>
        <v/>
      </c>
      <c r="AO579" s="535" t="str">
        <f t="shared" si="2021"/>
        <v/>
      </c>
      <c r="AP579" s="535" t="str">
        <f t="shared" si="2021"/>
        <v/>
      </c>
      <c r="AQ579" s="535" t="str">
        <f t="shared" si="2021"/>
        <v/>
      </c>
      <c r="AR579" s="535" t="str">
        <f t="shared" si="2021"/>
        <v/>
      </c>
      <c r="AS579" s="535" t="str">
        <f t="shared" si="2021"/>
        <v/>
      </c>
      <c r="AT579" s="535" t="str">
        <f t="shared" si="2021"/>
        <v/>
      </c>
      <c r="AU579" s="535"/>
      <c r="AV579" s="535"/>
      <c r="AW579" s="535"/>
      <c r="AX579" s="535"/>
      <c r="AY579" s="535"/>
      <c r="AZ579" s="535"/>
      <c r="BA579" s="535"/>
      <c r="BB579" s="535"/>
      <c r="BC579" s="541"/>
      <c r="BD579" s="535" t="str">
        <f t="shared" ref="BD579:BL579" si="2022">IF(BD578="","",BD575*BD578)</f>
        <v/>
      </c>
      <c r="BE579" s="535" t="str">
        <f t="shared" si="2022"/>
        <v/>
      </c>
      <c r="BF579" s="535">
        <f t="shared" si="2022"/>
        <v>9</v>
      </c>
      <c r="BG579" s="535" t="str">
        <f t="shared" si="2022"/>
        <v/>
      </c>
      <c r="BH579" s="535" t="str">
        <f t="shared" si="2022"/>
        <v/>
      </c>
      <c r="BI579" s="535" t="str">
        <f t="shared" si="2022"/>
        <v/>
      </c>
      <c r="BJ579" s="535">
        <f t="shared" si="2022"/>
        <v>48</v>
      </c>
      <c r="BK579" s="535" t="str">
        <f t="shared" si="2022"/>
        <v/>
      </c>
      <c r="BL579" s="535" t="str">
        <f t="shared" si="2022"/>
        <v/>
      </c>
      <c r="BM579" s="535"/>
      <c r="BN579" s="535"/>
      <c r="BO579" s="535"/>
      <c r="BP579" s="535"/>
      <c r="BQ579" s="535"/>
      <c r="BR579" s="535"/>
      <c r="BS579" s="535"/>
      <c r="BT579" s="535"/>
      <c r="BU579" s="541"/>
      <c r="BV579" s="535" t="str">
        <f>IF(BV578="","",BV575*BV578)</f>
        <v/>
      </c>
      <c r="BW579" s="535" t="str">
        <f>IF(BW578="","",BW575*BW578)</f>
        <v/>
      </c>
      <c r="BX579" s="535" t="str">
        <f>IF(BX578="","",BX575*BX578)</f>
        <v/>
      </c>
      <c r="BY579" s="535" t="str">
        <f>IF(BY578="","",BY575*BY578)</f>
        <v/>
      </c>
      <c r="BZ579" s="660" t="str">
        <f t="shared" si="2015"/>
        <v/>
      </c>
      <c r="CA579" s="660" t="str">
        <f t="shared" si="2016"/>
        <v/>
      </c>
      <c r="CB579" s="660" t="str">
        <f t="shared" si="2017"/>
        <v/>
      </c>
      <c r="CC579" s="661" t="str">
        <f t="shared" si="2018"/>
        <v/>
      </c>
      <c r="CD579" s="301" t="str">
        <f t="shared" si="1992"/>
        <v/>
      </c>
      <c r="CE579" s="57" t="str">
        <f t="shared" si="1992"/>
        <v/>
      </c>
      <c r="CF579" s="58" t="str">
        <f t="shared" si="1992"/>
        <v/>
      </c>
      <c r="CG579" s="58" t="str">
        <f t="shared" si="1992"/>
        <v/>
      </c>
      <c r="CH579" s="58" t="str">
        <f t="shared" si="1992"/>
        <v/>
      </c>
      <c r="CI579" s="58" t="str">
        <f t="shared" si="1992"/>
        <v/>
      </c>
      <c r="CJ579" s="58" t="str">
        <f t="shared" si="1992"/>
        <v/>
      </c>
      <c r="CK579" s="78" t="str">
        <f t="shared" si="1992"/>
        <v/>
      </c>
      <c r="CL579" s="78">
        <f t="shared" si="1992"/>
        <v>80</v>
      </c>
      <c r="CM579" s="78">
        <f t="shared" si="1992"/>
        <v>192</v>
      </c>
      <c r="CN579" s="58" t="str">
        <f t="shared" si="1992"/>
        <v/>
      </c>
      <c r="CO579" s="58" t="str">
        <f t="shared" si="1992"/>
        <v/>
      </c>
      <c r="CP579" s="58" t="str">
        <f t="shared" si="1992"/>
        <v/>
      </c>
      <c r="CQ579" s="58" t="str">
        <f t="shared" si="1992"/>
        <v/>
      </c>
      <c r="CR579" s="58" t="str">
        <f t="shared" si="1992"/>
        <v/>
      </c>
      <c r="CS579" s="57" t="str">
        <f t="shared" si="1992"/>
        <v/>
      </c>
      <c r="CT579" s="302" t="str">
        <f t="shared" si="1992"/>
        <v/>
      </c>
      <c r="CU579" s="324" t="str">
        <f t="shared" si="1993"/>
        <v/>
      </c>
      <c r="CV579" s="325" t="str">
        <f t="shared" si="1993"/>
        <v/>
      </c>
      <c r="CW579" s="326" t="str">
        <f t="shared" si="1993"/>
        <v/>
      </c>
      <c r="CX579" s="326" t="str">
        <f t="shared" si="1993"/>
        <v/>
      </c>
      <c r="CY579" s="326" t="str">
        <f t="shared" si="1993"/>
        <v/>
      </c>
      <c r="CZ579" s="326" t="str">
        <f t="shared" si="1993"/>
        <v/>
      </c>
      <c r="DA579" s="326" t="str">
        <f t="shared" si="1993"/>
        <v/>
      </c>
      <c r="DB579" s="327" t="str">
        <f t="shared" si="1993"/>
        <v/>
      </c>
      <c r="DC579" s="327">
        <f t="shared" si="1993"/>
        <v>12</v>
      </c>
      <c r="DD579" s="327" t="str">
        <f t="shared" si="1993"/>
        <v/>
      </c>
      <c r="DE579" s="326" t="str">
        <f t="shared" si="1993"/>
        <v/>
      </c>
      <c r="DF579" s="326" t="str">
        <f t="shared" si="1993"/>
        <v/>
      </c>
      <c r="DG579" s="326" t="str">
        <f t="shared" si="1993"/>
        <v/>
      </c>
      <c r="DH579" s="326" t="str">
        <f t="shared" si="1993"/>
        <v/>
      </c>
      <c r="DI579" s="326" t="str">
        <f t="shared" si="1993"/>
        <v/>
      </c>
      <c r="DJ579" s="325" t="str">
        <f t="shared" si="1993"/>
        <v/>
      </c>
      <c r="DK579" s="324" t="str">
        <f t="shared" si="1994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5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 t="str">
        <f t="shared" si="2015"/>
        <v/>
      </c>
      <c r="CA580" s="660" t="str">
        <f t="shared" si="2016"/>
        <v/>
      </c>
      <c r="CB580" s="660" t="str">
        <f t="shared" si="2017"/>
        <v/>
      </c>
      <c r="CC580" s="661" t="str">
        <f t="shared" si="2018"/>
        <v/>
      </c>
      <c r="CD580" s="301" t="str">
        <f t="shared" si="1992"/>
        <v/>
      </c>
      <c r="CE580" s="57" t="str">
        <f t="shared" si="1992"/>
        <v/>
      </c>
      <c r="CF580" s="58" t="str">
        <f t="shared" si="1992"/>
        <v/>
      </c>
      <c r="CG580" s="58" t="str">
        <f t="shared" si="1992"/>
        <v/>
      </c>
      <c r="CH580" s="58" t="str">
        <f t="shared" si="1992"/>
        <v/>
      </c>
      <c r="CI580" s="58" t="str">
        <f t="shared" si="1992"/>
        <v/>
      </c>
      <c r="CJ580" s="58" t="str">
        <f t="shared" si="1992"/>
        <v/>
      </c>
      <c r="CK580" s="78" t="str">
        <f t="shared" si="1992"/>
        <v/>
      </c>
      <c r="CL580" s="78" t="str">
        <f t="shared" si="1992"/>
        <v/>
      </c>
      <c r="CM580" s="78" t="str">
        <f t="shared" si="1992"/>
        <v/>
      </c>
      <c r="CN580" s="58" t="str">
        <f t="shared" si="1992"/>
        <v/>
      </c>
      <c r="CO580" s="58" t="str">
        <f t="shared" si="1992"/>
        <v/>
      </c>
      <c r="CP580" s="58" t="str">
        <f t="shared" si="1992"/>
        <v/>
      </c>
      <c r="CQ580" s="58" t="str">
        <f t="shared" si="1992"/>
        <v/>
      </c>
      <c r="CR580" s="58" t="str">
        <f t="shared" si="1992"/>
        <v/>
      </c>
      <c r="CS580" s="57" t="str">
        <f t="shared" si="1992"/>
        <v/>
      </c>
      <c r="CT580" s="302" t="str">
        <f t="shared" si="1992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 t="str">
        <f t="shared" si="2015"/>
        <v/>
      </c>
      <c r="CA581" s="660" t="str">
        <f t="shared" si="2016"/>
        <v/>
      </c>
      <c r="CB581" s="660" t="str">
        <f t="shared" si="2017"/>
        <v/>
      </c>
      <c r="CC581" s="661" t="str">
        <f t="shared" si="2018"/>
        <v/>
      </c>
      <c r="CD581" s="301" t="str">
        <f t="shared" si="1992"/>
        <v/>
      </c>
      <c r="CE581" s="57" t="str">
        <f t="shared" si="1992"/>
        <v/>
      </c>
      <c r="CF581" s="58" t="str">
        <f t="shared" si="1992"/>
        <v/>
      </c>
      <c r="CG581" s="58" t="str">
        <f t="shared" si="1992"/>
        <v/>
      </c>
      <c r="CH581" s="58" t="str">
        <f t="shared" si="1992"/>
        <v/>
      </c>
      <c r="CI581" s="58" t="str">
        <f t="shared" si="1992"/>
        <v/>
      </c>
      <c r="CJ581" s="58" t="str">
        <f t="shared" si="1992"/>
        <v/>
      </c>
      <c r="CK581" s="78" t="str">
        <f t="shared" si="1992"/>
        <v/>
      </c>
      <c r="CL581" s="78" t="str">
        <f t="shared" si="1992"/>
        <v/>
      </c>
      <c r="CM581" s="78" t="str">
        <f t="shared" si="1992"/>
        <v/>
      </c>
      <c r="CN581" s="58" t="str">
        <f t="shared" si="1992"/>
        <v/>
      </c>
      <c r="CO581" s="58" t="str">
        <f t="shared" si="1992"/>
        <v/>
      </c>
      <c r="CP581" s="58" t="str">
        <f t="shared" si="1992"/>
        <v/>
      </c>
      <c r="CQ581" s="58" t="str">
        <f t="shared" si="1992"/>
        <v/>
      </c>
      <c r="CR581" s="58" t="str">
        <f t="shared" si="1992"/>
        <v/>
      </c>
      <c r="CS581" s="57" t="str">
        <f t="shared" si="1992"/>
        <v/>
      </c>
      <c r="CT581" s="302" t="str">
        <f t="shared" si="1992"/>
        <v/>
      </c>
      <c r="CU581" s="324" t="str">
        <f t="shared" si="1993"/>
        <v/>
      </c>
      <c r="CV581" s="325" t="str">
        <f t="shared" si="1993"/>
        <v/>
      </c>
      <c r="CW581" s="326" t="str">
        <f t="shared" si="1993"/>
        <v/>
      </c>
      <c r="CX581" s="326" t="str">
        <f t="shared" si="1993"/>
        <v/>
      </c>
      <c r="CY581" s="326" t="str">
        <f t="shared" si="1993"/>
        <v/>
      </c>
      <c r="CZ581" s="326" t="str">
        <f t="shared" si="1993"/>
        <v/>
      </c>
      <c r="DA581" s="326" t="str">
        <f t="shared" si="1993"/>
        <v/>
      </c>
      <c r="DB581" s="327" t="str">
        <f t="shared" si="1993"/>
        <v/>
      </c>
      <c r="DC581" s="327">
        <f t="shared" si="1993"/>
        <v>20</v>
      </c>
      <c r="DD581" s="327">
        <f t="shared" si="1993"/>
        <v>50</v>
      </c>
      <c r="DE581" s="326" t="str">
        <f t="shared" si="1993"/>
        <v/>
      </c>
      <c r="DF581" s="326" t="str">
        <f t="shared" si="1993"/>
        <v/>
      </c>
      <c r="DG581" s="326" t="str">
        <f t="shared" si="1993"/>
        <v/>
      </c>
      <c r="DH581" s="326" t="str">
        <f t="shared" si="1993"/>
        <v/>
      </c>
      <c r="DI581" s="326" t="str">
        <f t="shared" si="1993"/>
        <v/>
      </c>
      <c r="DJ581" s="325" t="str">
        <f t="shared" si="1993"/>
        <v/>
      </c>
      <c r="DK581" s="324" t="str">
        <f t="shared" si="1994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023">1530*$K$1</f>
        <v>1530</v>
      </c>
      <c r="D582" s="536">
        <f t="shared" si="2023"/>
        <v>1530</v>
      </c>
      <c r="E582" s="536">
        <f t="shared" si="2023"/>
        <v>1530</v>
      </c>
      <c r="F582" s="536">
        <f t="shared" si="2023"/>
        <v>1530</v>
      </c>
      <c r="G582" s="536">
        <f t="shared" si="2023"/>
        <v>1530</v>
      </c>
      <c r="H582" s="536">
        <f t="shared" si="2023"/>
        <v>1530</v>
      </c>
      <c r="I582" s="536">
        <f t="shared" si="2023"/>
        <v>1530</v>
      </c>
      <c r="J582" s="536">
        <f t="shared" si="2023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2024">1530*$K$1</f>
        <v>1530</v>
      </c>
      <c r="W582" s="536">
        <f t="shared" si="2024"/>
        <v>1530</v>
      </c>
      <c r="X582" s="536">
        <f t="shared" si="2024"/>
        <v>1530</v>
      </c>
      <c r="Y582" s="536">
        <f t="shared" si="2024"/>
        <v>1530</v>
      </c>
      <c r="Z582" s="536">
        <f t="shared" si="2024"/>
        <v>1530</v>
      </c>
      <c r="AA582" s="536">
        <f t="shared" si="2024"/>
        <v>1530</v>
      </c>
      <c r="AB582" s="536">
        <f t="shared" si="2024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2025">1530*$K$1</f>
        <v>1530</v>
      </c>
      <c r="AN582" s="536">
        <f t="shared" si="2025"/>
        <v>1530</v>
      </c>
      <c r="AO582" s="536">
        <f t="shared" si="2025"/>
        <v>1530</v>
      </c>
      <c r="AP582" s="536">
        <f t="shared" si="2025"/>
        <v>1530</v>
      </c>
      <c r="AQ582" s="536">
        <f t="shared" si="2025"/>
        <v>1530</v>
      </c>
      <c r="AR582" s="536">
        <f t="shared" si="2025"/>
        <v>1530</v>
      </c>
      <c r="AS582" s="536">
        <f t="shared" si="2025"/>
        <v>1530</v>
      </c>
      <c r="AT582" s="536">
        <f t="shared" si="2025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2026">1530*$K$1</f>
        <v>1530</v>
      </c>
      <c r="BF582" s="536">
        <f t="shared" si="2026"/>
        <v>1530</v>
      </c>
      <c r="BG582" s="536">
        <f t="shared" si="2026"/>
        <v>1530</v>
      </c>
      <c r="BH582" s="536">
        <f t="shared" si="2026"/>
        <v>1530</v>
      </c>
      <c r="BI582" s="536">
        <f t="shared" si="2026"/>
        <v>1530</v>
      </c>
      <c r="BJ582" s="536">
        <f t="shared" si="2026"/>
        <v>1530</v>
      </c>
      <c r="BK582" s="536">
        <f t="shared" si="2026"/>
        <v>1530</v>
      </c>
      <c r="BL582" s="536">
        <f t="shared" si="2026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2026"/>
        <v>1530</v>
      </c>
      <c r="BW582" s="536">
        <f t="shared" si="2026"/>
        <v>1530</v>
      </c>
      <c r="BX582" s="536">
        <f t="shared" si="2026"/>
        <v>1530</v>
      </c>
      <c r="BY582" s="536">
        <f t="shared" si="2026"/>
        <v>1530</v>
      </c>
      <c r="BZ582" s="660">
        <f t="shared" si="2015"/>
        <v>1530</v>
      </c>
      <c r="CA582" s="660">
        <f t="shared" si="2016"/>
        <v>1530</v>
      </c>
      <c r="CB582" s="660">
        <f t="shared" si="2017"/>
        <v>1530</v>
      </c>
      <c r="CC582" s="661">
        <f t="shared" si="2018"/>
        <v>1530</v>
      </c>
      <c r="CD582" s="301" t="str">
        <f t="shared" si="1992"/>
        <v/>
      </c>
      <c r="CE582" s="57" t="str">
        <f t="shared" si="1992"/>
        <v/>
      </c>
      <c r="CF582" s="58" t="str">
        <f t="shared" si="1992"/>
        <v/>
      </c>
      <c r="CG582" s="58" t="str">
        <f t="shared" si="1992"/>
        <v/>
      </c>
      <c r="CH582" s="58">
        <f t="shared" si="1992"/>
        <v>1530</v>
      </c>
      <c r="CI582" s="58">
        <f t="shared" si="1992"/>
        <v>1530</v>
      </c>
      <c r="CJ582" s="58">
        <f t="shared" si="1992"/>
        <v>1530</v>
      </c>
      <c r="CK582" s="78">
        <f t="shared" si="1992"/>
        <v>1530</v>
      </c>
      <c r="CL582" s="78">
        <f t="shared" si="1992"/>
        <v>1530</v>
      </c>
      <c r="CM582" s="78">
        <f t="shared" si="1992"/>
        <v>1530</v>
      </c>
      <c r="CN582" s="58">
        <f t="shared" si="1992"/>
        <v>1530</v>
      </c>
      <c r="CO582" s="58">
        <f t="shared" si="1992"/>
        <v>1530</v>
      </c>
      <c r="CP582" s="58">
        <f t="shared" si="1992"/>
        <v>1530</v>
      </c>
      <c r="CQ582" s="58" t="str">
        <f t="shared" si="1992"/>
        <v/>
      </c>
      <c r="CR582" s="58" t="str">
        <f t="shared" si="1992"/>
        <v/>
      </c>
      <c r="CS582" s="57" t="str">
        <f t="shared" si="1992"/>
        <v/>
      </c>
      <c r="CT582" s="302" t="str">
        <f t="shared" si="1992"/>
        <v/>
      </c>
      <c r="CU582" s="324" t="str">
        <f t="shared" si="1993"/>
        <v/>
      </c>
      <c r="CV582" s="325" t="str">
        <f t="shared" si="1993"/>
        <v/>
      </c>
      <c r="CW582" s="326" t="str">
        <f t="shared" si="1993"/>
        <v/>
      </c>
      <c r="CX582" s="326" t="str">
        <f t="shared" si="1993"/>
        <v/>
      </c>
      <c r="CY582" s="326">
        <f t="shared" si="1993"/>
        <v>1530</v>
      </c>
      <c r="CZ582" s="326">
        <f t="shared" si="1993"/>
        <v>1530</v>
      </c>
      <c r="DA582" s="326">
        <f t="shared" si="1993"/>
        <v>1530</v>
      </c>
      <c r="DB582" s="327">
        <f t="shared" si="1993"/>
        <v>1530</v>
      </c>
      <c r="DC582" s="327">
        <f t="shared" si="1993"/>
        <v>1530</v>
      </c>
      <c r="DD582" s="327">
        <f t="shared" si="1993"/>
        <v>1530</v>
      </c>
      <c r="DE582" s="326">
        <f t="shared" si="1993"/>
        <v>1530</v>
      </c>
      <c r="DF582" s="326">
        <f t="shared" si="1993"/>
        <v>1530</v>
      </c>
      <c r="DG582" s="326">
        <f t="shared" si="1993"/>
        <v>1530</v>
      </c>
      <c r="DH582" s="326" t="str">
        <f t="shared" si="1993"/>
        <v/>
      </c>
      <c r="DI582" s="326" t="str">
        <f t="shared" si="1993"/>
        <v/>
      </c>
      <c r="DJ582" s="325" t="str">
        <f t="shared" si="1993"/>
        <v/>
      </c>
      <c r="DK582" s="324" t="str">
        <f t="shared" si="1994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027">IF(B581="","",B581*B582/B$46/365/$G$1)</f>
        <v/>
      </c>
      <c r="C583" s="540" t="str">
        <f t="shared" si="2027"/>
        <v/>
      </c>
      <c r="D583" s="540" t="str">
        <f t="shared" si="2027"/>
        <v/>
      </c>
      <c r="E583" s="540" t="str">
        <f t="shared" si="2027"/>
        <v/>
      </c>
      <c r="F583" s="540" t="str">
        <f t="shared" si="2027"/>
        <v/>
      </c>
      <c r="G583" s="540" t="str">
        <f t="shared" si="2027"/>
        <v/>
      </c>
      <c r="H583" s="540" t="str">
        <f t="shared" si="2027"/>
        <v/>
      </c>
      <c r="I583" s="540" t="str">
        <f t="shared" si="2027"/>
        <v/>
      </c>
      <c r="J583" s="540" t="str">
        <f t="shared" si="2027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028">IF(T581="","",T581*T582/T$46/365/$G$1)</f>
        <v/>
      </c>
      <c r="U583" s="540">
        <f t="shared" si="2028"/>
        <v>9.0731186621597574E-3</v>
      </c>
      <c r="V583" s="540">
        <f t="shared" si="2028"/>
        <v>3.326810176125245E-3</v>
      </c>
      <c r="W583" s="540" t="str">
        <f t="shared" si="2028"/>
        <v/>
      </c>
      <c r="X583" s="540" t="str">
        <f t="shared" si="2028"/>
        <v/>
      </c>
      <c r="Y583" s="540" t="str">
        <f t="shared" si="2028"/>
        <v/>
      </c>
      <c r="Z583" s="540" t="str">
        <f t="shared" si="2028"/>
        <v/>
      </c>
      <c r="AA583" s="540" t="str">
        <f t="shared" si="2028"/>
        <v/>
      </c>
      <c r="AB583" s="540" t="str">
        <f t="shared" si="2028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2029">IF(AL581="","",AL581*AL582/AL$46/365/$G$1)</f>
        <v/>
      </c>
      <c r="AM583" s="540" t="str">
        <f t="shared" si="2029"/>
        <v/>
      </c>
      <c r="AN583" s="540" t="str">
        <f t="shared" si="2029"/>
        <v/>
      </c>
      <c r="AO583" s="540" t="str">
        <f t="shared" si="2029"/>
        <v/>
      </c>
      <c r="AP583" s="540" t="str">
        <f t="shared" si="2029"/>
        <v/>
      </c>
      <c r="AQ583" s="540" t="str">
        <f t="shared" si="2029"/>
        <v/>
      </c>
      <c r="AR583" s="540" t="str">
        <f t="shared" si="2029"/>
        <v/>
      </c>
      <c r="AS583" s="540" t="str">
        <f t="shared" si="2029"/>
        <v/>
      </c>
      <c r="AT583" s="540" t="str">
        <f t="shared" si="2029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2030">IF(BD581="","",BD581*BD582/BD$46/365/$G$1)</f>
        <v/>
      </c>
      <c r="BE583" s="540" t="str">
        <f t="shared" si="2030"/>
        <v/>
      </c>
      <c r="BF583" s="540" t="str">
        <f t="shared" si="2030"/>
        <v/>
      </c>
      <c r="BG583" s="540" t="str">
        <f t="shared" si="2030"/>
        <v/>
      </c>
      <c r="BH583" s="540" t="str">
        <f t="shared" si="2030"/>
        <v/>
      </c>
      <c r="BI583" s="540" t="str">
        <f t="shared" si="2030"/>
        <v/>
      </c>
      <c r="BJ583" s="540" t="str">
        <f t="shared" si="2030"/>
        <v/>
      </c>
      <c r="BK583" s="540" t="str">
        <f t="shared" si="2030"/>
        <v/>
      </c>
      <c r="BL583" s="540" t="str">
        <f t="shared" si="2030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5" t="str">
        <f t="shared" si="1992"/>
        <v/>
      </c>
      <c r="CF583" s="1116" t="str">
        <f t="shared" si="1992"/>
        <v/>
      </c>
      <c r="CG583" s="1116" t="str">
        <f t="shared" si="1992"/>
        <v/>
      </c>
      <c r="CH583" s="1116" t="str">
        <f t="shared" si="1992"/>
        <v/>
      </c>
      <c r="CI583" s="1116" t="str">
        <f t="shared" si="1992"/>
        <v/>
      </c>
      <c r="CJ583" s="1116" t="str">
        <f t="shared" si="1992"/>
        <v/>
      </c>
      <c r="CK583" s="1117" t="str">
        <f t="shared" si="1992"/>
        <v/>
      </c>
      <c r="CL583" s="1117" t="str">
        <f t="shared" si="1992"/>
        <v/>
      </c>
      <c r="CM583" s="1117" t="str">
        <f t="shared" si="1992"/>
        <v/>
      </c>
      <c r="CN583" s="1116" t="str">
        <f t="shared" si="1992"/>
        <v/>
      </c>
      <c r="CO583" s="1116" t="str">
        <f t="shared" si="1992"/>
        <v/>
      </c>
      <c r="CP583" s="1116" t="str">
        <f t="shared" si="1992"/>
        <v/>
      </c>
      <c r="CQ583" s="1116" t="str">
        <f t="shared" si="1992"/>
        <v/>
      </c>
      <c r="CR583" s="1116" t="str">
        <f t="shared" si="1992"/>
        <v/>
      </c>
      <c r="CS583" s="1115" t="str">
        <f t="shared" si="1992"/>
        <v/>
      </c>
      <c r="CT583" s="1118" t="str">
        <f t="shared" si="1992"/>
        <v/>
      </c>
      <c r="CU583" s="312" t="str">
        <f t="shared" ref="CU583:DJ594" si="20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31"/>
        <v/>
      </c>
      <c r="CW583" s="314" t="str">
        <f t="shared" si="2031"/>
        <v/>
      </c>
      <c r="CX583" s="314" t="str">
        <f t="shared" si="2031"/>
        <v/>
      </c>
      <c r="CY583" s="314" t="str">
        <f t="shared" si="2031"/>
        <v/>
      </c>
      <c r="CZ583" s="314" t="str">
        <f t="shared" si="2031"/>
        <v/>
      </c>
      <c r="DA583" s="314" t="str">
        <f t="shared" si="2031"/>
        <v/>
      </c>
      <c r="DB583" s="315" t="str">
        <f t="shared" si="2031"/>
        <v/>
      </c>
      <c r="DC583" s="315">
        <f t="shared" si="2031"/>
        <v>3.326810176125245E-3</v>
      </c>
      <c r="DD583" s="315">
        <f t="shared" si="2031"/>
        <v>9.0731186621597574E-3</v>
      </c>
      <c r="DE583" s="314" t="str">
        <f t="shared" si="2031"/>
        <v/>
      </c>
      <c r="DF583" s="314" t="str">
        <f t="shared" si="2031"/>
        <v/>
      </c>
      <c r="DG583" s="314" t="str">
        <f t="shared" si="2031"/>
        <v/>
      </c>
      <c r="DH583" s="314" t="str">
        <f t="shared" si="2031"/>
        <v/>
      </c>
      <c r="DI583" s="314" t="str">
        <f t="shared" si="2031"/>
        <v/>
      </c>
      <c r="DJ583" s="313" t="str">
        <f t="shared" si="2031"/>
        <v/>
      </c>
      <c r="DK583" s="312" t="str">
        <f t="shared" ref="DK583:DK589" si="20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033">COUNT(B583:R583)</f>
        <v>0</v>
      </c>
      <c r="DM583" s="66">
        <f t="shared" ref="DM583:DM590" si="2034">COUNT(T583:AJ583)</f>
        <v>2</v>
      </c>
      <c r="DN583" s="66">
        <f t="shared" ref="DN583:DN590" si="2035">COUNT(AL583:BB583)</f>
        <v>0</v>
      </c>
      <c r="DO583" s="66">
        <f t="shared" ref="DO583:DO590" si="2036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 t="str">
        <f t="shared" ref="BZ584:BZ588" si="2037">IF(DL584&lt;3,"",(SUM(B584:R584)-MIN(B584:R584)-MAX(B584:R584))/(DL584-2))</f>
        <v/>
      </c>
      <c r="CA584" s="660" t="str">
        <f t="shared" ref="CA584:CA588" si="2038">IF(DM584&lt;3,"",(SUM(T584:AJ584)-MIN(T584:AJ584)-MAX(T584:AJ584))/(DM584-2))</f>
        <v/>
      </c>
      <c r="CB584" s="660" t="str">
        <f t="shared" ref="CB584:CB588" si="2039">IF(DN584&lt;3,"",(SUM(AL584:BB584)-MIN(AL584:BB584)-MAX(AL584:BB584))/(DN584-2))</f>
        <v/>
      </c>
      <c r="CC584" s="661" t="str">
        <f t="shared" ref="CC584:CC588" si="2040">IF(DO584&lt;3,"",(SUM(BD584:BT584)-MIN(BD584:BT584)-MAX(BD584:BT584))/(DO584-2))</f>
        <v/>
      </c>
      <c r="CD584" s="301" t="str">
        <f t="shared" si="1992"/>
        <v/>
      </c>
      <c r="CE584" s="57" t="str">
        <f t="shared" ref="CE584:CT591" si="204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41"/>
        <v/>
      </c>
      <c r="CG584" s="58" t="str">
        <f t="shared" si="2041"/>
        <v/>
      </c>
      <c r="CH584" s="58" t="str">
        <f t="shared" si="2041"/>
        <v/>
      </c>
      <c r="CI584" s="58" t="str">
        <f t="shared" si="2041"/>
        <v/>
      </c>
      <c r="CJ584" s="58" t="str">
        <f t="shared" si="2041"/>
        <v/>
      </c>
      <c r="CK584" s="78" t="str">
        <f t="shared" si="2041"/>
        <v/>
      </c>
      <c r="CL584" s="78" t="str">
        <f t="shared" si="2041"/>
        <v/>
      </c>
      <c r="CM584" s="78" t="str">
        <f t="shared" si="2041"/>
        <v/>
      </c>
      <c r="CN584" s="58" t="str">
        <f t="shared" si="2041"/>
        <v/>
      </c>
      <c r="CO584" s="58" t="str">
        <f t="shared" si="2041"/>
        <v/>
      </c>
      <c r="CP584" s="58" t="str">
        <f t="shared" si="2041"/>
        <v/>
      </c>
      <c r="CQ584" s="58" t="str">
        <f t="shared" si="2041"/>
        <v/>
      </c>
      <c r="CR584" s="58" t="str">
        <f t="shared" si="2041"/>
        <v/>
      </c>
      <c r="CS584" s="57" t="str">
        <f t="shared" si="2041"/>
        <v/>
      </c>
      <c r="CT584" s="302" t="str">
        <f t="shared" si="2041"/>
        <v/>
      </c>
      <c r="CU584" s="324" t="str">
        <f t="shared" si="1993"/>
        <v/>
      </c>
      <c r="CV584" s="325" t="str">
        <f t="shared" si="1993"/>
        <v/>
      </c>
      <c r="CW584" s="326" t="str">
        <f t="shared" si="1993"/>
        <v/>
      </c>
      <c r="CX584" s="326" t="str">
        <f t="shared" si="1993"/>
        <v/>
      </c>
      <c r="CY584" s="326" t="str">
        <f t="shared" si="1993"/>
        <v/>
      </c>
      <c r="CZ584" s="326" t="str">
        <f t="shared" si="1993"/>
        <v/>
      </c>
      <c r="DA584" s="326" t="str">
        <f t="shared" si="1993"/>
        <v/>
      </c>
      <c r="DB584" s="327" t="str">
        <f t="shared" si="1993"/>
        <v/>
      </c>
      <c r="DC584" s="327" t="str">
        <f t="shared" si="1993"/>
        <v/>
      </c>
      <c r="DD584" s="327" t="str">
        <f t="shared" si="1993"/>
        <v/>
      </c>
      <c r="DE584" s="326" t="str">
        <f t="shared" si="1993"/>
        <v/>
      </c>
      <c r="DF584" s="326" t="str">
        <f t="shared" si="1993"/>
        <v/>
      </c>
      <c r="DG584" s="326" t="str">
        <f t="shared" si="1993"/>
        <v/>
      </c>
      <c r="DH584" s="326" t="str">
        <f t="shared" si="1993"/>
        <v/>
      </c>
      <c r="DI584" s="326" t="str">
        <f t="shared" si="1993"/>
        <v/>
      </c>
      <c r="DJ584" s="325" t="str">
        <f t="shared" si="2031"/>
        <v/>
      </c>
      <c r="DK584" s="324" t="str">
        <f t="shared" si="1994"/>
        <v/>
      </c>
      <c r="DL584" s="662">
        <f t="shared" si="2033"/>
        <v>0</v>
      </c>
      <c r="DM584" s="617">
        <f t="shared" si="2034"/>
        <v>0</v>
      </c>
      <c r="DN584" s="617">
        <f t="shared" si="2035"/>
        <v>0</v>
      </c>
      <c r="DO584" s="617">
        <f t="shared" si="2036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 t="shared" ref="B585:J585" si="2042">IF(B584="","",B581*B584)</f>
        <v/>
      </c>
      <c r="C585" s="535" t="str">
        <f t="shared" si="2042"/>
        <v/>
      </c>
      <c r="D585" s="535" t="str">
        <f t="shared" si="2042"/>
        <v/>
      </c>
      <c r="E585" s="535" t="str">
        <f t="shared" si="2042"/>
        <v/>
      </c>
      <c r="F585" s="535" t="str">
        <f t="shared" si="2042"/>
        <v/>
      </c>
      <c r="G585" s="535" t="str">
        <f t="shared" si="2042"/>
        <v/>
      </c>
      <c r="H585" s="535" t="str">
        <f t="shared" si="2042"/>
        <v/>
      </c>
      <c r="I585" s="535" t="str">
        <f t="shared" si="2042"/>
        <v/>
      </c>
      <c r="J585" s="535" t="str">
        <f t="shared" si="2042"/>
        <v/>
      </c>
      <c r="K585" s="535"/>
      <c r="L585" s="535"/>
      <c r="M585" s="535"/>
      <c r="N585" s="535"/>
      <c r="O585" s="535"/>
      <c r="P585" s="535"/>
      <c r="Q585" s="535"/>
      <c r="R585" s="535"/>
      <c r="S585" s="541"/>
      <c r="T585" s="535" t="str">
        <f t="shared" ref="T585:AB585" si="2043">IF(T584="","",T581*T584)</f>
        <v/>
      </c>
      <c r="U585" s="535" t="str">
        <f t="shared" si="2043"/>
        <v/>
      </c>
      <c r="V585" s="535" t="str">
        <f t="shared" si="2043"/>
        <v/>
      </c>
      <c r="W585" s="535" t="str">
        <f t="shared" si="2043"/>
        <v/>
      </c>
      <c r="X585" s="535" t="str">
        <f t="shared" si="2043"/>
        <v/>
      </c>
      <c r="Y585" s="535" t="str">
        <f t="shared" si="2043"/>
        <v/>
      </c>
      <c r="Z585" s="535" t="str">
        <f t="shared" si="2043"/>
        <v/>
      </c>
      <c r="AA585" s="535" t="str">
        <f t="shared" si="2043"/>
        <v/>
      </c>
      <c r="AB585" s="535" t="str">
        <f t="shared" si="2043"/>
        <v/>
      </c>
      <c r="AC585" s="535"/>
      <c r="AD585" s="535"/>
      <c r="AE585" s="535"/>
      <c r="AF585" s="535"/>
      <c r="AG585" s="535"/>
      <c r="AH585" s="535"/>
      <c r="AI585" s="535"/>
      <c r="AJ585" s="535"/>
      <c r="AK585" s="541"/>
      <c r="AL585" s="535" t="str">
        <f t="shared" ref="AL585:AT585" si="2044">IF(AL584="","",AL581*AL584)</f>
        <v/>
      </c>
      <c r="AM585" s="535" t="str">
        <f t="shared" si="2044"/>
        <v/>
      </c>
      <c r="AN585" s="535" t="str">
        <f t="shared" si="2044"/>
        <v/>
      </c>
      <c r="AO585" s="535" t="str">
        <f t="shared" si="2044"/>
        <v/>
      </c>
      <c r="AP585" s="535" t="str">
        <f t="shared" si="2044"/>
        <v/>
      </c>
      <c r="AQ585" s="535" t="str">
        <f t="shared" si="2044"/>
        <v/>
      </c>
      <c r="AR585" s="535" t="str">
        <f t="shared" si="2044"/>
        <v/>
      </c>
      <c r="AS585" s="535" t="str">
        <f t="shared" si="2044"/>
        <v/>
      </c>
      <c r="AT585" s="535" t="str">
        <f t="shared" si="2044"/>
        <v/>
      </c>
      <c r="AU585" s="535"/>
      <c r="AV585" s="535"/>
      <c r="AW585" s="535"/>
      <c r="AX585" s="535"/>
      <c r="AY585" s="535"/>
      <c r="AZ585" s="535"/>
      <c r="BA585" s="535"/>
      <c r="BB585" s="535"/>
      <c r="BC585" s="541"/>
      <c r="BD585" s="535" t="str">
        <f t="shared" ref="BD585:BL585" si="2045">IF(BD584="","",BD581*BD584)</f>
        <v/>
      </c>
      <c r="BE585" s="535" t="str">
        <f t="shared" si="2045"/>
        <v/>
      </c>
      <c r="BF585" s="535" t="str">
        <f t="shared" si="2045"/>
        <v/>
      </c>
      <c r="BG585" s="535" t="str">
        <f t="shared" si="2045"/>
        <v/>
      </c>
      <c r="BH585" s="535" t="str">
        <f t="shared" si="2045"/>
        <v/>
      </c>
      <c r="BI585" s="535" t="str">
        <f t="shared" si="2045"/>
        <v/>
      </c>
      <c r="BJ585" s="535" t="str">
        <f t="shared" si="2045"/>
        <v/>
      </c>
      <c r="BK585" s="535" t="str">
        <f t="shared" si="2045"/>
        <v/>
      </c>
      <c r="BL585" s="535" t="str">
        <f t="shared" si="2045"/>
        <v/>
      </c>
      <c r="BM585" s="535"/>
      <c r="BN585" s="535"/>
      <c r="BO585" s="535"/>
      <c r="BP585" s="535"/>
      <c r="BQ585" s="535"/>
      <c r="BR585" s="535"/>
      <c r="BS585" s="535"/>
      <c r="BT585" s="535"/>
      <c r="BU585" s="541"/>
      <c r="BV585" s="535" t="str">
        <f>IF(BV584="","",BV581*BV584)</f>
        <v/>
      </c>
      <c r="BW585" s="535" t="str">
        <f>IF(BW584="","",BW581*BW584)</f>
        <v/>
      </c>
      <c r="BX585" s="535" t="str">
        <f>IF(BX584="","",BX581*BX584)</f>
        <v/>
      </c>
      <c r="BY585" s="535" t="str">
        <f>IF(BY584="","",BY581*BY584)</f>
        <v/>
      </c>
      <c r="BZ585" s="660" t="str">
        <f t="shared" si="2037"/>
        <v/>
      </c>
      <c r="CA585" s="660" t="str">
        <f t="shared" si="2038"/>
        <v/>
      </c>
      <c r="CB585" s="660" t="str">
        <f t="shared" si="2039"/>
        <v/>
      </c>
      <c r="CC585" s="661" t="str">
        <f t="shared" si="2040"/>
        <v/>
      </c>
      <c r="CD585" s="301" t="str">
        <f t="shared" ref="CD585:CD591" si="204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41"/>
        <v/>
      </c>
      <c r="CF585" s="58" t="str">
        <f t="shared" si="2041"/>
        <v/>
      </c>
      <c r="CG585" s="58" t="str">
        <f t="shared" si="2041"/>
        <v/>
      </c>
      <c r="CH585" s="58" t="str">
        <f t="shared" si="2041"/>
        <v/>
      </c>
      <c r="CI585" s="58" t="str">
        <f t="shared" si="2041"/>
        <v/>
      </c>
      <c r="CJ585" s="58" t="str">
        <f t="shared" si="2041"/>
        <v/>
      </c>
      <c r="CK585" s="78" t="str">
        <f t="shared" si="2041"/>
        <v/>
      </c>
      <c r="CL585" s="78" t="str">
        <f t="shared" si="2041"/>
        <v/>
      </c>
      <c r="CM585" s="78" t="str">
        <f t="shared" si="2041"/>
        <v/>
      </c>
      <c r="CN585" s="58" t="str">
        <f t="shared" si="2041"/>
        <v/>
      </c>
      <c r="CO585" s="58" t="str">
        <f t="shared" si="2041"/>
        <v/>
      </c>
      <c r="CP585" s="58" t="str">
        <f t="shared" si="2041"/>
        <v/>
      </c>
      <c r="CQ585" s="58" t="str">
        <f t="shared" si="2041"/>
        <v/>
      </c>
      <c r="CR585" s="58" t="str">
        <f t="shared" si="2041"/>
        <v/>
      </c>
      <c r="CS585" s="57" t="str">
        <f t="shared" si="2041"/>
        <v/>
      </c>
      <c r="CT585" s="302" t="str">
        <f t="shared" si="2041"/>
        <v/>
      </c>
      <c r="CU585" s="324" t="str">
        <f t="shared" ref="CU585:DI585" si="204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047"/>
        <v/>
      </c>
      <c r="CW585" s="326" t="str">
        <f t="shared" si="2047"/>
        <v/>
      </c>
      <c r="CX585" s="326" t="str">
        <f t="shared" si="2047"/>
        <v/>
      </c>
      <c r="CY585" s="326" t="str">
        <f t="shared" si="2047"/>
        <v/>
      </c>
      <c r="CZ585" s="326" t="str">
        <f t="shared" si="2047"/>
        <v/>
      </c>
      <c r="DA585" s="326" t="str">
        <f t="shared" si="2047"/>
        <v/>
      </c>
      <c r="DB585" s="327" t="str">
        <f t="shared" si="2047"/>
        <v/>
      </c>
      <c r="DC585" s="327" t="str">
        <f t="shared" si="2047"/>
        <v/>
      </c>
      <c r="DD585" s="327" t="str">
        <f t="shared" si="2047"/>
        <v/>
      </c>
      <c r="DE585" s="326" t="str">
        <f t="shared" si="2047"/>
        <v/>
      </c>
      <c r="DF585" s="326" t="str">
        <f t="shared" si="2047"/>
        <v/>
      </c>
      <c r="DG585" s="326" t="str">
        <f t="shared" si="2047"/>
        <v/>
      </c>
      <c r="DH585" s="326" t="str">
        <f t="shared" si="2047"/>
        <v/>
      </c>
      <c r="DI585" s="326" t="str">
        <f t="shared" si="2047"/>
        <v/>
      </c>
      <c r="DJ585" s="325" t="str">
        <f t="shared" si="2031"/>
        <v/>
      </c>
      <c r="DK585" s="324" t="str">
        <f t="shared" si="1994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5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>
        <f t="shared" si="2037"/>
        <v>12.5</v>
      </c>
      <c r="CA586" s="660">
        <f t="shared" si="2038"/>
        <v>15</v>
      </c>
      <c r="CB586" s="660" t="str">
        <f t="shared" si="2039"/>
        <v/>
      </c>
      <c r="CC586" s="661" t="str">
        <f t="shared" si="2040"/>
        <v/>
      </c>
      <c r="CD586" s="301" t="str">
        <f t="shared" si="2046"/>
        <v/>
      </c>
      <c r="CE586" s="57" t="str">
        <f t="shared" si="2041"/>
        <v/>
      </c>
      <c r="CF586" s="58" t="str">
        <f t="shared" si="2041"/>
        <v/>
      </c>
      <c r="CG586" s="58" t="str">
        <f t="shared" si="2041"/>
        <v/>
      </c>
      <c r="CH586" s="58" t="str">
        <f t="shared" si="2041"/>
        <v/>
      </c>
      <c r="CI586" s="58" t="str">
        <f t="shared" si="2041"/>
        <v/>
      </c>
      <c r="CJ586" s="58">
        <f t="shared" si="2041"/>
        <v>5</v>
      </c>
      <c r="CK586" s="78">
        <f t="shared" si="2041"/>
        <v>10</v>
      </c>
      <c r="CL586" s="78">
        <f t="shared" si="2041"/>
        <v>10</v>
      </c>
      <c r="CM586" s="78">
        <f t="shared" si="2041"/>
        <v>10</v>
      </c>
      <c r="CN586" s="58">
        <f t="shared" si="2041"/>
        <v>20</v>
      </c>
      <c r="CO586" s="58">
        <f t="shared" si="2041"/>
        <v>140</v>
      </c>
      <c r="CP586" s="58" t="str">
        <f t="shared" si="2041"/>
        <v/>
      </c>
      <c r="CQ586" s="58" t="str">
        <f t="shared" si="2041"/>
        <v/>
      </c>
      <c r="CR586" s="58" t="str">
        <f t="shared" si="2041"/>
        <v/>
      </c>
      <c r="CS586" s="57" t="str">
        <f t="shared" si="2041"/>
        <v/>
      </c>
      <c r="CT586" s="302" t="str">
        <f t="shared" si="2041"/>
        <v/>
      </c>
      <c r="CU586" s="312" t="str">
        <f t="shared" si="2031"/>
        <v/>
      </c>
      <c r="CV586" s="313" t="str">
        <f t="shared" si="2031"/>
        <v/>
      </c>
      <c r="CW586" s="314" t="str">
        <f t="shared" si="2031"/>
        <v/>
      </c>
      <c r="CX586" s="314" t="str">
        <f t="shared" si="2031"/>
        <v/>
      </c>
      <c r="CY586" s="314" t="str">
        <f t="shared" si="2031"/>
        <v/>
      </c>
      <c r="CZ586" s="314" t="str">
        <f t="shared" si="2031"/>
        <v/>
      </c>
      <c r="DA586" s="314" t="str">
        <f t="shared" si="2031"/>
        <v/>
      </c>
      <c r="DB586" s="315">
        <f t="shared" si="2031"/>
        <v>5</v>
      </c>
      <c r="DC586" s="315">
        <f t="shared" si="2031"/>
        <v>10</v>
      </c>
      <c r="DD586" s="315">
        <f t="shared" si="2031"/>
        <v>20</v>
      </c>
      <c r="DE586" s="314">
        <f t="shared" si="2031"/>
        <v>20</v>
      </c>
      <c r="DF586" s="314" t="str">
        <f t="shared" si="2031"/>
        <v/>
      </c>
      <c r="DG586" s="314" t="str">
        <f t="shared" si="2031"/>
        <v/>
      </c>
      <c r="DH586" s="314" t="str">
        <f t="shared" si="2031"/>
        <v/>
      </c>
      <c r="DI586" s="314" t="str">
        <f t="shared" si="2031"/>
        <v/>
      </c>
      <c r="DJ586" s="313" t="str">
        <f t="shared" si="2031"/>
        <v/>
      </c>
      <c r="DK586" s="312" t="str">
        <f t="shared" si="2032"/>
        <v/>
      </c>
      <c r="DL586" s="662">
        <f t="shared" si="2033"/>
        <v>6</v>
      </c>
      <c r="DM586" s="617">
        <f t="shared" si="2034"/>
        <v>4</v>
      </c>
      <c r="DN586" s="617">
        <f t="shared" si="2035"/>
        <v>0</v>
      </c>
      <c r="DO586" s="617">
        <f t="shared" si="2036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>
        <f t="shared" si="2037"/>
        <v>12</v>
      </c>
      <c r="CA587" s="660">
        <f t="shared" si="2038"/>
        <v>12</v>
      </c>
      <c r="CB587" s="660" t="str">
        <f t="shared" si="2039"/>
        <v/>
      </c>
      <c r="CC587" s="661" t="str">
        <f t="shared" si="2040"/>
        <v/>
      </c>
      <c r="CD587" s="301" t="str">
        <f t="shared" si="2046"/>
        <v/>
      </c>
      <c r="CE587" s="57" t="str">
        <f t="shared" si="2041"/>
        <v/>
      </c>
      <c r="CF587" s="58" t="str">
        <f t="shared" si="2041"/>
        <v/>
      </c>
      <c r="CG587" s="58" t="str">
        <f t="shared" si="2041"/>
        <v/>
      </c>
      <c r="CH587" s="58" t="str">
        <f t="shared" si="2041"/>
        <v/>
      </c>
      <c r="CI587" s="58" t="str">
        <f t="shared" si="2041"/>
        <v/>
      </c>
      <c r="CJ587" s="58">
        <f t="shared" si="2041"/>
        <v>2</v>
      </c>
      <c r="CK587" s="78">
        <f t="shared" si="2041"/>
        <v>3</v>
      </c>
      <c r="CL587" s="78">
        <f t="shared" si="2041"/>
        <v>9</v>
      </c>
      <c r="CM587" s="78">
        <f t="shared" si="2041"/>
        <v>12</v>
      </c>
      <c r="CN587" s="58">
        <f t="shared" si="2041"/>
        <v>24</v>
      </c>
      <c r="CO587" s="58">
        <f t="shared" si="2041"/>
        <v>28</v>
      </c>
      <c r="CP587" s="58" t="str">
        <f t="shared" si="2041"/>
        <v/>
      </c>
      <c r="CQ587" s="58" t="str">
        <f t="shared" si="2041"/>
        <v/>
      </c>
      <c r="CR587" s="58" t="str">
        <f t="shared" si="2041"/>
        <v/>
      </c>
      <c r="CS587" s="57" t="str">
        <f t="shared" si="2041"/>
        <v/>
      </c>
      <c r="CT587" s="302" t="str">
        <f t="shared" si="2041"/>
        <v/>
      </c>
      <c r="CU587" s="324" t="str">
        <f t="shared" si="2031"/>
        <v/>
      </c>
      <c r="CV587" s="325" t="str">
        <f t="shared" si="2031"/>
        <v/>
      </c>
      <c r="CW587" s="326" t="str">
        <f t="shared" si="2031"/>
        <v/>
      </c>
      <c r="CX587" s="326" t="str">
        <f t="shared" si="2031"/>
        <v/>
      </c>
      <c r="CY587" s="326" t="str">
        <f t="shared" si="2031"/>
        <v/>
      </c>
      <c r="CZ587" s="326" t="str">
        <f t="shared" si="2031"/>
        <v/>
      </c>
      <c r="DA587" s="326" t="str">
        <f t="shared" si="2031"/>
        <v/>
      </c>
      <c r="DB587" s="327">
        <f t="shared" si="2031"/>
        <v>8</v>
      </c>
      <c r="DC587" s="327">
        <f t="shared" si="2031"/>
        <v>12</v>
      </c>
      <c r="DD587" s="327">
        <f t="shared" si="2031"/>
        <v>12</v>
      </c>
      <c r="DE587" s="326">
        <f t="shared" si="2031"/>
        <v>48</v>
      </c>
      <c r="DF587" s="326" t="str">
        <f t="shared" si="2031"/>
        <v/>
      </c>
      <c r="DG587" s="326" t="str">
        <f t="shared" si="2031"/>
        <v/>
      </c>
      <c r="DH587" s="326" t="str">
        <f t="shared" si="2031"/>
        <v/>
      </c>
      <c r="DI587" s="326" t="str">
        <f t="shared" si="2031"/>
        <v/>
      </c>
      <c r="DJ587" s="325" t="str">
        <f t="shared" si="2031"/>
        <v/>
      </c>
      <c r="DK587" s="324" t="str">
        <f t="shared" si="1994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048">3420*$K$1</f>
        <v>3420</v>
      </c>
      <c r="C588" s="536">
        <f t="shared" si="2048"/>
        <v>3420</v>
      </c>
      <c r="D588" s="536">
        <f t="shared" si="2048"/>
        <v>3420</v>
      </c>
      <c r="E588" s="536">
        <f t="shared" si="2048"/>
        <v>3420</v>
      </c>
      <c r="F588" s="536">
        <f t="shared" si="2048"/>
        <v>3420</v>
      </c>
      <c r="G588" s="536">
        <f t="shared" si="2048"/>
        <v>3420</v>
      </c>
      <c r="H588" s="536">
        <f t="shared" si="2048"/>
        <v>3420</v>
      </c>
      <c r="I588" s="536">
        <v>3420</v>
      </c>
      <c r="J588" s="536">
        <f t="shared" si="2048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2049">3420*$K$1</f>
        <v>3420</v>
      </c>
      <c r="V588" s="536">
        <f t="shared" si="2049"/>
        <v>3420</v>
      </c>
      <c r="W588" s="536">
        <f t="shared" si="2049"/>
        <v>3420</v>
      </c>
      <c r="X588" s="536">
        <f t="shared" si="2049"/>
        <v>3420</v>
      </c>
      <c r="Y588" s="536">
        <f t="shared" si="2049"/>
        <v>3420</v>
      </c>
      <c r="Z588" s="536">
        <f t="shared" si="2049"/>
        <v>3420</v>
      </c>
      <c r="AA588" s="536">
        <f t="shared" si="2049"/>
        <v>3420</v>
      </c>
      <c r="AB588" s="536">
        <f t="shared" si="2049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2050">3420*$K$1</f>
        <v>3420</v>
      </c>
      <c r="AN588" s="536">
        <f t="shared" si="2050"/>
        <v>3420</v>
      </c>
      <c r="AO588" s="536">
        <f t="shared" si="2050"/>
        <v>3420</v>
      </c>
      <c r="AP588" s="536">
        <f t="shared" si="2050"/>
        <v>3420</v>
      </c>
      <c r="AQ588" s="536">
        <f t="shared" si="2050"/>
        <v>3420</v>
      </c>
      <c r="AR588" s="536">
        <f t="shared" si="2050"/>
        <v>3420</v>
      </c>
      <c r="AS588" s="536">
        <f t="shared" si="2050"/>
        <v>3420</v>
      </c>
      <c r="AT588" s="536">
        <f t="shared" si="2050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2051">3420*$K$1</f>
        <v>3420</v>
      </c>
      <c r="BF588" s="536">
        <f t="shared" si="2051"/>
        <v>3420</v>
      </c>
      <c r="BG588" s="536">
        <f t="shared" si="2051"/>
        <v>3420</v>
      </c>
      <c r="BH588" s="536">
        <f t="shared" si="2051"/>
        <v>3420</v>
      </c>
      <c r="BI588" s="536">
        <f t="shared" si="2051"/>
        <v>3420</v>
      </c>
      <c r="BJ588" s="536">
        <f t="shared" si="2051"/>
        <v>3420</v>
      </c>
      <c r="BK588" s="536">
        <f t="shared" si="2051"/>
        <v>3420</v>
      </c>
      <c r="BL588" s="536">
        <f t="shared" si="2051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2051"/>
        <v>3420</v>
      </c>
      <c r="BW588" s="536">
        <f t="shared" si="2051"/>
        <v>3420</v>
      </c>
      <c r="BX588" s="536">
        <f t="shared" si="2051"/>
        <v>3420</v>
      </c>
      <c r="BY588" s="536">
        <f t="shared" si="2051"/>
        <v>3420</v>
      </c>
      <c r="BZ588" s="660">
        <f t="shared" si="2037"/>
        <v>3420</v>
      </c>
      <c r="CA588" s="660">
        <f t="shared" si="2038"/>
        <v>3420</v>
      </c>
      <c r="CB588" s="660">
        <f t="shared" si="2039"/>
        <v>3420</v>
      </c>
      <c r="CC588" s="661">
        <f t="shared" si="2040"/>
        <v>3420</v>
      </c>
      <c r="CD588" s="301" t="str">
        <f t="shared" si="2046"/>
        <v/>
      </c>
      <c r="CE588" s="57" t="str">
        <f t="shared" si="2041"/>
        <v/>
      </c>
      <c r="CF588" s="58" t="str">
        <f t="shared" si="2041"/>
        <v/>
      </c>
      <c r="CG588" s="58" t="str">
        <f t="shared" si="2041"/>
        <v/>
      </c>
      <c r="CH588" s="58">
        <f t="shared" si="2041"/>
        <v>3420</v>
      </c>
      <c r="CI588" s="58">
        <f t="shared" si="2041"/>
        <v>3420</v>
      </c>
      <c r="CJ588" s="58">
        <f t="shared" si="2041"/>
        <v>3420</v>
      </c>
      <c r="CK588" s="78">
        <f t="shared" si="2041"/>
        <v>3420</v>
      </c>
      <c r="CL588" s="78">
        <f t="shared" si="2041"/>
        <v>3420</v>
      </c>
      <c r="CM588" s="78">
        <f t="shared" si="2041"/>
        <v>3420</v>
      </c>
      <c r="CN588" s="58">
        <f t="shared" si="2041"/>
        <v>3420</v>
      </c>
      <c r="CO588" s="58">
        <f t="shared" si="2041"/>
        <v>3420</v>
      </c>
      <c r="CP588" s="58">
        <f t="shared" si="2041"/>
        <v>3420</v>
      </c>
      <c r="CQ588" s="58" t="str">
        <f t="shared" si="2041"/>
        <v/>
      </c>
      <c r="CR588" s="58" t="str">
        <f t="shared" si="2041"/>
        <v/>
      </c>
      <c r="CS588" s="57" t="str">
        <f t="shared" si="2041"/>
        <v/>
      </c>
      <c r="CT588" s="302" t="str">
        <f t="shared" si="2041"/>
        <v/>
      </c>
      <c r="CU588" s="324" t="str">
        <f t="shared" si="2031"/>
        <v/>
      </c>
      <c r="CV588" s="325" t="str">
        <f t="shared" si="2031"/>
        <v/>
      </c>
      <c r="CW588" s="326" t="str">
        <f t="shared" si="2031"/>
        <v/>
      </c>
      <c r="CX588" s="326" t="str">
        <f t="shared" si="2031"/>
        <v/>
      </c>
      <c r="CY588" s="326">
        <f t="shared" si="2031"/>
        <v>3420</v>
      </c>
      <c r="CZ588" s="326">
        <f t="shared" si="2031"/>
        <v>3420</v>
      </c>
      <c r="DA588" s="326">
        <f t="shared" si="2031"/>
        <v>3420</v>
      </c>
      <c r="DB588" s="327">
        <f t="shared" si="2031"/>
        <v>3420</v>
      </c>
      <c r="DC588" s="327">
        <f t="shared" si="2031"/>
        <v>3420</v>
      </c>
      <c r="DD588" s="327">
        <f t="shared" si="2031"/>
        <v>3420</v>
      </c>
      <c r="DE588" s="326">
        <f t="shared" si="2031"/>
        <v>3420</v>
      </c>
      <c r="DF588" s="326">
        <f t="shared" si="2031"/>
        <v>3420</v>
      </c>
      <c r="DG588" s="326">
        <f t="shared" si="2031"/>
        <v>3420</v>
      </c>
      <c r="DH588" s="326" t="str">
        <f t="shared" si="2031"/>
        <v/>
      </c>
      <c r="DI588" s="326" t="str">
        <f t="shared" si="2031"/>
        <v/>
      </c>
      <c r="DJ588" s="325" t="str">
        <f t="shared" si="2031"/>
        <v/>
      </c>
      <c r="DK588" s="324" t="str">
        <f t="shared" si="1994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052">IF(B587="","",B587*B588/B$46/365/$G$1)</f>
        <v/>
      </c>
      <c r="C589" s="540">
        <f t="shared" si="2052"/>
        <v>1.5297735532569193E-2</v>
      </c>
      <c r="D589" s="540">
        <f t="shared" si="2052"/>
        <v>8.923679060665362E-3</v>
      </c>
      <c r="E589" s="540" t="str">
        <f t="shared" si="2052"/>
        <v/>
      </c>
      <c r="F589" s="540">
        <f t="shared" si="2052"/>
        <v>1.487279843444227E-3</v>
      </c>
      <c r="G589" s="540">
        <f t="shared" si="2052"/>
        <v>1.6731898238747554E-3</v>
      </c>
      <c r="H589" s="540">
        <f t="shared" si="2052"/>
        <v>6.6927592954990215E-3</v>
      </c>
      <c r="I589" s="540" t="str">
        <f t="shared" si="2052"/>
        <v/>
      </c>
      <c r="J589" s="540">
        <f t="shared" si="2052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053">IF(T587="","",T587*T588/T$46/365/$G$1)</f>
        <v/>
      </c>
      <c r="U589" s="540" t="str">
        <f t="shared" si="2053"/>
        <v/>
      </c>
      <c r="V589" s="540" t="str">
        <f t="shared" si="2053"/>
        <v/>
      </c>
      <c r="W589" s="540">
        <f t="shared" si="2053"/>
        <v>5.3542074363992177E-3</v>
      </c>
      <c r="X589" s="540">
        <f t="shared" si="2053"/>
        <v>6.6927592954990215E-3</v>
      </c>
      <c r="Y589" s="540">
        <f t="shared" si="2053"/>
        <v>3.0595471065138387E-2</v>
      </c>
      <c r="Z589" s="540">
        <f t="shared" si="2053"/>
        <v>4.461839530332681E-3</v>
      </c>
      <c r="AA589" s="540" t="str">
        <f t="shared" si="2053"/>
        <v/>
      </c>
      <c r="AB589" s="540" t="str">
        <f t="shared" si="2053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2054">IF(AL587="","",AL587*AL588/AL$46/365/$G$1)</f>
        <v/>
      </c>
      <c r="AM589" s="540" t="str">
        <f t="shared" si="2054"/>
        <v/>
      </c>
      <c r="AN589" s="540" t="str">
        <f t="shared" si="2054"/>
        <v/>
      </c>
      <c r="AO589" s="540" t="str">
        <f t="shared" si="2054"/>
        <v/>
      </c>
      <c r="AP589" s="540" t="str">
        <f t="shared" si="2054"/>
        <v/>
      </c>
      <c r="AQ589" s="540" t="str">
        <f t="shared" si="2054"/>
        <v/>
      </c>
      <c r="AR589" s="540" t="str">
        <f t="shared" si="2054"/>
        <v/>
      </c>
      <c r="AS589" s="540" t="str">
        <f t="shared" si="2054"/>
        <v/>
      </c>
      <c r="AT589" s="540" t="str">
        <f t="shared" si="2054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2055">IF(BD587="","",BD587*BD588/BD$46/365/$G$1)</f>
        <v/>
      </c>
      <c r="BE589" s="540" t="str">
        <f t="shared" si="2055"/>
        <v/>
      </c>
      <c r="BF589" s="540" t="str">
        <f t="shared" si="2055"/>
        <v/>
      </c>
      <c r="BG589" s="540" t="str">
        <f t="shared" si="2055"/>
        <v/>
      </c>
      <c r="BH589" s="540" t="str">
        <f t="shared" si="2055"/>
        <v/>
      </c>
      <c r="BI589" s="540" t="str">
        <f t="shared" si="2055"/>
        <v/>
      </c>
      <c r="BJ589" s="540" t="str">
        <f t="shared" si="2055"/>
        <v/>
      </c>
      <c r="BK589" s="540" t="str">
        <f t="shared" si="2055"/>
        <v/>
      </c>
      <c r="BL589" s="540" t="str">
        <f t="shared" si="2055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4" t="str">
        <f t="shared" si="2046"/>
        <v/>
      </c>
      <c r="CE589" s="1115" t="str">
        <f t="shared" si="2041"/>
        <v/>
      </c>
      <c r="CF589" s="1116" t="str">
        <f t="shared" si="2041"/>
        <v/>
      </c>
      <c r="CG589" s="1116" t="str">
        <f t="shared" si="2041"/>
        <v/>
      </c>
      <c r="CH589" s="1116" t="str">
        <f t="shared" si="2041"/>
        <v/>
      </c>
      <c r="CI589" s="1116" t="str">
        <f t="shared" si="2041"/>
        <v/>
      </c>
      <c r="CJ589" s="1116">
        <f t="shared" si="2041"/>
        <v>1.487279843444227E-3</v>
      </c>
      <c r="CK589" s="1117">
        <f t="shared" si="2041"/>
        <v>1.6731898238747554E-3</v>
      </c>
      <c r="CL589" s="1117">
        <f t="shared" si="2041"/>
        <v>6.6927592954990215E-3</v>
      </c>
      <c r="CM589" s="1117">
        <f t="shared" si="2041"/>
        <v>8.923679060665362E-3</v>
      </c>
      <c r="CN589" s="1116">
        <f t="shared" si="2041"/>
        <v>1.5297735532569193E-2</v>
      </c>
      <c r="CO589" s="1116">
        <f t="shared" si="2041"/>
        <v>1.7847358121330724E-2</v>
      </c>
      <c r="CP589" s="1116" t="str">
        <f t="shared" si="2041"/>
        <v/>
      </c>
      <c r="CQ589" s="1116" t="str">
        <f t="shared" si="2041"/>
        <v/>
      </c>
      <c r="CR589" s="1116" t="str">
        <f t="shared" si="2041"/>
        <v/>
      </c>
      <c r="CS589" s="1115" t="str">
        <f t="shared" si="2041"/>
        <v/>
      </c>
      <c r="CT589" s="1118" t="str">
        <f t="shared" si="2041"/>
        <v/>
      </c>
      <c r="CU589" s="312" t="str">
        <f t="shared" si="2031"/>
        <v/>
      </c>
      <c r="CV589" s="313" t="str">
        <f t="shared" si="2031"/>
        <v/>
      </c>
      <c r="CW589" s="314" t="str">
        <f t="shared" si="2031"/>
        <v/>
      </c>
      <c r="CX589" s="314" t="str">
        <f t="shared" si="2031"/>
        <v/>
      </c>
      <c r="CY589" s="314" t="str">
        <f t="shared" si="2031"/>
        <v/>
      </c>
      <c r="CZ589" s="314" t="str">
        <f t="shared" si="2031"/>
        <v/>
      </c>
      <c r="DA589" s="314" t="str">
        <f t="shared" si="2031"/>
        <v/>
      </c>
      <c r="DB589" s="315">
        <f t="shared" si="2031"/>
        <v>4.461839530332681E-3</v>
      </c>
      <c r="DC589" s="315">
        <f t="shared" si="2031"/>
        <v>5.3542074363992177E-3</v>
      </c>
      <c r="DD589" s="315">
        <f t="shared" si="2031"/>
        <v>6.6927592954990215E-3</v>
      </c>
      <c r="DE589" s="314">
        <f t="shared" si="2031"/>
        <v>3.0595471065138387E-2</v>
      </c>
      <c r="DF589" s="314" t="str">
        <f t="shared" si="2031"/>
        <v/>
      </c>
      <c r="DG589" s="314" t="str">
        <f t="shared" si="2031"/>
        <v/>
      </c>
      <c r="DH589" s="314" t="str">
        <f t="shared" si="2031"/>
        <v/>
      </c>
      <c r="DI589" s="314" t="str">
        <f t="shared" si="2031"/>
        <v/>
      </c>
      <c r="DJ589" s="313" t="str">
        <f t="shared" si="2031"/>
        <v/>
      </c>
      <c r="DK589" s="312" t="str">
        <f t="shared" si="2032"/>
        <v/>
      </c>
      <c r="DL589" s="428">
        <f t="shared" si="2033"/>
        <v>6</v>
      </c>
      <c r="DM589" s="66">
        <f t="shared" si="2034"/>
        <v>4</v>
      </c>
      <c r="DN589" s="66">
        <f t="shared" si="2035"/>
        <v>0</v>
      </c>
      <c r="DO589" s="66">
        <f t="shared" si="2036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>
        <f t="shared" ref="BZ590:BZ591" si="2056">IF(DL590&lt;3,"",(SUM(B590:R590)-MIN(B590:R590)-MAX(B590:R590))/(DL590-2))</f>
        <v>5.2</v>
      </c>
      <c r="CA590" s="660">
        <f t="shared" ref="CA590:CA591" si="2057">IF(DM590&lt;3,"",(SUM(T590:AJ590)-MIN(T590:AJ590)-MAX(T590:AJ590))/(DM590-2))</f>
        <v>9.5</v>
      </c>
      <c r="CB590" s="660" t="str">
        <f t="shared" ref="CB590:CB591" si="2058">IF(DN590&lt;3,"",(SUM(AL590:BB590)-MIN(AL590:BB590)-MAX(AL590:BB590))/(DN590-2))</f>
        <v/>
      </c>
      <c r="CC590" s="661" t="str">
        <f t="shared" ref="CC590:CC591" si="2059">IF(DO590&lt;3,"",(SUM(BD590:BT590)-MIN(BD590:BT590)-MAX(BD590:BT590))/(DO590-2))</f>
        <v/>
      </c>
      <c r="CD590" s="301" t="str">
        <f t="shared" si="2046"/>
        <v/>
      </c>
      <c r="CE590" s="57" t="str">
        <f t="shared" si="2041"/>
        <v/>
      </c>
      <c r="CF590" s="58" t="str">
        <f t="shared" si="2041"/>
        <v/>
      </c>
      <c r="CG590" s="58" t="str">
        <f t="shared" si="2041"/>
        <v/>
      </c>
      <c r="CH590" s="58" t="str">
        <f t="shared" si="2041"/>
        <v/>
      </c>
      <c r="CI590" s="58" t="str">
        <f t="shared" si="2041"/>
        <v/>
      </c>
      <c r="CJ590" s="58">
        <f t="shared" si="2041"/>
        <v>3</v>
      </c>
      <c r="CK590" s="78">
        <f t="shared" si="2041"/>
        <v>3</v>
      </c>
      <c r="CL590" s="78">
        <f t="shared" si="2041"/>
        <v>5.6</v>
      </c>
      <c r="CM590" s="78">
        <f t="shared" si="2041"/>
        <v>7</v>
      </c>
      <c r="CN590" s="58">
        <f t="shared" si="2041"/>
        <v>15</v>
      </c>
      <c r="CO590" s="58" t="str">
        <f t="shared" si="2041"/>
        <v/>
      </c>
      <c r="CP590" s="58" t="str">
        <f t="shared" si="2041"/>
        <v/>
      </c>
      <c r="CQ590" s="58" t="str">
        <f t="shared" si="2041"/>
        <v/>
      </c>
      <c r="CR590" s="58" t="str">
        <f t="shared" si="2041"/>
        <v/>
      </c>
      <c r="CS590" s="57" t="str">
        <f t="shared" si="2041"/>
        <v/>
      </c>
      <c r="CT590" s="302" t="str">
        <f t="shared" si="2041"/>
        <v/>
      </c>
      <c r="CU590" s="324" t="str">
        <f t="shared" si="2031"/>
        <v/>
      </c>
      <c r="CV590" s="325" t="str">
        <f t="shared" si="2031"/>
        <v/>
      </c>
      <c r="CW590" s="326" t="str">
        <f t="shared" si="2031"/>
        <v/>
      </c>
      <c r="CX590" s="326" t="str">
        <f t="shared" si="2031"/>
        <v/>
      </c>
      <c r="CY590" s="326" t="str">
        <f t="shared" si="2031"/>
        <v/>
      </c>
      <c r="CZ590" s="326" t="str">
        <f t="shared" si="2031"/>
        <v/>
      </c>
      <c r="DA590" s="326" t="str">
        <f t="shared" si="2031"/>
        <v/>
      </c>
      <c r="DB590" s="327">
        <f t="shared" si="2031"/>
        <v>0.75</v>
      </c>
      <c r="DC590" s="327">
        <f t="shared" si="2031"/>
        <v>4</v>
      </c>
      <c r="DD590" s="327">
        <f t="shared" si="2031"/>
        <v>15</v>
      </c>
      <c r="DE590" s="326">
        <f t="shared" si="2031"/>
        <v>30</v>
      </c>
      <c r="DF590" s="326" t="str">
        <f t="shared" si="2031"/>
        <v/>
      </c>
      <c r="DG590" s="326" t="str">
        <f t="shared" si="2031"/>
        <v/>
      </c>
      <c r="DH590" s="326" t="str">
        <f t="shared" si="2031"/>
        <v/>
      </c>
      <c r="DI590" s="326" t="str">
        <f t="shared" si="2031"/>
        <v/>
      </c>
      <c r="DJ590" s="325" t="str">
        <f t="shared" si="2031"/>
        <v/>
      </c>
      <c r="DK590" s="324" t="str">
        <f t="shared" si="1994"/>
        <v/>
      </c>
      <c r="DL590" s="662">
        <f t="shared" si="2033"/>
        <v>5</v>
      </c>
      <c r="DM590" s="617">
        <f t="shared" si="2034"/>
        <v>4</v>
      </c>
      <c r="DN590" s="617">
        <f t="shared" si="2035"/>
        <v>0</v>
      </c>
      <c r="DO590" s="617">
        <f t="shared" si="2036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 t="shared" ref="B591:J591" si="2060">IF(B590="","",B587*B590)</f>
        <v/>
      </c>
      <c r="C591" s="535">
        <f t="shared" si="2060"/>
        <v>134.39999999999998</v>
      </c>
      <c r="D591" s="535">
        <f t="shared" si="2060"/>
        <v>84</v>
      </c>
      <c r="E591" s="535" t="str">
        <f t="shared" si="2060"/>
        <v/>
      </c>
      <c r="F591" s="535" t="str">
        <f t="shared" si="2060"/>
        <v/>
      </c>
      <c r="G591" s="535">
        <f t="shared" si="2060"/>
        <v>45</v>
      </c>
      <c r="H591" s="535">
        <f t="shared" si="2060"/>
        <v>27</v>
      </c>
      <c r="I591" s="535" t="str">
        <f t="shared" si="2060"/>
        <v/>
      </c>
      <c r="J591" s="535">
        <f t="shared" si="2060"/>
        <v>84</v>
      </c>
      <c r="K591" s="535"/>
      <c r="L591" s="535"/>
      <c r="M591" s="535"/>
      <c r="N591" s="535"/>
      <c r="O591" s="535"/>
      <c r="P591" s="535"/>
      <c r="Q591" s="535"/>
      <c r="R591" s="535"/>
      <c r="S591" s="541"/>
      <c r="T591" s="535" t="str">
        <f t="shared" ref="T591:AB591" si="2061">IF(T590="","",T587*T590)</f>
        <v/>
      </c>
      <c r="U591" s="535" t="str">
        <f t="shared" si="2061"/>
        <v/>
      </c>
      <c r="V591" s="535" t="str">
        <f t="shared" si="2061"/>
        <v/>
      </c>
      <c r="W591" s="535">
        <f t="shared" si="2061"/>
        <v>180</v>
      </c>
      <c r="X591" s="535">
        <f t="shared" si="2061"/>
        <v>9</v>
      </c>
      <c r="Y591" s="535">
        <f t="shared" si="2061"/>
        <v>1440</v>
      </c>
      <c r="Z591" s="535">
        <f t="shared" si="2061"/>
        <v>32</v>
      </c>
      <c r="AA591" s="535" t="str">
        <f t="shared" si="2061"/>
        <v/>
      </c>
      <c r="AB591" s="535" t="str">
        <f t="shared" si="2061"/>
        <v/>
      </c>
      <c r="AC591" s="535"/>
      <c r="AD591" s="535"/>
      <c r="AE591" s="535"/>
      <c r="AF591" s="535"/>
      <c r="AG591" s="535"/>
      <c r="AH591" s="535"/>
      <c r="AI591" s="535"/>
      <c r="AJ591" s="535"/>
      <c r="AK591" s="541"/>
      <c r="AL591" s="535" t="str">
        <f t="shared" ref="AL591:AT591" si="2062">IF(AL590="","",AL587*AL590)</f>
        <v/>
      </c>
      <c r="AM591" s="535" t="str">
        <f t="shared" si="2062"/>
        <v/>
      </c>
      <c r="AN591" s="535" t="str">
        <f t="shared" si="2062"/>
        <v/>
      </c>
      <c r="AO591" s="535" t="str">
        <f t="shared" si="2062"/>
        <v/>
      </c>
      <c r="AP591" s="535" t="str">
        <f t="shared" si="2062"/>
        <v/>
      </c>
      <c r="AQ591" s="535" t="str">
        <f t="shared" si="2062"/>
        <v/>
      </c>
      <c r="AR591" s="535" t="str">
        <f t="shared" si="2062"/>
        <v/>
      </c>
      <c r="AS591" s="535" t="str">
        <f t="shared" si="2062"/>
        <v/>
      </c>
      <c r="AT591" s="535" t="str">
        <f t="shared" si="2062"/>
        <v/>
      </c>
      <c r="AU591" s="535"/>
      <c r="AV591" s="535"/>
      <c r="AW591" s="535"/>
      <c r="AX591" s="535"/>
      <c r="AY591" s="535"/>
      <c r="AZ591" s="535"/>
      <c r="BA591" s="535"/>
      <c r="BB591" s="535"/>
      <c r="BC591" s="541"/>
      <c r="BD591" s="535" t="str">
        <f t="shared" ref="BD591:BL591" si="2063">IF(BD590="","",BD587*BD590)</f>
        <v/>
      </c>
      <c r="BE591" s="535" t="str">
        <f t="shared" si="2063"/>
        <v/>
      </c>
      <c r="BF591" s="535" t="str">
        <f t="shared" si="2063"/>
        <v/>
      </c>
      <c r="BG591" s="535" t="str">
        <f t="shared" si="2063"/>
        <v/>
      </c>
      <c r="BH591" s="535" t="str">
        <f t="shared" si="2063"/>
        <v/>
      </c>
      <c r="BI591" s="535" t="str">
        <f t="shared" si="2063"/>
        <v/>
      </c>
      <c r="BJ591" s="535" t="str">
        <f t="shared" si="2063"/>
        <v/>
      </c>
      <c r="BK591" s="535" t="str">
        <f t="shared" si="2063"/>
        <v/>
      </c>
      <c r="BL591" s="535" t="str">
        <f t="shared" si="2063"/>
        <v/>
      </c>
      <c r="BM591" s="535"/>
      <c r="BN591" s="535"/>
      <c r="BO591" s="535"/>
      <c r="BP591" s="535"/>
      <c r="BQ591" s="535"/>
      <c r="BR591" s="535"/>
      <c r="BS591" s="535"/>
      <c r="BT591" s="535"/>
      <c r="BU591" s="541"/>
      <c r="BV591" s="535" t="str">
        <f>IF(BV590="","",BV587*BV590)</f>
        <v/>
      </c>
      <c r="BW591" s="535" t="str">
        <f>IF(BW590="","",BW587*BW590)</f>
        <v/>
      </c>
      <c r="BX591" s="535" t="str">
        <f>IF(BX590="","",BX587*BX590)</f>
        <v/>
      </c>
      <c r="BY591" s="535" t="str">
        <f>IF(BY590="","",BY587*BY590)</f>
        <v/>
      </c>
      <c r="BZ591" s="660">
        <f t="shared" si="2056"/>
        <v>71</v>
      </c>
      <c r="CA591" s="660">
        <f t="shared" si="2057"/>
        <v>106</v>
      </c>
      <c r="CB591" s="660" t="str">
        <f t="shared" si="2058"/>
        <v/>
      </c>
      <c r="CC591" s="661" t="str">
        <f t="shared" si="2059"/>
        <v/>
      </c>
      <c r="CD591" s="301" t="str">
        <f t="shared" si="2046"/>
        <v/>
      </c>
      <c r="CE591" s="57" t="str">
        <f t="shared" si="2041"/>
        <v/>
      </c>
      <c r="CF591" s="58" t="str">
        <f t="shared" si="2041"/>
        <v/>
      </c>
      <c r="CG591" s="58" t="str">
        <f t="shared" si="2041"/>
        <v/>
      </c>
      <c r="CH591" s="58" t="str">
        <f t="shared" si="2041"/>
        <v/>
      </c>
      <c r="CI591" s="58" t="str">
        <f t="shared" si="2041"/>
        <v/>
      </c>
      <c r="CJ591" s="58">
        <f t="shared" si="2041"/>
        <v>27</v>
      </c>
      <c r="CK591" s="78">
        <f t="shared" si="2041"/>
        <v>45</v>
      </c>
      <c r="CL591" s="78">
        <f t="shared" ref="CL591:CT591" si="206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2064"/>
        <v>84</v>
      </c>
      <c r="CN591" s="58">
        <f t="shared" si="2064"/>
        <v>134.39999999999998</v>
      </c>
      <c r="CO591" s="58" t="str">
        <f t="shared" si="2064"/>
        <v/>
      </c>
      <c r="CP591" s="58" t="str">
        <f t="shared" si="2064"/>
        <v/>
      </c>
      <c r="CQ591" s="58" t="str">
        <f t="shared" si="2064"/>
        <v/>
      </c>
      <c r="CR591" s="58" t="str">
        <f t="shared" si="2064"/>
        <v/>
      </c>
      <c r="CS591" s="57" t="str">
        <f t="shared" si="2064"/>
        <v/>
      </c>
      <c r="CT591" s="302" t="str">
        <f t="shared" si="2064"/>
        <v/>
      </c>
      <c r="CU591" s="324" t="str">
        <f t="shared" si="2031"/>
        <v/>
      </c>
      <c r="CV591" s="325" t="str">
        <f t="shared" si="2031"/>
        <v/>
      </c>
      <c r="CW591" s="326" t="str">
        <f t="shared" si="2031"/>
        <v/>
      </c>
      <c r="CX591" s="326" t="str">
        <f t="shared" si="2031"/>
        <v/>
      </c>
      <c r="CY591" s="326" t="str">
        <f t="shared" si="2031"/>
        <v/>
      </c>
      <c r="CZ591" s="326" t="str">
        <f t="shared" si="2031"/>
        <v/>
      </c>
      <c r="DA591" s="326" t="str">
        <f t="shared" si="2031"/>
        <v/>
      </c>
      <c r="DB591" s="327">
        <f t="shared" si="2031"/>
        <v>9</v>
      </c>
      <c r="DC591" s="327">
        <f t="shared" si="2031"/>
        <v>32</v>
      </c>
      <c r="DD591" s="327">
        <f t="shared" si="2031"/>
        <v>180</v>
      </c>
      <c r="DE591" s="326">
        <f t="shared" si="2031"/>
        <v>1440</v>
      </c>
      <c r="DF591" s="326" t="str">
        <f t="shared" si="2031"/>
        <v/>
      </c>
      <c r="DG591" s="326" t="str">
        <f t="shared" si="2031"/>
        <v/>
      </c>
      <c r="DH591" s="326" t="str">
        <f t="shared" si="2031"/>
        <v/>
      </c>
      <c r="DI591" s="326" t="str">
        <f t="shared" si="2031"/>
        <v/>
      </c>
      <c r="DJ591" s="325" t="str">
        <f t="shared" si="2031"/>
        <v/>
      </c>
      <c r="DK591" s="324" t="str">
        <f t="shared" si="1994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6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>
        <f t="shared" ref="BZ593:BZ595" si="2065">IF(DL593&lt;3,"",(SUM(B593:R593)-MIN(B593:R593)-MAX(B593:R593))/(DL593-2))</f>
        <v>1.3333333333333333</v>
      </c>
      <c r="CA593" s="660" t="str">
        <f t="shared" ref="CA593:CA595" si="2066">IF(DM593&lt;3,"",(SUM(T593:AJ593)-MIN(T593:AJ593)-MAX(T593:AJ593))/(DM593-2))</f>
        <v/>
      </c>
      <c r="CB593" s="660">
        <f t="shared" ref="CB593:CB595" si="2067">IF(DN593&lt;3,"",(SUM(AL593:BB593)-MIN(AL593:BB593)-MAX(AL593:BB593))/(DN593-2))</f>
        <v>1</v>
      </c>
      <c r="CC593" s="661" t="str">
        <f t="shared" ref="CC593:CC595" si="2068">IF(DO593&lt;3,"",(SUM(BD593:BT593)-MIN(BD593:BT593)-MAX(BD593:BT593))/(DO593-2))</f>
        <v/>
      </c>
      <c r="CD593" s="301" t="str">
        <f t="shared" ref="CD593:CM596" si="206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069"/>
        <v/>
      </c>
      <c r="CF593" s="58" t="str">
        <f t="shared" si="2069"/>
        <v/>
      </c>
      <c r="CG593" s="58" t="str">
        <f t="shared" si="2069"/>
        <v/>
      </c>
      <c r="CH593" s="58" t="str">
        <f t="shared" si="2069"/>
        <v/>
      </c>
      <c r="CI593" s="58" t="str">
        <f t="shared" si="2069"/>
        <v/>
      </c>
      <c r="CJ593" s="58">
        <f t="shared" si="2069"/>
        <v>1</v>
      </c>
      <c r="CK593" s="78">
        <f t="shared" si="2069"/>
        <v>1</v>
      </c>
      <c r="CL593" s="78">
        <f t="shared" si="2069"/>
        <v>1</v>
      </c>
      <c r="CM593" s="78">
        <f t="shared" si="2069"/>
        <v>2</v>
      </c>
      <c r="CN593" s="58">
        <f t="shared" ref="CN593:CT596" si="207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070"/>
        <v/>
      </c>
      <c r="CP593" s="58" t="str">
        <f t="shared" si="2070"/>
        <v/>
      </c>
      <c r="CQ593" s="58" t="str">
        <f t="shared" si="2070"/>
        <v/>
      </c>
      <c r="CR593" s="58" t="str">
        <f t="shared" si="2070"/>
        <v/>
      </c>
      <c r="CS593" s="57" t="str">
        <f t="shared" si="2070"/>
        <v/>
      </c>
      <c r="CT593" s="302" t="str">
        <f t="shared" si="2070"/>
        <v/>
      </c>
      <c r="CU593" s="324" t="str">
        <f t="shared" si="2031"/>
        <v/>
      </c>
      <c r="CV593" s="325" t="str">
        <f t="shared" si="2031"/>
        <v/>
      </c>
      <c r="CW593" s="326" t="str">
        <f t="shared" si="2031"/>
        <v/>
      </c>
      <c r="CX593" s="326" t="str">
        <f t="shared" si="2031"/>
        <v/>
      </c>
      <c r="CY593" s="326" t="str">
        <f t="shared" si="2031"/>
        <v/>
      </c>
      <c r="CZ593" s="326" t="str">
        <f t="shared" si="2031"/>
        <v/>
      </c>
      <c r="DA593" s="326" t="str">
        <f t="shared" si="2031"/>
        <v/>
      </c>
      <c r="DB593" s="327" t="str">
        <f t="shared" si="2031"/>
        <v/>
      </c>
      <c r="DC593" s="327">
        <f t="shared" si="2031"/>
        <v>0.5</v>
      </c>
      <c r="DD593" s="327">
        <f t="shared" si="2031"/>
        <v>0.5</v>
      </c>
      <c r="DE593" s="326" t="str">
        <f t="shared" si="2031"/>
        <v/>
      </c>
      <c r="DF593" s="326" t="str">
        <f t="shared" si="2031"/>
        <v/>
      </c>
      <c r="DG593" s="326" t="str">
        <f t="shared" si="2031"/>
        <v/>
      </c>
      <c r="DH593" s="326" t="str">
        <f t="shared" si="2031"/>
        <v/>
      </c>
      <c r="DI593" s="326" t="str">
        <f t="shared" si="2031"/>
        <v/>
      </c>
      <c r="DJ593" s="325" t="str">
        <f t="shared" si="2031"/>
        <v/>
      </c>
      <c r="DK593" s="324" t="str">
        <f t="shared" si="1994"/>
        <v/>
      </c>
      <c r="DL593" s="662">
        <f t="shared" ref="DL593:DL598" si="2071">COUNT(B593:R593)</f>
        <v>5</v>
      </c>
      <c r="DM593" s="617">
        <f t="shared" ref="DM593:DM598" si="2072">COUNT(T593:AJ593)</f>
        <v>2</v>
      </c>
      <c r="DN593" s="617">
        <f t="shared" ref="DN593:DN598" si="2073">COUNT(AL593:BB593)</f>
        <v>3</v>
      </c>
      <c r="DO593" s="617">
        <f t="shared" ref="DO593:DO598" si="207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>
        <f t="shared" si="2065"/>
        <v>64</v>
      </c>
      <c r="CA594" s="660" t="str">
        <f t="shared" si="2066"/>
        <v/>
      </c>
      <c r="CB594" s="660">
        <f t="shared" si="2067"/>
        <v>36</v>
      </c>
      <c r="CC594" s="661" t="str">
        <f t="shared" si="2068"/>
        <v/>
      </c>
      <c r="CD594" s="301" t="str">
        <f t="shared" si="2069"/>
        <v/>
      </c>
      <c r="CE594" s="57" t="str">
        <f t="shared" si="2069"/>
        <v/>
      </c>
      <c r="CF594" s="58" t="str">
        <f t="shared" si="2069"/>
        <v/>
      </c>
      <c r="CG594" s="58" t="str">
        <f t="shared" si="2069"/>
        <v/>
      </c>
      <c r="CH594" s="58" t="str">
        <f t="shared" si="2069"/>
        <v/>
      </c>
      <c r="CI594" s="58" t="str">
        <f t="shared" si="2069"/>
        <v/>
      </c>
      <c r="CJ594" s="58">
        <f t="shared" si="2069"/>
        <v>2</v>
      </c>
      <c r="CK594" s="78">
        <f t="shared" si="2069"/>
        <v>24</v>
      </c>
      <c r="CL594" s="78">
        <f t="shared" si="2069"/>
        <v>48</v>
      </c>
      <c r="CM594" s="78">
        <f t="shared" si="2069"/>
        <v>120</v>
      </c>
      <c r="CN594" s="58">
        <f t="shared" si="2070"/>
        <v>140</v>
      </c>
      <c r="CO594" s="58" t="str">
        <f t="shared" si="2070"/>
        <v/>
      </c>
      <c r="CP594" s="58" t="str">
        <f t="shared" si="2070"/>
        <v/>
      </c>
      <c r="CQ594" s="58" t="str">
        <f t="shared" si="2070"/>
        <v/>
      </c>
      <c r="CR594" s="58" t="str">
        <f t="shared" si="2070"/>
        <v/>
      </c>
      <c r="CS594" s="57" t="str">
        <f t="shared" si="2070"/>
        <v/>
      </c>
      <c r="CT594" s="302" t="str">
        <f t="shared" si="2070"/>
        <v/>
      </c>
      <c r="CU594" s="324" t="str">
        <f t="shared" si="2031"/>
        <v/>
      </c>
      <c r="CV594" s="325" t="str">
        <f t="shared" si="2031"/>
        <v/>
      </c>
      <c r="CW594" s="326" t="str">
        <f t="shared" si="2031"/>
        <v/>
      </c>
      <c r="CX594" s="326" t="str">
        <f t="shared" si="2031"/>
        <v/>
      </c>
      <c r="CY594" s="326" t="str">
        <f t="shared" si="2031"/>
        <v/>
      </c>
      <c r="CZ594" s="326" t="str">
        <f t="shared" si="2031"/>
        <v/>
      </c>
      <c r="DA594" s="326" t="str">
        <f t="shared" si="2031"/>
        <v/>
      </c>
      <c r="DB594" s="327" t="str">
        <f t="shared" si="2031"/>
        <v/>
      </c>
      <c r="DC594" s="327">
        <f t="shared" si="2031"/>
        <v>6</v>
      </c>
      <c r="DD594" s="327">
        <f t="shared" si="2031"/>
        <v>10</v>
      </c>
      <c r="DE594" s="326" t="str">
        <f t="shared" si="2031"/>
        <v/>
      </c>
      <c r="DF594" s="326" t="str">
        <f t="shared" si="2031"/>
        <v/>
      </c>
      <c r="DG594" s="326" t="str">
        <f t="shared" si="2031"/>
        <v/>
      </c>
      <c r="DH594" s="326" t="str">
        <f t="shared" ref="CU594:DJ595" si="207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075"/>
        <v/>
      </c>
      <c r="DJ594" s="325" t="str">
        <f t="shared" si="2075"/>
        <v/>
      </c>
      <c r="DK594" s="324" t="str">
        <f t="shared" si="1994"/>
        <v/>
      </c>
      <c r="DL594" s="662">
        <f t="shared" si="2071"/>
        <v>5</v>
      </c>
      <c r="DM594" s="617">
        <f t="shared" si="2072"/>
        <v>2</v>
      </c>
      <c r="DN594" s="617">
        <f t="shared" si="2073"/>
        <v>3</v>
      </c>
      <c r="DO594" s="617">
        <f t="shared" si="207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076">330*$K$1</f>
        <v>330</v>
      </c>
      <c r="C595" s="536">
        <f t="shared" si="2076"/>
        <v>330</v>
      </c>
      <c r="D595" s="536">
        <f t="shared" si="2076"/>
        <v>330</v>
      </c>
      <c r="E595" s="536">
        <f t="shared" si="2076"/>
        <v>330</v>
      </c>
      <c r="F595" s="536">
        <f t="shared" si="2076"/>
        <v>330</v>
      </c>
      <c r="G595" s="536">
        <f t="shared" si="2076"/>
        <v>330</v>
      </c>
      <c r="H595" s="536">
        <f t="shared" si="2076"/>
        <v>330</v>
      </c>
      <c r="I595" s="536">
        <f t="shared" si="2076"/>
        <v>330</v>
      </c>
      <c r="J595" s="536">
        <f t="shared" si="2076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2077">330*$K$1</f>
        <v>330</v>
      </c>
      <c r="U595" s="536">
        <f t="shared" si="2077"/>
        <v>330</v>
      </c>
      <c r="V595" s="536">
        <f t="shared" si="2077"/>
        <v>330</v>
      </c>
      <c r="W595" s="536">
        <f t="shared" si="2077"/>
        <v>330</v>
      </c>
      <c r="X595" s="536">
        <f t="shared" si="2077"/>
        <v>330</v>
      </c>
      <c r="Y595" s="536">
        <f t="shared" si="2077"/>
        <v>330</v>
      </c>
      <c r="Z595" s="536">
        <f t="shared" si="2077"/>
        <v>330</v>
      </c>
      <c r="AA595" s="536">
        <f t="shared" si="2077"/>
        <v>330</v>
      </c>
      <c r="AB595" s="536">
        <f t="shared" si="2077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2078">330*$K$1</f>
        <v>330</v>
      </c>
      <c r="AM595" s="536">
        <f t="shared" si="2078"/>
        <v>330</v>
      </c>
      <c r="AN595" s="536">
        <f t="shared" si="2078"/>
        <v>330</v>
      </c>
      <c r="AO595" s="536">
        <f t="shared" si="2078"/>
        <v>330</v>
      </c>
      <c r="AP595" s="536">
        <f t="shared" si="2078"/>
        <v>330</v>
      </c>
      <c r="AQ595" s="536">
        <f t="shared" si="2078"/>
        <v>330</v>
      </c>
      <c r="AR595" s="536">
        <f t="shared" si="2078"/>
        <v>330</v>
      </c>
      <c r="AS595" s="536">
        <f t="shared" si="2078"/>
        <v>330</v>
      </c>
      <c r="AT595" s="536">
        <f t="shared" si="2078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2079">330*$K$1</f>
        <v>330</v>
      </c>
      <c r="BE595" s="536">
        <f t="shared" si="2079"/>
        <v>330</v>
      </c>
      <c r="BF595" s="536">
        <f t="shared" si="2079"/>
        <v>330</v>
      </c>
      <c r="BG595" s="536">
        <f t="shared" si="2079"/>
        <v>330</v>
      </c>
      <c r="BH595" s="536">
        <f t="shared" si="2079"/>
        <v>330</v>
      </c>
      <c r="BI595" s="536">
        <f t="shared" si="2079"/>
        <v>330</v>
      </c>
      <c r="BJ595" s="536">
        <f t="shared" si="2079"/>
        <v>330</v>
      </c>
      <c r="BK595" s="536">
        <f t="shared" si="2079"/>
        <v>330</v>
      </c>
      <c r="BL595" s="536">
        <f t="shared" si="2079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>
        <f t="shared" si="2065"/>
        <v>330</v>
      </c>
      <c r="CA595" s="660">
        <f t="shared" si="2066"/>
        <v>330</v>
      </c>
      <c r="CB595" s="660">
        <f t="shared" si="2067"/>
        <v>330</v>
      </c>
      <c r="CC595" s="661">
        <f t="shared" si="2068"/>
        <v>330</v>
      </c>
      <c r="CD595" s="301" t="str">
        <f t="shared" si="2069"/>
        <v/>
      </c>
      <c r="CE595" s="57" t="str">
        <f t="shared" si="2069"/>
        <v/>
      </c>
      <c r="CF595" s="58" t="str">
        <f t="shared" si="2069"/>
        <v/>
      </c>
      <c r="CG595" s="58" t="str">
        <f t="shared" si="2069"/>
        <v/>
      </c>
      <c r="CH595" s="58">
        <f t="shared" si="2069"/>
        <v>330</v>
      </c>
      <c r="CI595" s="58">
        <f t="shared" si="2069"/>
        <v>330</v>
      </c>
      <c r="CJ595" s="58">
        <f t="shared" si="2069"/>
        <v>330</v>
      </c>
      <c r="CK595" s="78">
        <f t="shared" si="2069"/>
        <v>330</v>
      </c>
      <c r="CL595" s="78">
        <f t="shared" si="2069"/>
        <v>330</v>
      </c>
      <c r="CM595" s="78">
        <f t="shared" si="2069"/>
        <v>330</v>
      </c>
      <c r="CN595" s="58">
        <f t="shared" si="2070"/>
        <v>330</v>
      </c>
      <c r="CO595" s="58">
        <f t="shared" si="2070"/>
        <v>330</v>
      </c>
      <c r="CP595" s="58">
        <f t="shared" si="2070"/>
        <v>330</v>
      </c>
      <c r="CQ595" s="58" t="str">
        <f t="shared" si="2070"/>
        <v/>
      </c>
      <c r="CR595" s="58" t="str">
        <f t="shared" si="2070"/>
        <v/>
      </c>
      <c r="CS595" s="57" t="str">
        <f t="shared" si="2070"/>
        <v/>
      </c>
      <c r="CT595" s="302" t="str">
        <f t="shared" si="2070"/>
        <v/>
      </c>
      <c r="CU595" s="324" t="str">
        <f t="shared" si="2075"/>
        <v/>
      </c>
      <c r="CV595" s="325" t="str">
        <f t="shared" si="2075"/>
        <v/>
      </c>
      <c r="CW595" s="326" t="str">
        <f t="shared" si="2075"/>
        <v/>
      </c>
      <c r="CX595" s="326" t="str">
        <f t="shared" si="2075"/>
        <v/>
      </c>
      <c r="CY595" s="326">
        <f t="shared" si="2075"/>
        <v>330</v>
      </c>
      <c r="CZ595" s="326">
        <f t="shared" si="2075"/>
        <v>330</v>
      </c>
      <c r="DA595" s="326">
        <f t="shared" si="2075"/>
        <v>330</v>
      </c>
      <c r="DB595" s="327">
        <f t="shared" si="2075"/>
        <v>330</v>
      </c>
      <c r="DC595" s="327">
        <f t="shared" si="2075"/>
        <v>330</v>
      </c>
      <c r="DD595" s="327">
        <f t="shared" si="2075"/>
        <v>330</v>
      </c>
      <c r="DE595" s="326">
        <f t="shared" si="2075"/>
        <v>330</v>
      </c>
      <c r="DF595" s="326">
        <f t="shared" si="2075"/>
        <v>330</v>
      </c>
      <c r="DG595" s="326">
        <f t="shared" si="2075"/>
        <v>330</v>
      </c>
      <c r="DH595" s="326" t="str">
        <f t="shared" si="2075"/>
        <v/>
      </c>
      <c r="DI595" s="326" t="str">
        <f t="shared" si="2075"/>
        <v/>
      </c>
      <c r="DJ595" s="325" t="str">
        <f t="shared" si="2075"/>
        <v/>
      </c>
      <c r="DK595" s="324" t="str">
        <f t="shared" si="1994"/>
        <v/>
      </c>
      <c r="DL595" s="662">
        <f t="shared" si="2071"/>
        <v>9</v>
      </c>
      <c r="DM595" s="617">
        <f t="shared" si="2072"/>
        <v>9</v>
      </c>
      <c r="DN595" s="617">
        <f t="shared" si="2073"/>
        <v>9</v>
      </c>
      <c r="DO595" s="617">
        <f t="shared" si="2074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080">IF(B593="","",B593*B594*B595/B$46/365/$G$1)</f>
        <v>2.0665362035225047E-3</v>
      </c>
      <c r="C596" s="408" t="str">
        <f t="shared" si="2080"/>
        <v/>
      </c>
      <c r="D596" s="408">
        <f t="shared" si="2080"/>
        <v>5.1663405088062629E-3</v>
      </c>
      <c r="E596" s="408">
        <f t="shared" si="2080"/>
        <v>8.6105675146771043E-3</v>
      </c>
      <c r="F596" s="408" t="str">
        <f t="shared" si="2080"/>
        <v/>
      </c>
      <c r="G596" s="408">
        <f t="shared" si="2080"/>
        <v>7.534246575342466E-3</v>
      </c>
      <c r="H596" s="408">
        <f t="shared" si="2080"/>
        <v>3.4442270058708414E-3</v>
      </c>
      <c r="I596" s="408" t="str">
        <f t="shared" si="2080"/>
        <v/>
      </c>
      <c r="J596" s="408" t="str">
        <f t="shared" si="2080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081">IF(T593="","",T593*T594*T595/T$46/365/$G$1)</f>
        <v/>
      </c>
      <c r="U596" s="408" t="str">
        <f t="shared" si="2081"/>
        <v/>
      </c>
      <c r="V596" s="408">
        <f t="shared" si="2081"/>
        <v>1.7938682322243967E-4</v>
      </c>
      <c r="W596" s="408" t="str">
        <f t="shared" si="2081"/>
        <v/>
      </c>
      <c r="X596" s="408" t="str">
        <f t="shared" si="2081"/>
        <v/>
      </c>
      <c r="Y596" s="408" t="str">
        <f t="shared" si="2081"/>
        <v/>
      </c>
      <c r="Z596" s="408" t="str">
        <f t="shared" si="2081"/>
        <v/>
      </c>
      <c r="AA596" s="408" t="str">
        <f t="shared" si="2081"/>
        <v/>
      </c>
      <c r="AB596" s="408">
        <f t="shared" si="2081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2082">IF(AL593="","",AL593*AL594*AL595/AL$46/365/$G$1)</f>
        <v/>
      </c>
      <c r="AM596" s="408" t="str">
        <f t="shared" si="2082"/>
        <v/>
      </c>
      <c r="AN596" s="408">
        <f t="shared" si="2082"/>
        <v>1.9373776908023482E-3</v>
      </c>
      <c r="AO596" s="408" t="str">
        <f t="shared" si="2082"/>
        <v/>
      </c>
      <c r="AP596" s="408" t="str">
        <f t="shared" si="2082"/>
        <v/>
      </c>
      <c r="AQ596" s="408" t="str">
        <f t="shared" si="2082"/>
        <v/>
      </c>
      <c r="AR596" s="408">
        <f t="shared" si="2082"/>
        <v>3.2289628180039143E-4</v>
      </c>
      <c r="AS596" s="408" t="str">
        <f t="shared" si="2082"/>
        <v/>
      </c>
      <c r="AT596" s="408">
        <f t="shared" si="2082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2083">IF(BD593="","",BD593*BD594*BD595/BD$46/365/$G$1)</f>
        <v/>
      </c>
      <c r="BE596" s="408" t="str">
        <f t="shared" si="2083"/>
        <v/>
      </c>
      <c r="BF596" s="408" t="str">
        <f t="shared" si="2083"/>
        <v/>
      </c>
      <c r="BG596" s="408" t="str">
        <f t="shared" si="2083"/>
        <v/>
      </c>
      <c r="BH596" s="408" t="str">
        <f t="shared" si="2083"/>
        <v/>
      </c>
      <c r="BI596" s="408" t="str">
        <f t="shared" si="2083"/>
        <v/>
      </c>
      <c r="BJ596" s="408" t="str">
        <f t="shared" si="2083"/>
        <v/>
      </c>
      <c r="BK596" s="408" t="str">
        <f t="shared" si="2083"/>
        <v/>
      </c>
      <c r="BL596" s="408" t="str">
        <f t="shared" si="2083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4" t="str">
        <f t="shared" si="2069"/>
        <v/>
      </c>
      <c r="CE596" s="1115" t="str">
        <f t="shared" si="2069"/>
        <v/>
      </c>
      <c r="CF596" s="1116" t="str">
        <f t="shared" si="2069"/>
        <v/>
      </c>
      <c r="CG596" s="1116" t="str">
        <f t="shared" si="2069"/>
        <v/>
      </c>
      <c r="CH596" s="1116" t="str">
        <f t="shared" si="2069"/>
        <v/>
      </c>
      <c r="CI596" s="1116" t="str">
        <f t="shared" si="2069"/>
        <v/>
      </c>
      <c r="CJ596" s="1116">
        <f t="shared" si="2069"/>
        <v>2.0665362035225047E-3</v>
      </c>
      <c r="CK596" s="1117">
        <f t="shared" si="2069"/>
        <v>3.4442270058708414E-3</v>
      </c>
      <c r="CL596" s="1117">
        <f t="shared" si="2069"/>
        <v>5.1663405088062629E-3</v>
      </c>
      <c r="CM596" s="1117">
        <f t="shared" si="2069"/>
        <v>7.534246575342466E-3</v>
      </c>
      <c r="CN596" s="1116">
        <f t="shared" si="2070"/>
        <v>8.6105675146771043E-3</v>
      </c>
      <c r="CO596" s="1116" t="str">
        <f t="shared" si="2070"/>
        <v/>
      </c>
      <c r="CP596" s="1116" t="str">
        <f t="shared" si="2070"/>
        <v/>
      </c>
      <c r="CQ596" s="1116" t="str">
        <f t="shared" si="2070"/>
        <v/>
      </c>
      <c r="CR596" s="1116" t="str">
        <f t="shared" si="2070"/>
        <v/>
      </c>
      <c r="CS596" s="1115" t="str">
        <f t="shared" si="2070"/>
        <v/>
      </c>
      <c r="CT596" s="1118" t="str">
        <f t="shared" si="2070"/>
        <v/>
      </c>
      <c r="CU596" s="312" t="str">
        <f t="shared" ref="CU596:DK596" si="208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084"/>
        <v/>
      </c>
      <c r="CW596" s="314" t="str">
        <f t="shared" si="2084"/>
        <v/>
      </c>
      <c r="CX596" s="314" t="str">
        <f t="shared" si="2084"/>
        <v/>
      </c>
      <c r="CY596" s="314" t="str">
        <f t="shared" si="2084"/>
        <v/>
      </c>
      <c r="CZ596" s="314" t="str">
        <f t="shared" si="2084"/>
        <v/>
      </c>
      <c r="DA596" s="314" t="str">
        <f t="shared" si="2084"/>
        <v/>
      </c>
      <c r="DB596" s="315" t="str">
        <f t="shared" si="2084"/>
        <v/>
      </c>
      <c r="DC596" s="315">
        <f t="shared" si="2084"/>
        <v>1.7938682322243967E-4</v>
      </c>
      <c r="DD596" s="315">
        <f t="shared" si="2084"/>
        <v>1.8451216102879507E-4</v>
      </c>
      <c r="DE596" s="314" t="str">
        <f t="shared" si="2084"/>
        <v/>
      </c>
      <c r="DF596" s="314" t="str">
        <f t="shared" si="2084"/>
        <v/>
      </c>
      <c r="DG596" s="314" t="str">
        <f t="shared" si="2084"/>
        <v/>
      </c>
      <c r="DH596" s="314" t="str">
        <f t="shared" si="2084"/>
        <v/>
      </c>
      <c r="DI596" s="314" t="str">
        <f t="shared" si="2084"/>
        <v/>
      </c>
      <c r="DJ596" s="313" t="str">
        <f t="shared" si="2084"/>
        <v/>
      </c>
      <c r="DK596" s="312" t="str">
        <f t="shared" si="2084"/>
        <v/>
      </c>
      <c r="DL596" s="428">
        <f t="shared" si="2071"/>
        <v>5</v>
      </c>
      <c r="DM596" s="66">
        <f t="shared" si="2072"/>
        <v>2</v>
      </c>
      <c r="DN596" s="66">
        <f t="shared" si="2073"/>
        <v>3</v>
      </c>
      <c r="DO596" s="66">
        <f t="shared" si="207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60">
        <f t="shared" ref="BZ597:BZ598" si="2085">IF(DL597&lt;3,"",(SUM(B597:R597)-MIN(B597:R597)-MAX(B597:R597))/(DL597-2))</f>
        <v>0.53333333333333321</v>
      </c>
      <c r="CA597" s="660" t="str">
        <f t="shared" ref="CA597:CA598" si="2086">IF(DM597&lt;3,"",(SUM(T597:AJ597)-MIN(T597:AJ597)-MAX(T597:AJ597))/(DM597-2))</f>
        <v/>
      </c>
      <c r="CB597" s="660" t="str">
        <f t="shared" ref="CB597:CB598" si="2087">IF(DN597&lt;3,"",(SUM(AL597:BB597)-MIN(AL597:BB597)-MAX(AL597:BB597))/(DN597-2))</f>
        <v/>
      </c>
      <c r="CC597" s="661" t="str">
        <f t="shared" ref="CC597:CC598" si="2088">IF(DO597&lt;3,"",(SUM(BD597:BT597)-MIN(BD597:BT597)-MAX(BD597:BT597))/(DO597-2))</f>
        <v/>
      </c>
      <c r="CD597" s="1216"/>
      <c r="CE597" s="1217"/>
      <c r="CF597" s="1218"/>
      <c r="CG597" s="1218"/>
      <c r="CH597" s="1218"/>
      <c r="CI597" s="1218"/>
      <c r="CJ597" s="1218"/>
      <c r="CK597" s="1219"/>
      <c r="CL597" s="1219"/>
      <c r="CM597" s="1219"/>
      <c r="CN597" s="1218"/>
      <c r="CO597" s="1218"/>
      <c r="CP597" s="1218"/>
      <c r="CQ597" s="1218"/>
      <c r="CR597" s="1218"/>
      <c r="CS597" s="1217"/>
      <c r="CT597" s="1220"/>
      <c r="CU597" s="1221">
        <v>0</v>
      </c>
      <c r="CV597" s="1222">
        <v>0</v>
      </c>
      <c r="CW597" s="1222">
        <v>0</v>
      </c>
      <c r="CX597" s="1222">
        <v>0</v>
      </c>
      <c r="CY597" s="1223"/>
      <c r="CZ597" s="326" t="str">
        <f t="shared" ref="CZ597:DK598" si="208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089"/>
        <v/>
      </c>
      <c r="DB597" s="327" t="str">
        <f t="shared" si="2089"/>
        <v/>
      </c>
      <c r="DC597" s="327">
        <f t="shared" si="2089"/>
        <v>4</v>
      </c>
      <c r="DD597" s="327">
        <f t="shared" si="2089"/>
        <v>40</v>
      </c>
      <c r="DE597" s="326" t="str">
        <f t="shared" si="2089"/>
        <v/>
      </c>
      <c r="DF597" s="326" t="str">
        <f t="shared" si="2089"/>
        <v/>
      </c>
      <c r="DG597" s="326" t="str">
        <f t="shared" si="2089"/>
        <v/>
      </c>
      <c r="DH597" s="326" t="str">
        <f t="shared" si="2089"/>
        <v/>
      </c>
      <c r="DI597" s="326" t="str">
        <f t="shared" si="2089"/>
        <v/>
      </c>
      <c r="DJ597" s="325" t="str">
        <f t="shared" si="2089"/>
        <v/>
      </c>
      <c r="DK597" s="324" t="str">
        <f t="shared" si="2089"/>
        <v/>
      </c>
      <c r="DL597" s="428">
        <f t="shared" si="2071"/>
        <v>5</v>
      </c>
      <c r="DM597" s="66">
        <f t="shared" si="2072"/>
        <v>2</v>
      </c>
      <c r="DN597" s="66">
        <f t="shared" si="2073"/>
        <v>2</v>
      </c>
      <c r="DO597" s="66">
        <f t="shared" si="207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090">IF(B597="","",B593*B594*B597)</f>
        <v>24</v>
      </c>
      <c r="C598" s="405" t="str">
        <f t="shared" si="2090"/>
        <v/>
      </c>
      <c r="D598" s="405">
        <f t="shared" si="2090"/>
        <v>43.199999999999996</v>
      </c>
      <c r="E598" s="405">
        <f t="shared" si="2090"/>
        <v>60</v>
      </c>
      <c r="F598" s="405" t="str">
        <f t="shared" si="2090"/>
        <v/>
      </c>
      <c r="G598" s="405">
        <f t="shared" si="2090"/>
        <v>70</v>
      </c>
      <c r="H598" s="405">
        <f t="shared" si="2090"/>
        <v>192</v>
      </c>
      <c r="I598" s="405" t="str">
        <f t="shared" si="2090"/>
        <v/>
      </c>
      <c r="J598" s="405" t="str">
        <f t="shared" si="2090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2091">IF(T597="","",T593*T594*T597)</f>
        <v/>
      </c>
      <c r="U598" s="405" t="str">
        <f t="shared" si="2091"/>
        <v/>
      </c>
      <c r="V598" s="405">
        <f t="shared" si="2091"/>
        <v>200</v>
      </c>
      <c r="W598" s="405" t="str">
        <f t="shared" si="2091"/>
        <v/>
      </c>
      <c r="X598" s="405" t="str">
        <f t="shared" si="2091"/>
        <v/>
      </c>
      <c r="Y598" s="405" t="str">
        <f t="shared" si="2091"/>
        <v/>
      </c>
      <c r="Z598" s="405" t="str">
        <f t="shared" si="2091"/>
        <v/>
      </c>
      <c r="AA598" s="405" t="str">
        <f t="shared" si="2091"/>
        <v/>
      </c>
      <c r="AB598" s="405">
        <f t="shared" si="2091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2092">IF(AL597="","",AL593*AL594*AL597)</f>
        <v/>
      </c>
      <c r="AM598" s="405" t="str">
        <f t="shared" si="2092"/>
        <v/>
      </c>
      <c r="AN598" s="405" t="str">
        <f t="shared" si="2092"/>
        <v/>
      </c>
      <c r="AO598" s="405" t="str">
        <f t="shared" si="2092"/>
        <v/>
      </c>
      <c r="AP598" s="405" t="str">
        <f t="shared" si="2092"/>
        <v/>
      </c>
      <c r="AQ598" s="405" t="str">
        <f t="shared" si="2092"/>
        <v/>
      </c>
      <c r="AR598" s="405">
        <f t="shared" si="2092"/>
        <v>6</v>
      </c>
      <c r="AS598" s="405" t="str">
        <f t="shared" si="2092"/>
        <v/>
      </c>
      <c r="AT598" s="405">
        <f t="shared" si="2092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2093">IF(BD597="","",BD593*BD594*BD597)</f>
        <v/>
      </c>
      <c r="BE598" s="405" t="str">
        <f t="shared" si="2093"/>
        <v/>
      </c>
      <c r="BF598" s="405" t="str">
        <f t="shared" si="2093"/>
        <v/>
      </c>
      <c r="BG598" s="405" t="str">
        <f t="shared" si="2093"/>
        <v/>
      </c>
      <c r="BH598" s="405" t="str">
        <f t="shared" si="2093"/>
        <v/>
      </c>
      <c r="BI598" s="405" t="str">
        <f t="shared" si="2093"/>
        <v/>
      </c>
      <c r="BJ598" s="405" t="str">
        <f t="shared" si="2093"/>
        <v/>
      </c>
      <c r="BK598" s="405" t="str">
        <f t="shared" si="2093"/>
        <v/>
      </c>
      <c r="BL598" s="405" t="str">
        <f t="shared" si="2093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60">
        <f t="shared" si="2085"/>
        <v>57.733333333333327</v>
      </c>
      <c r="CA598" s="660" t="str">
        <f t="shared" si="2086"/>
        <v/>
      </c>
      <c r="CB598" s="660" t="str">
        <f t="shared" si="2087"/>
        <v/>
      </c>
      <c r="CC598" s="661" t="str">
        <f t="shared" si="2088"/>
        <v/>
      </c>
      <c r="CD598" s="1216"/>
      <c r="CE598" s="1217"/>
      <c r="CF598" s="1218"/>
      <c r="CG598" s="1218"/>
      <c r="CH598" s="1218"/>
      <c r="CI598" s="1218"/>
      <c r="CJ598" s="1218"/>
      <c r="CK598" s="1219"/>
      <c r="CL598" s="1219"/>
      <c r="CM598" s="1219"/>
      <c r="CN598" s="1218"/>
      <c r="CO598" s="1218"/>
      <c r="CP598" s="1218"/>
      <c r="CQ598" s="1218"/>
      <c r="CR598" s="1218"/>
      <c r="CS598" s="1217"/>
      <c r="CT598" s="1220"/>
      <c r="CU598" s="1221">
        <v>0</v>
      </c>
      <c r="CV598" s="1222">
        <v>0</v>
      </c>
      <c r="CW598" s="1222">
        <v>0</v>
      </c>
      <c r="CX598" s="1222">
        <v>0</v>
      </c>
      <c r="CY598" s="1223"/>
      <c r="CZ598" s="326" t="str">
        <f t="shared" si="2089"/>
        <v/>
      </c>
      <c r="DA598" s="326" t="str">
        <f t="shared" si="2089"/>
        <v/>
      </c>
      <c r="DB598" s="327" t="str">
        <f t="shared" si="2089"/>
        <v/>
      </c>
      <c r="DC598" s="327">
        <f t="shared" si="2089"/>
        <v>12</v>
      </c>
      <c r="DD598" s="327">
        <f t="shared" si="2089"/>
        <v>200</v>
      </c>
      <c r="DE598" s="326" t="str">
        <f t="shared" si="2089"/>
        <v/>
      </c>
      <c r="DF598" s="326" t="str">
        <f t="shared" si="2089"/>
        <v/>
      </c>
      <c r="DG598" s="326" t="str">
        <f t="shared" si="2089"/>
        <v/>
      </c>
      <c r="DH598" s="326" t="str">
        <f t="shared" si="2089"/>
        <v/>
      </c>
      <c r="DI598" s="326" t="str">
        <f t="shared" si="2089"/>
        <v/>
      </c>
      <c r="DJ598" s="325" t="str">
        <f t="shared" si="2089"/>
        <v/>
      </c>
      <c r="DK598" s="324" t="str">
        <f t="shared" si="2089"/>
        <v/>
      </c>
      <c r="DL598" s="428">
        <f t="shared" si="2071"/>
        <v>5</v>
      </c>
      <c r="DM598" s="66">
        <f t="shared" si="2072"/>
        <v>2</v>
      </c>
      <c r="DN598" s="66">
        <f t="shared" si="2073"/>
        <v>2</v>
      </c>
      <c r="DO598" s="66">
        <f t="shared" si="207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6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 t="str">
        <f t="shared" ref="BZ600:BZ601" si="2094">IF(DL600&lt;3,"",(SUM(B600:R600)-MIN(B600:R600)-MAX(B600:R600))/(DL600-2))</f>
        <v/>
      </c>
      <c r="CA600" s="660" t="str">
        <f t="shared" ref="CA600:CA601" si="2095">IF(DM600&lt;3,"",(SUM(T600:AJ600)-MIN(T600:AJ600)-MAX(T600:AJ600))/(DM600-2))</f>
        <v/>
      </c>
      <c r="CB600" s="660" t="str">
        <f t="shared" ref="CB600:CB601" si="2096">IF(DN600&lt;3,"",(SUM(AL600:BB600)-MIN(AL600:BB600)-MAX(AL600:BB600))/(DN600-2))</f>
        <v/>
      </c>
      <c r="CC600" s="661">
        <f t="shared" ref="CC600:CC601" si="2097">IF(DO600&lt;3,"",(SUM(BD600:BT600)-MIN(BD600:BT600)-MAX(BD600:BT600))/(DO600-2))</f>
        <v>26</v>
      </c>
      <c r="CD600" s="301" t="str">
        <f t="shared" ref="CD600:CT604" si="209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098"/>
        <v/>
      </c>
      <c r="CF600" s="58" t="str">
        <f t="shared" si="2098"/>
        <v/>
      </c>
      <c r="CG600" s="58" t="str">
        <f t="shared" si="2098"/>
        <v/>
      </c>
      <c r="CH600" s="58" t="str">
        <f t="shared" si="2098"/>
        <v/>
      </c>
      <c r="CI600" s="58" t="str">
        <f t="shared" si="2098"/>
        <v/>
      </c>
      <c r="CJ600" s="58" t="str">
        <f t="shared" si="2098"/>
        <v/>
      </c>
      <c r="CK600" s="78" t="str">
        <f t="shared" si="2098"/>
        <v/>
      </c>
      <c r="CL600" s="78">
        <f t="shared" si="2098"/>
        <v>40</v>
      </c>
      <c r="CM600" s="78">
        <f t="shared" si="2098"/>
        <v>62</v>
      </c>
      <c r="CN600" s="58" t="str">
        <f t="shared" si="2098"/>
        <v/>
      </c>
      <c r="CO600" s="58" t="str">
        <f t="shared" si="2098"/>
        <v/>
      </c>
      <c r="CP600" s="58" t="str">
        <f t="shared" si="2098"/>
        <v/>
      </c>
      <c r="CQ600" s="58" t="str">
        <f t="shared" si="2098"/>
        <v/>
      </c>
      <c r="CR600" s="58" t="str">
        <f t="shared" si="2098"/>
        <v/>
      </c>
      <c r="CS600" s="57" t="str">
        <f t="shared" si="2098"/>
        <v/>
      </c>
      <c r="CT600" s="302" t="str">
        <f t="shared" si="2098"/>
        <v/>
      </c>
      <c r="CU600" s="324" t="str">
        <f t="shared" ref="CU600:DK604" si="209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099"/>
        <v/>
      </c>
      <c r="CW600" s="326" t="str">
        <f t="shared" si="2099"/>
        <v/>
      </c>
      <c r="CX600" s="326" t="str">
        <f t="shared" si="2099"/>
        <v/>
      </c>
      <c r="CY600" s="326" t="str">
        <f t="shared" si="2099"/>
        <v/>
      </c>
      <c r="CZ600" s="326" t="str">
        <f t="shared" si="2099"/>
        <v/>
      </c>
      <c r="DA600" s="326" t="str">
        <f t="shared" si="2099"/>
        <v/>
      </c>
      <c r="DB600" s="327" t="str">
        <f t="shared" si="2099"/>
        <v/>
      </c>
      <c r="DC600" s="327" t="str">
        <f t="shared" si="2099"/>
        <v/>
      </c>
      <c r="DD600" s="327" t="str">
        <f t="shared" si="2099"/>
        <v/>
      </c>
      <c r="DE600" s="326" t="str">
        <f t="shared" si="2099"/>
        <v/>
      </c>
      <c r="DF600" s="326" t="str">
        <f t="shared" si="2099"/>
        <v/>
      </c>
      <c r="DG600" s="326" t="str">
        <f t="shared" si="2099"/>
        <v/>
      </c>
      <c r="DH600" s="326" t="str">
        <f t="shared" si="2099"/>
        <v/>
      </c>
      <c r="DI600" s="326" t="str">
        <f t="shared" si="2099"/>
        <v/>
      </c>
      <c r="DJ600" s="325" t="str">
        <f t="shared" si="2099"/>
        <v/>
      </c>
      <c r="DK600" s="324" t="str">
        <f t="shared" si="2099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100">950*$K$1</f>
        <v>950</v>
      </c>
      <c r="D601" s="386">
        <f t="shared" si="2100"/>
        <v>950</v>
      </c>
      <c r="E601" s="386">
        <f t="shared" si="2100"/>
        <v>950</v>
      </c>
      <c r="F601" s="386">
        <v>950</v>
      </c>
      <c r="G601" s="386">
        <f t="shared" si="2100"/>
        <v>950</v>
      </c>
      <c r="H601" s="386">
        <f t="shared" si="2100"/>
        <v>950</v>
      </c>
      <c r="I601" s="386">
        <f t="shared" si="2100"/>
        <v>950</v>
      </c>
      <c r="J601" s="386">
        <f t="shared" si="2100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2101">950*$K$1</f>
        <v>950</v>
      </c>
      <c r="V601" s="386">
        <f t="shared" si="2101"/>
        <v>950</v>
      </c>
      <c r="W601" s="386">
        <f t="shared" si="2101"/>
        <v>950</v>
      </c>
      <c r="X601" s="386">
        <f t="shared" si="2101"/>
        <v>950</v>
      </c>
      <c r="Y601" s="386">
        <f t="shared" si="2101"/>
        <v>950</v>
      </c>
      <c r="Z601" s="386">
        <f t="shared" si="2101"/>
        <v>950</v>
      </c>
      <c r="AA601" s="386">
        <f t="shared" si="2101"/>
        <v>950</v>
      </c>
      <c r="AB601" s="386">
        <f t="shared" si="2101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2102">950*$K$1</f>
        <v>950</v>
      </c>
      <c r="AN601" s="386">
        <f t="shared" si="2102"/>
        <v>950</v>
      </c>
      <c r="AO601" s="386">
        <f t="shared" si="2102"/>
        <v>950</v>
      </c>
      <c r="AP601" s="386">
        <f t="shared" si="2102"/>
        <v>950</v>
      </c>
      <c r="AQ601" s="386">
        <f t="shared" si="2102"/>
        <v>950</v>
      </c>
      <c r="AR601" s="386">
        <f t="shared" si="2102"/>
        <v>950</v>
      </c>
      <c r="AS601" s="386">
        <f t="shared" si="2102"/>
        <v>950</v>
      </c>
      <c r="AT601" s="386">
        <f t="shared" si="2102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2103">950*$K$1</f>
        <v>950</v>
      </c>
      <c r="BF601" s="386">
        <f t="shared" si="2103"/>
        <v>950</v>
      </c>
      <c r="BG601" s="386">
        <f t="shared" si="2103"/>
        <v>950</v>
      </c>
      <c r="BH601" s="386">
        <f t="shared" si="2103"/>
        <v>950</v>
      </c>
      <c r="BI601" s="386">
        <f t="shared" si="2103"/>
        <v>950</v>
      </c>
      <c r="BJ601" s="386">
        <f t="shared" si="2103"/>
        <v>950</v>
      </c>
      <c r="BK601" s="386">
        <f t="shared" si="2103"/>
        <v>950</v>
      </c>
      <c r="BL601" s="386">
        <f t="shared" si="2103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2103"/>
        <v>950</v>
      </c>
      <c r="BW601" s="386">
        <f t="shared" si="2103"/>
        <v>950</v>
      </c>
      <c r="BX601" s="386">
        <f t="shared" si="2103"/>
        <v>950</v>
      </c>
      <c r="BY601" s="386">
        <f t="shared" si="2103"/>
        <v>950</v>
      </c>
      <c r="BZ601" s="660">
        <f t="shared" si="2094"/>
        <v>950</v>
      </c>
      <c r="CA601" s="660">
        <f t="shared" si="2095"/>
        <v>950</v>
      </c>
      <c r="CB601" s="660">
        <f t="shared" si="2096"/>
        <v>950</v>
      </c>
      <c r="CC601" s="661">
        <f t="shared" si="2097"/>
        <v>950</v>
      </c>
      <c r="CD601" s="301" t="str">
        <f t="shared" si="2098"/>
        <v/>
      </c>
      <c r="CE601" s="57" t="str">
        <f t="shared" si="2098"/>
        <v/>
      </c>
      <c r="CF601" s="58" t="str">
        <f t="shared" si="2098"/>
        <v/>
      </c>
      <c r="CG601" s="58" t="str">
        <f t="shared" si="2098"/>
        <v/>
      </c>
      <c r="CH601" s="58">
        <f t="shared" si="2098"/>
        <v>950</v>
      </c>
      <c r="CI601" s="58">
        <f t="shared" si="2098"/>
        <v>950</v>
      </c>
      <c r="CJ601" s="58">
        <f t="shared" si="2098"/>
        <v>950</v>
      </c>
      <c r="CK601" s="78">
        <f t="shared" si="2098"/>
        <v>950</v>
      </c>
      <c r="CL601" s="78">
        <f t="shared" si="2098"/>
        <v>950</v>
      </c>
      <c r="CM601" s="78">
        <f t="shared" si="2098"/>
        <v>950</v>
      </c>
      <c r="CN601" s="58">
        <f t="shared" si="2098"/>
        <v>950</v>
      </c>
      <c r="CO601" s="58">
        <f t="shared" si="2098"/>
        <v>950</v>
      </c>
      <c r="CP601" s="58">
        <f t="shared" si="2098"/>
        <v>950</v>
      </c>
      <c r="CQ601" s="58" t="str">
        <f t="shared" si="2098"/>
        <v/>
      </c>
      <c r="CR601" s="58" t="str">
        <f t="shared" si="2098"/>
        <v/>
      </c>
      <c r="CS601" s="57" t="str">
        <f t="shared" si="2098"/>
        <v/>
      </c>
      <c r="CT601" s="302" t="str">
        <f t="shared" si="2098"/>
        <v/>
      </c>
      <c r="CU601" s="324" t="str">
        <f t="shared" si="2099"/>
        <v/>
      </c>
      <c r="CV601" s="325" t="str">
        <f t="shared" si="2099"/>
        <v/>
      </c>
      <c r="CW601" s="326" t="str">
        <f t="shared" si="2099"/>
        <v/>
      </c>
      <c r="CX601" s="326" t="str">
        <f t="shared" si="2099"/>
        <v/>
      </c>
      <c r="CY601" s="326">
        <f t="shared" si="2099"/>
        <v>950</v>
      </c>
      <c r="CZ601" s="326">
        <f t="shared" si="2099"/>
        <v>950</v>
      </c>
      <c r="DA601" s="326">
        <f t="shared" si="2099"/>
        <v>950</v>
      </c>
      <c r="DB601" s="327">
        <f t="shared" si="2099"/>
        <v>950</v>
      </c>
      <c r="DC601" s="327">
        <f t="shared" si="2099"/>
        <v>950</v>
      </c>
      <c r="DD601" s="327">
        <f t="shared" si="2099"/>
        <v>950</v>
      </c>
      <c r="DE601" s="326">
        <f t="shared" si="2099"/>
        <v>950</v>
      </c>
      <c r="DF601" s="326">
        <f t="shared" si="2099"/>
        <v>950</v>
      </c>
      <c r="DG601" s="326">
        <f t="shared" si="2099"/>
        <v>950</v>
      </c>
      <c r="DH601" s="326" t="str">
        <f t="shared" si="2099"/>
        <v/>
      </c>
      <c r="DI601" s="326" t="str">
        <f t="shared" si="2099"/>
        <v/>
      </c>
      <c r="DJ601" s="325" t="str">
        <f t="shared" si="2099"/>
        <v/>
      </c>
      <c r="DK601" s="324" t="str">
        <f t="shared" si="2099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104">IF(B600="","",B600*B601/B$46/365/$G$1)</f>
        <v/>
      </c>
      <c r="C602" s="408">
        <f t="shared" si="2104"/>
        <v>7.0822849687820332E-3</v>
      </c>
      <c r="D602" s="408" t="str">
        <f t="shared" si="2104"/>
        <v/>
      </c>
      <c r="E602" s="408">
        <f t="shared" si="2104"/>
        <v>1.2807131985214175E-2</v>
      </c>
      <c r="F602" s="408" t="str">
        <f t="shared" si="2104"/>
        <v/>
      </c>
      <c r="G602" s="408" t="str">
        <f t="shared" si="2104"/>
        <v/>
      </c>
      <c r="H602" s="408" t="str">
        <f t="shared" si="2104"/>
        <v/>
      </c>
      <c r="I602" s="408" t="str">
        <f t="shared" si="2104"/>
        <v/>
      </c>
      <c r="J602" s="408" t="str">
        <f t="shared" si="2104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105">IF(T600="","",T600*T601/T$46/365/$G$1)</f>
        <v/>
      </c>
      <c r="U602" s="408" t="str">
        <f t="shared" si="2105"/>
        <v/>
      </c>
      <c r="V602" s="408" t="str">
        <f t="shared" si="2105"/>
        <v/>
      </c>
      <c r="W602" s="408" t="str">
        <f t="shared" si="2105"/>
        <v/>
      </c>
      <c r="X602" s="408" t="str">
        <f t="shared" si="2105"/>
        <v/>
      </c>
      <c r="Y602" s="408" t="str">
        <f t="shared" si="2105"/>
        <v/>
      </c>
      <c r="Z602" s="408" t="str">
        <f t="shared" si="2105"/>
        <v/>
      </c>
      <c r="AA602" s="408" t="str">
        <f t="shared" si="2105"/>
        <v/>
      </c>
      <c r="AB602" s="408" t="str">
        <f t="shared" si="2105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2106">IF(AL600="","",AL600*AL601/AL$46/365/$G$1)</f>
        <v/>
      </c>
      <c r="AM602" s="408" t="str">
        <f t="shared" si="2106"/>
        <v/>
      </c>
      <c r="AN602" s="408" t="str">
        <f t="shared" si="2106"/>
        <v/>
      </c>
      <c r="AO602" s="408" t="str">
        <f t="shared" si="2106"/>
        <v/>
      </c>
      <c r="AP602" s="408">
        <f t="shared" si="2106"/>
        <v>2.4787997390737118E-3</v>
      </c>
      <c r="AQ602" s="408" t="str">
        <f t="shared" si="2106"/>
        <v/>
      </c>
      <c r="AR602" s="408" t="str">
        <f t="shared" si="2106"/>
        <v/>
      </c>
      <c r="AS602" s="408" t="str">
        <f t="shared" si="2106"/>
        <v/>
      </c>
      <c r="AT602" s="408" t="str">
        <f t="shared" si="2106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2107">IF(BD600="","",BD600*BD601/BD$46/365/$G$1)</f>
        <v>8.2626657969123727E-4</v>
      </c>
      <c r="BE602" s="408" t="str">
        <f t="shared" si="2107"/>
        <v/>
      </c>
      <c r="BF602" s="408">
        <f t="shared" si="2107"/>
        <v>6.4448793215916506E-3</v>
      </c>
      <c r="BG602" s="408">
        <f t="shared" si="2107"/>
        <v>2.2309197651663405E-3</v>
      </c>
      <c r="BH602" s="408">
        <f t="shared" si="2107"/>
        <v>7.436399217221135E-4</v>
      </c>
      <c r="BI602" s="408" t="str">
        <f t="shared" si="2107"/>
        <v/>
      </c>
      <c r="BJ602" s="408">
        <f t="shared" si="2107"/>
        <v>1.8590998043052837E-2</v>
      </c>
      <c r="BK602" s="408" t="str">
        <f t="shared" si="2107"/>
        <v/>
      </c>
      <c r="BL602" s="408" t="str">
        <f t="shared" si="2107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5" t="str">
        <f t="shared" si="2098"/>
        <v/>
      </c>
      <c r="CF602" s="1116" t="str">
        <f t="shared" si="2098"/>
        <v/>
      </c>
      <c r="CG602" s="1116" t="str">
        <f t="shared" si="2098"/>
        <v/>
      </c>
      <c r="CH602" s="1116" t="str">
        <f t="shared" si="2098"/>
        <v/>
      </c>
      <c r="CI602" s="1116" t="str">
        <f t="shared" si="2098"/>
        <v/>
      </c>
      <c r="CJ602" s="1116" t="str">
        <f t="shared" si="2098"/>
        <v/>
      </c>
      <c r="CK602" s="1117" t="str">
        <f t="shared" si="2098"/>
        <v/>
      </c>
      <c r="CL602" s="1117">
        <f t="shared" si="2098"/>
        <v>7.0822849687820332E-3</v>
      </c>
      <c r="CM602" s="1117">
        <f t="shared" si="2098"/>
        <v>1.2807131985214175E-2</v>
      </c>
      <c r="CN602" s="1116" t="str">
        <f t="shared" si="2098"/>
        <v/>
      </c>
      <c r="CO602" s="1116" t="str">
        <f t="shared" si="2098"/>
        <v/>
      </c>
      <c r="CP602" s="1116" t="str">
        <f t="shared" si="2098"/>
        <v/>
      </c>
      <c r="CQ602" s="1116" t="str">
        <f t="shared" si="2098"/>
        <v/>
      </c>
      <c r="CR602" s="1116" t="str">
        <f t="shared" si="2098"/>
        <v/>
      </c>
      <c r="CS602" s="1115" t="str">
        <f t="shared" si="2098"/>
        <v/>
      </c>
      <c r="CT602" s="1118" t="str">
        <f t="shared" si="2098"/>
        <v/>
      </c>
      <c r="CU602" s="312" t="str">
        <f t="shared" ref="CU602:DD602" si="21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108"/>
        <v/>
      </c>
      <c r="CW602" s="314" t="str">
        <f t="shared" si="2108"/>
        <v/>
      </c>
      <c r="CX602" s="314" t="str">
        <f t="shared" si="2108"/>
        <v/>
      </c>
      <c r="CY602" s="314" t="str">
        <f t="shared" si="2108"/>
        <v/>
      </c>
      <c r="CZ602" s="314" t="str">
        <f t="shared" si="2108"/>
        <v/>
      </c>
      <c r="DA602" s="314" t="str">
        <f t="shared" si="2108"/>
        <v/>
      </c>
      <c r="DB602" s="315" t="str">
        <f t="shared" si="2108"/>
        <v/>
      </c>
      <c r="DC602" s="315" t="str">
        <f t="shared" si="2108"/>
        <v/>
      </c>
      <c r="DD602" s="315" t="str">
        <f t="shared" si="2108"/>
        <v/>
      </c>
      <c r="DE602" s="314" t="str">
        <f t="shared" ref="DE602:DK602" si="21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109"/>
        <v/>
      </c>
      <c r="DG602" s="314" t="str">
        <f t="shared" si="2109"/>
        <v/>
      </c>
      <c r="DH602" s="314" t="str">
        <f t="shared" si="2109"/>
        <v/>
      </c>
      <c r="DI602" s="314" t="str">
        <f t="shared" si="2109"/>
        <v/>
      </c>
      <c r="DJ602" s="313" t="str">
        <f t="shared" si="2109"/>
        <v/>
      </c>
      <c r="DK602" s="312" t="str">
        <f t="shared" si="2109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 t="str">
        <f t="shared" ref="BZ603:BZ604" si="2110">IF(DL603&lt;3,"",(SUM(B603:R603)-MIN(B603:R603)-MAX(B603:R603))/(DL603-2))</f>
        <v/>
      </c>
      <c r="CA603" s="660" t="str">
        <f t="shared" ref="CA603:CA604" si="2111">IF(DM603&lt;3,"",(SUM(T603:AJ603)-MIN(T603:AJ603)-MAX(T603:AJ603))/(DM603-2))</f>
        <v/>
      </c>
      <c r="CB603" s="660" t="str">
        <f t="shared" ref="CB603:CB604" si="2112">IF(DN603&lt;3,"",(SUM(AL603:BB603)-MIN(AL603:BB603)-MAX(AL603:BB603))/(DN603-2))</f>
        <v/>
      </c>
      <c r="CC603" s="661">
        <f t="shared" ref="CC603:CC604" si="2113">IF(DO603&lt;3,"",(SUM(BD603:BT603)-MIN(BD603:BT603)-MAX(BD603:BT603))/(DO603-2))</f>
        <v>14.333333333333334</v>
      </c>
      <c r="CD603" s="301" t="str">
        <f t="shared" si="2098"/>
        <v/>
      </c>
      <c r="CE603" s="57" t="str">
        <f t="shared" si="2098"/>
        <v/>
      </c>
      <c r="CF603" s="58" t="str">
        <f t="shared" si="2098"/>
        <v/>
      </c>
      <c r="CG603" s="58" t="str">
        <f t="shared" si="2098"/>
        <v/>
      </c>
      <c r="CH603" s="58" t="str">
        <f t="shared" si="2098"/>
        <v/>
      </c>
      <c r="CI603" s="58" t="str">
        <f t="shared" si="2098"/>
        <v/>
      </c>
      <c r="CJ603" s="58" t="str">
        <f t="shared" si="2098"/>
        <v/>
      </c>
      <c r="CK603" s="78" t="str">
        <f t="shared" si="2098"/>
        <v/>
      </c>
      <c r="CL603" s="78">
        <f t="shared" si="2098"/>
        <v>5</v>
      </c>
      <c r="CM603" s="78">
        <f t="shared" si="2098"/>
        <v>5</v>
      </c>
      <c r="CN603" s="58" t="str">
        <f t="shared" si="2098"/>
        <v/>
      </c>
      <c r="CO603" s="58" t="str">
        <f t="shared" si="2098"/>
        <v/>
      </c>
      <c r="CP603" s="58" t="str">
        <f t="shared" si="2098"/>
        <v/>
      </c>
      <c r="CQ603" s="58" t="str">
        <f t="shared" si="2098"/>
        <v/>
      </c>
      <c r="CR603" s="58" t="str">
        <f t="shared" si="2098"/>
        <v/>
      </c>
      <c r="CS603" s="57" t="str">
        <f t="shared" si="2098"/>
        <v/>
      </c>
      <c r="CT603" s="302" t="str">
        <f t="shared" si="2098"/>
        <v/>
      </c>
      <c r="CU603" s="324" t="str">
        <f t="shared" si="2099"/>
        <v/>
      </c>
      <c r="CV603" s="325" t="str">
        <f t="shared" si="2099"/>
        <v/>
      </c>
      <c r="CW603" s="326" t="str">
        <f t="shared" si="2099"/>
        <v/>
      </c>
      <c r="CX603" s="326" t="str">
        <f t="shared" si="2099"/>
        <v/>
      </c>
      <c r="CY603" s="326" t="str">
        <f t="shared" si="2099"/>
        <v/>
      </c>
      <c r="CZ603" s="326" t="str">
        <f t="shared" si="2099"/>
        <v/>
      </c>
      <c r="DA603" s="326" t="str">
        <f t="shared" si="2099"/>
        <v/>
      </c>
      <c r="DB603" s="327" t="str">
        <f t="shared" si="2099"/>
        <v/>
      </c>
      <c r="DC603" s="327" t="str">
        <f t="shared" si="2099"/>
        <v/>
      </c>
      <c r="DD603" s="327" t="str">
        <f t="shared" si="2099"/>
        <v/>
      </c>
      <c r="DE603" s="326" t="str">
        <f t="shared" si="2099"/>
        <v/>
      </c>
      <c r="DF603" s="326" t="str">
        <f t="shared" si="2099"/>
        <v/>
      </c>
      <c r="DG603" s="326" t="str">
        <f t="shared" si="2099"/>
        <v/>
      </c>
      <c r="DH603" s="326" t="str">
        <f t="shared" si="2099"/>
        <v/>
      </c>
      <c r="DI603" s="326" t="str">
        <f t="shared" si="2099"/>
        <v/>
      </c>
      <c r="DJ603" s="325" t="str">
        <f t="shared" si="2099"/>
        <v/>
      </c>
      <c r="DK603" s="324" t="str">
        <f t="shared" si="2099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114">IF(B603="","",B600*B603)</f>
        <v/>
      </c>
      <c r="C604" s="405">
        <f t="shared" si="2114"/>
        <v>200</v>
      </c>
      <c r="D604" s="405" t="str">
        <f t="shared" si="2114"/>
        <v/>
      </c>
      <c r="E604" s="405">
        <f t="shared" si="2114"/>
        <v>310</v>
      </c>
      <c r="F604" s="405" t="str">
        <f t="shared" si="2114"/>
        <v/>
      </c>
      <c r="G604" s="405" t="str">
        <f t="shared" si="2114"/>
        <v/>
      </c>
      <c r="H604" s="405" t="str">
        <f t="shared" si="2114"/>
        <v/>
      </c>
      <c r="I604" s="405" t="str">
        <f t="shared" si="2114"/>
        <v/>
      </c>
      <c r="J604" s="405" t="str">
        <f t="shared" si="2114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115">IF(T603="","",T600*T603)</f>
        <v/>
      </c>
      <c r="U604" s="405" t="str">
        <f t="shared" si="2115"/>
        <v/>
      </c>
      <c r="V604" s="405" t="str">
        <f t="shared" si="2115"/>
        <v/>
      </c>
      <c r="W604" s="405" t="str">
        <f t="shared" si="2115"/>
        <v/>
      </c>
      <c r="X604" s="405" t="str">
        <f t="shared" si="2115"/>
        <v/>
      </c>
      <c r="Y604" s="405" t="str">
        <f t="shared" si="2115"/>
        <v/>
      </c>
      <c r="Z604" s="405" t="str">
        <f t="shared" si="2115"/>
        <v/>
      </c>
      <c r="AA604" s="405" t="str">
        <f t="shared" si="2115"/>
        <v/>
      </c>
      <c r="AB604" s="405" t="str">
        <f t="shared" si="2115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2116">IF(AL603="","",AL600*AL603)</f>
        <v/>
      </c>
      <c r="AM604" s="405" t="str">
        <f t="shared" si="2116"/>
        <v/>
      </c>
      <c r="AN604" s="405" t="str">
        <f t="shared" si="2116"/>
        <v/>
      </c>
      <c r="AO604" s="405" t="str">
        <f t="shared" si="2116"/>
        <v/>
      </c>
      <c r="AP604" s="405">
        <f t="shared" si="2116"/>
        <v>180</v>
      </c>
      <c r="AQ604" s="405" t="str">
        <f t="shared" si="2116"/>
        <v/>
      </c>
      <c r="AR604" s="405" t="str">
        <f t="shared" si="2116"/>
        <v/>
      </c>
      <c r="AS604" s="405" t="str">
        <f t="shared" si="2116"/>
        <v/>
      </c>
      <c r="AT604" s="405" t="str">
        <f t="shared" si="2116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2117">IF(BD603="","",BD600*BD603)</f>
        <v>80</v>
      </c>
      <c r="BE604" s="405" t="str">
        <f t="shared" si="2117"/>
        <v/>
      </c>
      <c r="BF604" s="405">
        <f t="shared" si="2117"/>
        <v>676</v>
      </c>
      <c r="BG604" s="405">
        <f t="shared" si="2117"/>
        <v>360</v>
      </c>
      <c r="BH604" s="405">
        <f t="shared" si="2117"/>
        <v>150</v>
      </c>
      <c r="BI604" s="405" t="str">
        <f t="shared" si="2117"/>
        <v/>
      </c>
      <c r="BJ604" s="405">
        <f t="shared" si="2117"/>
        <v>900</v>
      </c>
      <c r="BK604" s="405" t="str">
        <f t="shared" si="2117"/>
        <v/>
      </c>
      <c r="BL604" s="405" t="str">
        <f t="shared" si="2117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 t="str">
        <f t="shared" si="2110"/>
        <v/>
      </c>
      <c r="CA604" s="660" t="str">
        <f t="shared" si="2111"/>
        <v/>
      </c>
      <c r="CB604" s="660" t="str">
        <f t="shared" si="2112"/>
        <v/>
      </c>
      <c r="CC604" s="661">
        <f t="shared" si="2113"/>
        <v>395.33333333333331</v>
      </c>
      <c r="CD604" s="301" t="str">
        <f t="shared" si="2098"/>
        <v/>
      </c>
      <c r="CE604" s="57" t="str">
        <f t="shared" si="2098"/>
        <v/>
      </c>
      <c r="CF604" s="58" t="str">
        <f t="shared" si="2098"/>
        <v/>
      </c>
      <c r="CG604" s="58" t="str">
        <f t="shared" si="2098"/>
        <v/>
      </c>
      <c r="CH604" s="58" t="str">
        <f t="shared" si="2098"/>
        <v/>
      </c>
      <c r="CI604" s="58" t="str">
        <f t="shared" si="2098"/>
        <v/>
      </c>
      <c r="CJ604" s="58" t="str">
        <f t="shared" si="2098"/>
        <v/>
      </c>
      <c r="CK604" s="78" t="str">
        <f t="shared" si="2098"/>
        <v/>
      </c>
      <c r="CL604" s="78">
        <f t="shared" si="2098"/>
        <v>200</v>
      </c>
      <c r="CM604" s="78">
        <f t="shared" si="2098"/>
        <v>310</v>
      </c>
      <c r="CN604" s="58" t="str">
        <f t="shared" si="2098"/>
        <v/>
      </c>
      <c r="CO604" s="58" t="str">
        <f t="shared" si="2098"/>
        <v/>
      </c>
      <c r="CP604" s="58" t="str">
        <f t="shared" si="2098"/>
        <v/>
      </c>
      <c r="CQ604" s="58" t="str">
        <f t="shared" si="2098"/>
        <v/>
      </c>
      <c r="CR604" s="58" t="str">
        <f t="shared" si="2098"/>
        <v/>
      </c>
      <c r="CS604" s="57" t="str">
        <f t="shared" si="2098"/>
        <v/>
      </c>
      <c r="CT604" s="302" t="str">
        <f t="shared" si="2098"/>
        <v/>
      </c>
      <c r="CU604" s="324" t="str">
        <f t="shared" si="2099"/>
        <v/>
      </c>
      <c r="CV604" s="325" t="str">
        <f t="shared" si="2099"/>
        <v/>
      </c>
      <c r="CW604" s="326" t="str">
        <f t="shared" si="2099"/>
        <v/>
      </c>
      <c r="CX604" s="326" t="str">
        <f t="shared" si="2099"/>
        <v/>
      </c>
      <c r="CY604" s="326" t="str">
        <f t="shared" si="2099"/>
        <v/>
      </c>
      <c r="CZ604" s="326" t="str">
        <f t="shared" si="2099"/>
        <v/>
      </c>
      <c r="DA604" s="326" t="str">
        <f t="shared" si="2099"/>
        <v/>
      </c>
      <c r="DB604" s="327" t="str">
        <f t="shared" si="2099"/>
        <v/>
      </c>
      <c r="DC604" s="327" t="str">
        <f t="shared" si="2099"/>
        <v/>
      </c>
      <c r="DD604" s="327" t="str">
        <f t="shared" si="2099"/>
        <v/>
      </c>
      <c r="DE604" s="326" t="str">
        <f t="shared" si="2099"/>
        <v/>
      </c>
      <c r="DF604" s="326" t="str">
        <f t="shared" si="2099"/>
        <v/>
      </c>
      <c r="DG604" s="326" t="str">
        <f t="shared" si="2099"/>
        <v/>
      </c>
      <c r="DH604" s="326" t="str">
        <f t="shared" si="2099"/>
        <v/>
      </c>
      <c r="DI604" s="326" t="str">
        <f t="shared" si="2099"/>
        <v/>
      </c>
      <c r="DJ604" s="325" t="str">
        <f t="shared" si="2099"/>
        <v/>
      </c>
      <c r="DK604" s="324" t="str">
        <f t="shared" si="2099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6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60">
        <f t="shared" ref="BZ606:BZ607" si="2118">IF(DL606&lt;3,"",(SUM(B606:R606)-MIN(B606:R606)-MAX(B606:R606))/(DL606-2))</f>
        <v>10.4</v>
      </c>
      <c r="CA606" s="660">
        <f t="shared" ref="CA606:CA607" si="2119">IF(DM606&lt;3,"",(SUM(T606:AJ606)-MIN(T606:AJ606)-MAX(T606:AJ606))/(DM606-2))</f>
        <v>8</v>
      </c>
      <c r="CB606" s="660">
        <f t="shared" ref="CB606:CB607" si="2120">IF(DN606&lt;3,"",(SUM(AL606:BB606)-MIN(AL606:BB606)-MAX(AL606:BB606))/(DN606-2))</f>
        <v>37.571428571428569</v>
      </c>
      <c r="CC606" s="661">
        <f t="shared" ref="CC606:CC607" si="2121">IF(DO606&lt;3,"",(SUM(BD606:BT606)-MIN(BD606:BT606)-MAX(BD606:BT606))/(DO606-2))</f>
        <v>46.666666666666664</v>
      </c>
      <c r="CD606" s="110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0" t="str">
        <f t="shared" ref="CE606:CT608" si="21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1" t="str">
        <f t="shared" si="2122"/>
        <v/>
      </c>
      <c r="CG606" s="1111" t="str">
        <f t="shared" si="2122"/>
        <v/>
      </c>
      <c r="CH606" s="1111" t="str">
        <f t="shared" si="2122"/>
        <v/>
      </c>
      <c r="CI606" s="1111">
        <f t="shared" si="2122"/>
        <v>5</v>
      </c>
      <c r="CJ606" s="1111">
        <f t="shared" si="2122"/>
        <v>6</v>
      </c>
      <c r="CK606" s="1112">
        <f t="shared" si="2122"/>
        <v>8</v>
      </c>
      <c r="CL606" s="1112">
        <f t="shared" si="2122"/>
        <v>10</v>
      </c>
      <c r="CM606" s="1112">
        <f t="shared" si="2122"/>
        <v>12</v>
      </c>
      <c r="CN606" s="1111">
        <f t="shared" si="2122"/>
        <v>16</v>
      </c>
      <c r="CO606" s="1111">
        <f t="shared" si="2122"/>
        <v>34</v>
      </c>
      <c r="CP606" s="1111" t="str">
        <f t="shared" si="2122"/>
        <v/>
      </c>
      <c r="CQ606" s="1111" t="str">
        <f t="shared" si="2122"/>
        <v/>
      </c>
      <c r="CR606" s="1111" t="str">
        <f t="shared" si="2122"/>
        <v/>
      </c>
      <c r="CS606" s="1110" t="str">
        <f t="shared" si="2122"/>
        <v/>
      </c>
      <c r="CT606" s="1113" t="str">
        <f t="shared" si="2122"/>
        <v/>
      </c>
      <c r="CU606" s="324" t="str">
        <f t="shared" ref="CU606:DD610" si="21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123"/>
        <v/>
      </c>
      <c r="CW606" s="326" t="str">
        <f t="shared" si="2123"/>
        <v/>
      </c>
      <c r="CX606" s="326" t="str">
        <f t="shared" si="2123"/>
        <v/>
      </c>
      <c r="CY606" s="326" t="str">
        <f t="shared" si="2123"/>
        <v/>
      </c>
      <c r="CZ606" s="326">
        <f t="shared" si="2123"/>
        <v>3.8</v>
      </c>
      <c r="DA606" s="326">
        <f t="shared" si="2123"/>
        <v>6</v>
      </c>
      <c r="DB606" s="327">
        <f t="shared" si="2123"/>
        <v>6</v>
      </c>
      <c r="DC606" s="327">
        <f t="shared" si="2123"/>
        <v>8</v>
      </c>
      <c r="DD606" s="327">
        <f t="shared" si="2123"/>
        <v>8</v>
      </c>
      <c r="DE606" s="326">
        <f t="shared" ref="DE606:DK610" si="21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124"/>
        <v>12</v>
      </c>
      <c r="DG606" s="326">
        <f t="shared" si="2124"/>
        <v>30</v>
      </c>
      <c r="DH606" s="326" t="str">
        <f t="shared" si="2124"/>
        <v/>
      </c>
      <c r="DI606" s="326" t="str">
        <f t="shared" si="2124"/>
        <v/>
      </c>
      <c r="DJ606" s="325" t="str">
        <f t="shared" si="2124"/>
        <v/>
      </c>
      <c r="DK606" s="324" t="str">
        <f t="shared" si="2124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125">3090*$K$1</f>
        <v>3090</v>
      </c>
      <c r="C607" s="386">
        <f t="shared" si="2125"/>
        <v>3090</v>
      </c>
      <c r="D607" s="386">
        <f t="shared" si="2125"/>
        <v>3090</v>
      </c>
      <c r="E607" s="386">
        <f t="shared" si="2125"/>
        <v>3090</v>
      </c>
      <c r="F607" s="386">
        <f t="shared" si="2125"/>
        <v>3090</v>
      </c>
      <c r="G607" s="386">
        <f t="shared" si="2125"/>
        <v>3090</v>
      </c>
      <c r="H607" s="386">
        <f t="shared" ref="H607:J607" si="2126">3090*$K$1</f>
        <v>3090</v>
      </c>
      <c r="I607" s="386">
        <f t="shared" si="2126"/>
        <v>3090</v>
      </c>
      <c r="J607" s="386">
        <f t="shared" si="2126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127">3090*$K$1</f>
        <v>3090</v>
      </c>
      <c r="U607" s="386">
        <f t="shared" si="2127"/>
        <v>3090</v>
      </c>
      <c r="V607" s="386">
        <f t="shared" si="2127"/>
        <v>3090</v>
      </c>
      <c r="W607" s="386">
        <f t="shared" si="2127"/>
        <v>3090</v>
      </c>
      <c r="X607" s="386">
        <f t="shared" si="2127"/>
        <v>3090</v>
      </c>
      <c r="Y607" s="386">
        <f t="shared" si="2127"/>
        <v>3090</v>
      </c>
      <c r="Z607" s="386">
        <f t="shared" ref="Z607:AB607" si="2128">3090*$K$1</f>
        <v>3090</v>
      </c>
      <c r="AA607" s="386">
        <f t="shared" si="2128"/>
        <v>3090</v>
      </c>
      <c r="AB607" s="386">
        <f t="shared" si="2128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2129">3090*$K$1</f>
        <v>3090</v>
      </c>
      <c r="AM607" s="386">
        <f t="shared" si="2129"/>
        <v>3090</v>
      </c>
      <c r="AN607" s="386">
        <f t="shared" si="2129"/>
        <v>3090</v>
      </c>
      <c r="AO607" s="386">
        <f t="shared" si="2129"/>
        <v>3090</v>
      </c>
      <c r="AP607" s="386">
        <f t="shared" si="2129"/>
        <v>3090</v>
      </c>
      <c r="AQ607" s="386">
        <f t="shared" si="2129"/>
        <v>3090</v>
      </c>
      <c r="AR607" s="386">
        <f t="shared" ref="AR607:AT607" si="2130">3090*$K$1</f>
        <v>3090</v>
      </c>
      <c r="AS607" s="386">
        <f t="shared" si="2130"/>
        <v>3090</v>
      </c>
      <c r="AT607" s="386">
        <f t="shared" si="2130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2131">3090*$K$1</f>
        <v>3090</v>
      </c>
      <c r="BE607" s="386">
        <f t="shared" si="2131"/>
        <v>3090</v>
      </c>
      <c r="BF607" s="386">
        <f t="shared" si="2131"/>
        <v>3090</v>
      </c>
      <c r="BG607" s="386">
        <f t="shared" si="2131"/>
        <v>3090</v>
      </c>
      <c r="BH607" s="386">
        <f t="shared" si="2131"/>
        <v>3090</v>
      </c>
      <c r="BI607" s="386">
        <f t="shared" si="2131"/>
        <v>3090</v>
      </c>
      <c r="BJ607" s="386">
        <f t="shared" ref="BJ607:BY607" si="2132">3090*$K$1</f>
        <v>3090</v>
      </c>
      <c r="BK607" s="386">
        <f t="shared" si="2132"/>
        <v>3090</v>
      </c>
      <c r="BL607" s="386">
        <f t="shared" si="2132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2132"/>
        <v>3090</v>
      </c>
      <c r="BW607" s="386">
        <f t="shared" si="2132"/>
        <v>3090</v>
      </c>
      <c r="BX607" s="386">
        <f t="shared" si="2132"/>
        <v>3090</v>
      </c>
      <c r="BY607" s="386">
        <f t="shared" si="2132"/>
        <v>3090</v>
      </c>
      <c r="BZ607" s="660">
        <f t="shared" si="2118"/>
        <v>3090</v>
      </c>
      <c r="CA607" s="660">
        <f t="shared" si="2119"/>
        <v>3090</v>
      </c>
      <c r="CB607" s="660">
        <f t="shared" si="2120"/>
        <v>3090</v>
      </c>
      <c r="CC607" s="661">
        <f t="shared" si="2121"/>
        <v>3090</v>
      </c>
      <c r="CD607" s="110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0" t="str">
        <f t="shared" si="2122"/>
        <v/>
      </c>
      <c r="CF607" s="1111" t="str">
        <f t="shared" si="2122"/>
        <v/>
      </c>
      <c r="CG607" s="1111" t="str">
        <f t="shared" si="2122"/>
        <v/>
      </c>
      <c r="CH607" s="1111">
        <f t="shared" si="2122"/>
        <v>3090</v>
      </c>
      <c r="CI607" s="1111">
        <f t="shared" si="2122"/>
        <v>3090</v>
      </c>
      <c r="CJ607" s="1111">
        <f t="shared" si="2122"/>
        <v>3090</v>
      </c>
      <c r="CK607" s="1112">
        <f t="shared" si="2122"/>
        <v>3090</v>
      </c>
      <c r="CL607" s="1112">
        <f t="shared" si="2122"/>
        <v>3090</v>
      </c>
      <c r="CM607" s="1112">
        <f t="shared" si="2122"/>
        <v>3090</v>
      </c>
      <c r="CN607" s="1111">
        <f t="shared" si="2122"/>
        <v>3090</v>
      </c>
      <c r="CO607" s="1111">
        <f t="shared" si="2122"/>
        <v>3090</v>
      </c>
      <c r="CP607" s="1111">
        <f t="shared" si="2122"/>
        <v>3090</v>
      </c>
      <c r="CQ607" s="1111" t="str">
        <f t="shared" si="2122"/>
        <v/>
      </c>
      <c r="CR607" s="1111" t="str">
        <f t="shared" si="2122"/>
        <v/>
      </c>
      <c r="CS607" s="1110" t="str">
        <f t="shared" si="2122"/>
        <v/>
      </c>
      <c r="CT607" s="1113" t="str">
        <f t="shared" si="2122"/>
        <v/>
      </c>
      <c r="CU607" s="324" t="str">
        <f t="shared" si="2123"/>
        <v/>
      </c>
      <c r="CV607" s="325" t="str">
        <f t="shared" si="2123"/>
        <v/>
      </c>
      <c r="CW607" s="326" t="str">
        <f t="shared" si="2123"/>
        <v/>
      </c>
      <c r="CX607" s="326" t="str">
        <f t="shared" si="2123"/>
        <v/>
      </c>
      <c r="CY607" s="326">
        <f t="shared" si="2123"/>
        <v>3090</v>
      </c>
      <c r="CZ607" s="326">
        <f t="shared" si="2123"/>
        <v>3090</v>
      </c>
      <c r="DA607" s="326">
        <f t="shared" si="2123"/>
        <v>3090</v>
      </c>
      <c r="DB607" s="327">
        <f t="shared" si="2123"/>
        <v>3090</v>
      </c>
      <c r="DC607" s="327">
        <f t="shared" si="2123"/>
        <v>3090</v>
      </c>
      <c r="DD607" s="327">
        <f t="shared" si="2123"/>
        <v>3090</v>
      </c>
      <c r="DE607" s="326">
        <f t="shared" si="2124"/>
        <v>3090</v>
      </c>
      <c r="DF607" s="326">
        <f t="shared" si="2124"/>
        <v>3090</v>
      </c>
      <c r="DG607" s="326">
        <f t="shared" si="2124"/>
        <v>3090</v>
      </c>
      <c r="DH607" s="326" t="str">
        <f t="shared" si="2124"/>
        <v/>
      </c>
      <c r="DI607" s="326" t="str">
        <f t="shared" si="2124"/>
        <v/>
      </c>
      <c r="DJ607" s="325" t="str">
        <f t="shared" si="2124"/>
        <v/>
      </c>
      <c r="DK607" s="324" t="str">
        <f t="shared" si="2124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133">IF(B606="","",B606*B607/B$46/365/$G$1)</f>
        <v>2.0156555772994126E-3</v>
      </c>
      <c r="C608" s="408">
        <f t="shared" si="2133"/>
        <v>9.2144254962258886E-3</v>
      </c>
      <c r="D608" s="408">
        <f t="shared" si="2133"/>
        <v>5.3750815394651014E-3</v>
      </c>
      <c r="E608" s="408">
        <f t="shared" si="2133"/>
        <v>6.7188519243313767E-3</v>
      </c>
      <c r="F608" s="408" t="str">
        <f t="shared" si="2133"/>
        <v/>
      </c>
      <c r="G608" s="408">
        <f t="shared" si="2133"/>
        <v>1.7133072407045011E-2</v>
      </c>
      <c r="H608" s="408">
        <f t="shared" si="2133"/>
        <v>4.0313111545988252E-3</v>
      </c>
      <c r="I608" s="408" t="str">
        <f t="shared" si="2133"/>
        <v/>
      </c>
      <c r="J608" s="408">
        <f t="shared" si="2133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134">IF(T606="","",T606*T607/T$46/365/$G$1)</f>
        <v>1.5117416829745597E-2</v>
      </c>
      <c r="U608" s="408" t="str">
        <f t="shared" si="2134"/>
        <v/>
      </c>
      <c r="V608" s="408">
        <f t="shared" si="2134"/>
        <v>2.0156555772994126E-3</v>
      </c>
      <c r="W608" s="408">
        <f t="shared" si="2134"/>
        <v>1.5318982387475539E-3</v>
      </c>
      <c r="X608" s="408">
        <f t="shared" si="2134"/>
        <v>4.0313111545988252E-3</v>
      </c>
      <c r="Y608" s="408">
        <f t="shared" si="2134"/>
        <v>4.6072127481129443E-3</v>
      </c>
      <c r="Z608" s="408">
        <f t="shared" si="2134"/>
        <v>4.0313111545988252E-3</v>
      </c>
      <c r="AA608" s="408">
        <f t="shared" si="2134"/>
        <v>4.8375733855185914E-3</v>
      </c>
      <c r="AB608" s="408">
        <f t="shared" si="2134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2135">IF(AL606="","",AL606*AL607/AL$46/365/$G$1)</f>
        <v>2.1988969934175415E-2</v>
      </c>
      <c r="AM608" s="408">
        <f t="shared" si="2135"/>
        <v>6.7188519243313767E-3</v>
      </c>
      <c r="AN608" s="408">
        <f t="shared" si="2135"/>
        <v>6.0469667318982382E-3</v>
      </c>
      <c r="AO608" s="408">
        <f t="shared" si="2135"/>
        <v>2.2676125244618393E-2</v>
      </c>
      <c r="AP608" s="408">
        <f t="shared" si="2135"/>
        <v>1.3437703848662753E-2</v>
      </c>
      <c r="AQ608" s="408">
        <f t="shared" si="2135"/>
        <v>4.8375733855185905E-2</v>
      </c>
      <c r="AR608" s="408">
        <f t="shared" si="2135"/>
        <v>1.1086105675146771E-2</v>
      </c>
      <c r="AS608" s="408">
        <f t="shared" si="2135"/>
        <v>1.2093933463796476E-2</v>
      </c>
      <c r="AT608" s="408">
        <f t="shared" si="2135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2136">IF(BD606="","",BD606*BD607/BD$46/365/$G$1)</f>
        <v/>
      </c>
      <c r="BE608" s="408">
        <f t="shared" si="2136"/>
        <v>1.3101761252446184E-2</v>
      </c>
      <c r="BF608" s="408">
        <f t="shared" si="2136"/>
        <v>3.8700587084148731E-2</v>
      </c>
      <c r="BG608" s="408">
        <f t="shared" si="2136"/>
        <v>1.7334637964774951E-2</v>
      </c>
      <c r="BH608" s="408">
        <f t="shared" si="2136"/>
        <v>1.9350293542074366E-2</v>
      </c>
      <c r="BI608" s="408">
        <f t="shared" si="2136"/>
        <v>5.1831143416270617E-3</v>
      </c>
      <c r="BJ608" s="408">
        <f t="shared" si="2136"/>
        <v>6.0469667318982387E-2</v>
      </c>
      <c r="BK608" s="408">
        <f t="shared" si="2136"/>
        <v>4.0313111545988252E-3</v>
      </c>
      <c r="BL608" s="408">
        <f t="shared" si="2136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5" t="str">
        <f t="shared" si="2122"/>
        <v/>
      </c>
      <c r="CF608" s="1116" t="str">
        <f t="shared" si="2122"/>
        <v/>
      </c>
      <c r="CG608" s="1116" t="str">
        <f t="shared" si="2122"/>
        <v/>
      </c>
      <c r="CH608" s="1116" t="str">
        <f t="shared" si="2122"/>
        <v/>
      </c>
      <c r="CI608" s="1116">
        <f t="shared" si="2122"/>
        <v>2.0156555772994126E-3</v>
      </c>
      <c r="CJ608" s="1116">
        <f t="shared" si="2122"/>
        <v>4.0313111545988252E-3</v>
      </c>
      <c r="CK608" s="1117">
        <f t="shared" si="2122"/>
        <v>5.3750815394651014E-3</v>
      </c>
      <c r="CL608" s="1117">
        <f t="shared" si="2122"/>
        <v>6.7188519243313767E-3</v>
      </c>
      <c r="CM608" s="1117">
        <f t="shared" si="2122"/>
        <v>6.9108191221694155E-3</v>
      </c>
      <c r="CN608" s="1116">
        <f t="shared" si="2122"/>
        <v>9.2144254962258886E-3</v>
      </c>
      <c r="CO608" s="1116">
        <f t="shared" si="2122"/>
        <v>1.7133072407045011E-2</v>
      </c>
      <c r="CP608" s="1116" t="str">
        <f t="shared" si="2122"/>
        <v/>
      </c>
      <c r="CQ608" s="1116" t="str">
        <f t="shared" si="2122"/>
        <v/>
      </c>
      <c r="CR608" s="1116" t="str">
        <f t="shared" si="2122"/>
        <v/>
      </c>
      <c r="CS608" s="1115" t="str">
        <f t="shared" si="2122"/>
        <v/>
      </c>
      <c r="CT608" s="1118" t="str">
        <f t="shared" si="2122"/>
        <v/>
      </c>
      <c r="CU608" s="312" t="str">
        <f t="shared" si="2123"/>
        <v/>
      </c>
      <c r="CV608" s="313" t="str">
        <f t="shared" si="2123"/>
        <v/>
      </c>
      <c r="CW608" s="314" t="str">
        <f t="shared" si="2123"/>
        <v/>
      </c>
      <c r="CX608" s="314" t="str">
        <f t="shared" si="2123"/>
        <v/>
      </c>
      <c r="CY608" s="314" t="str">
        <f t="shared" si="2123"/>
        <v/>
      </c>
      <c r="CZ608" s="314">
        <f t="shared" si="2123"/>
        <v>1.5318982387475539E-3</v>
      </c>
      <c r="DA608" s="314">
        <f t="shared" si="2123"/>
        <v>2.0156555772994126E-3</v>
      </c>
      <c r="DB608" s="315">
        <f t="shared" si="2123"/>
        <v>3.4554095610847078E-3</v>
      </c>
      <c r="DC608" s="315">
        <f t="shared" si="2123"/>
        <v>4.0313111545988252E-3</v>
      </c>
      <c r="DD608" s="315">
        <f t="shared" si="2123"/>
        <v>4.0313111545988252E-3</v>
      </c>
      <c r="DE608" s="314">
        <f t="shared" si="2124"/>
        <v>4.6072127481129443E-3</v>
      </c>
      <c r="DF608" s="314">
        <f t="shared" si="2124"/>
        <v>4.8375733855185914E-3</v>
      </c>
      <c r="DG608" s="314">
        <f t="shared" si="2124"/>
        <v>1.5117416829745597E-2</v>
      </c>
      <c r="DH608" s="314" t="str">
        <f t="shared" si="2124"/>
        <v/>
      </c>
      <c r="DI608" s="314" t="str">
        <f t="shared" si="2124"/>
        <v/>
      </c>
      <c r="DJ608" s="313" t="str">
        <f t="shared" si="2124"/>
        <v/>
      </c>
      <c r="DK608" s="312" t="str">
        <f t="shared" si="2124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60">
        <f t="shared" ref="BZ609:BZ610" si="2137">IF(DL609&lt;3,"",(SUM(B609:R609)-MIN(B609:R609)-MAX(B609:R609))/(DL609-2))</f>
        <v>8.67</v>
      </c>
      <c r="CA609" s="660">
        <f t="shared" ref="CA609:CA610" si="2138">IF(DM609&lt;3,"",(SUM(T609:AJ609)-MIN(T609:AJ609)-MAX(T609:AJ609))/(DM609-2))</f>
        <v>21</v>
      </c>
      <c r="CB609" s="660">
        <f t="shared" ref="CB609:CB610" si="2139">IF(DN609&lt;3,"",(SUM(AL609:BB609)-MIN(AL609:BB609)-MAX(AL609:BB609))/(DN609-2))</f>
        <v>15.182857142857143</v>
      </c>
      <c r="CC609" s="661">
        <f t="shared" ref="CC609:CC610" si="2140">IF(DO609&lt;3,"",(SUM(BD609:BT609)-MIN(BD609:BT609)-MAX(BD609:BT609))/(DO609-2))</f>
        <v>16.516666666666669</v>
      </c>
      <c r="CD609" s="1109" t="str">
        <f t="shared" ref="CD609:CS610" si="214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0" t="str">
        <f t="shared" si="2141"/>
        <v/>
      </c>
      <c r="CF609" s="1111" t="str">
        <f t="shared" si="2141"/>
        <v/>
      </c>
      <c r="CG609" s="1111" t="str">
        <f t="shared" si="2141"/>
        <v/>
      </c>
      <c r="CH609" s="1111" t="str">
        <f t="shared" si="2141"/>
        <v/>
      </c>
      <c r="CI609" s="1111">
        <f t="shared" si="2141"/>
        <v>1</v>
      </c>
      <c r="CJ609" s="1111">
        <f t="shared" si="2141"/>
        <v>3.35</v>
      </c>
      <c r="CK609" s="1112">
        <f t="shared" si="2141"/>
        <v>10</v>
      </c>
      <c r="CL609" s="1112">
        <f t="shared" si="2141"/>
        <v>10</v>
      </c>
      <c r="CM609" s="1112">
        <f t="shared" si="2141"/>
        <v>10</v>
      </c>
      <c r="CN609" s="1111">
        <f t="shared" si="2141"/>
        <v>10</v>
      </c>
      <c r="CO609" s="1111">
        <f t="shared" si="2141"/>
        <v>10</v>
      </c>
      <c r="CP609" s="1111" t="str">
        <f t="shared" si="2141"/>
        <v/>
      </c>
      <c r="CQ609" s="1111" t="str">
        <f t="shared" si="2141"/>
        <v/>
      </c>
      <c r="CR609" s="1111" t="str">
        <f t="shared" si="2141"/>
        <v/>
      </c>
      <c r="CS609" s="1110" t="str">
        <f t="shared" si="2141"/>
        <v/>
      </c>
      <c r="CT609" s="1113" t="str">
        <f t="shared" ref="CE609:CT610" si="214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123"/>
        <v/>
      </c>
      <c r="CV609" s="325" t="str">
        <f t="shared" si="2123"/>
        <v/>
      </c>
      <c r="CW609" s="326" t="str">
        <f t="shared" si="2123"/>
        <v/>
      </c>
      <c r="CX609" s="326" t="str">
        <f t="shared" si="2123"/>
        <v/>
      </c>
      <c r="CY609" s="326" t="str">
        <f t="shared" si="2123"/>
        <v/>
      </c>
      <c r="CZ609" s="326">
        <f t="shared" si="2123"/>
        <v>10</v>
      </c>
      <c r="DA609" s="326">
        <f t="shared" si="2123"/>
        <v>10</v>
      </c>
      <c r="DB609" s="327">
        <f t="shared" si="2123"/>
        <v>10</v>
      </c>
      <c r="DC609" s="327">
        <f t="shared" si="2123"/>
        <v>15</v>
      </c>
      <c r="DD609" s="327">
        <f t="shared" si="2123"/>
        <v>30</v>
      </c>
      <c r="DE609" s="326">
        <f t="shared" si="2124"/>
        <v>40</v>
      </c>
      <c r="DF609" s="326">
        <f t="shared" si="2124"/>
        <v>120</v>
      </c>
      <c r="DG609" s="326" t="str">
        <f t="shared" si="2124"/>
        <v/>
      </c>
      <c r="DH609" s="326" t="str">
        <f t="shared" si="2124"/>
        <v/>
      </c>
      <c r="DI609" s="326" t="str">
        <f t="shared" si="2124"/>
        <v/>
      </c>
      <c r="DJ609" s="325" t="str">
        <f t="shared" si="2124"/>
        <v/>
      </c>
      <c r="DK609" s="324" t="str">
        <f t="shared" si="2124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143">IF(B609="","",B606*B609)</f>
        <v>50</v>
      </c>
      <c r="C610" s="405">
        <f t="shared" si="2143"/>
        <v>160</v>
      </c>
      <c r="D610" s="405">
        <f t="shared" si="2143"/>
        <v>80</v>
      </c>
      <c r="E610" s="405">
        <f t="shared" si="2143"/>
        <v>100</v>
      </c>
      <c r="F610" s="405" t="str">
        <f t="shared" si="2143"/>
        <v/>
      </c>
      <c r="G610" s="405">
        <f t="shared" si="2143"/>
        <v>113.9</v>
      </c>
      <c r="H610" s="405">
        <f t="shared" si="2143"/>
        <v>6</v>
      </c>
      <c r="I610" s="405" t="str">
        <f t="shared" si="2143"/>
        <v/>
      </c>
      <c r="J610" s="405">
        <f t="shared" si="2143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144">IF(T609="","",T606*T609)</f>
        <v>300</v>
      </c>
      <c r="U610" s="405" t="str">
        <f t="shared" si="2144"/>
        <v/>
      </c>
      <c r="V610" s="405" t="str">
        <f t="shared" si="2144"/>
        <v/>
      </c>
      <c r="W610" s="405">
        <f t="shared" si="2144"/>
        <v>152</v>
      </c>
      <c r="X610" s="405">
        <f t="shared" si="2144"/>
        <v>120</v>
      </c>
      <c r="Y610" s="405">
        <f t="shared" si="2144"/>
        <v>960</v>
      </c>
      <c r="Z610" s="405">
        <f t="shared" si="2144"/>
        <v>80</v>
      </c>
      <c r="AA610" s="405">
        <f t="shared" si="2144"/>
        <v>120</v>
      </c>
      <c r="AB610" s="405">
        <f t="shared" si="2144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2145">IF(AL609="","",AL606*AL609)</f>
        <v>1200</v>
      </c>
      <c r="AM610" s="405">
        <f t="shared" si="2145"/>
        <v>280</v>
      </c>
      <c r="AN610" s="405">
        <f t="shared" si="2145"/>
        <v>240</v>
      </c>
      <c r="AO610" s="405">
        <f t="shared" si="2145"/>
        <v>900</v>
      </c>
      <c r="AP610" s="405">
        <f t="shared" si="2145"/>
        <v>200</v>
      </c>
      <c r="AQ610" s="405">
        <f t="shared" si="2145"/>
        <v>576</v>
      </c>
      <c r="AR610" s="405">
        <f t="shared" si="2145"/>
        <v>770</v>
      </c>
      <c r="AS610" s="405">
        <f t="shared" si="2145"/>
        <v>192</v>
      </c>
      <c r="AT610" s="405">
        <f t="shared" si="2145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2146">IF(BD609="","",BD606*BD609)</f>
        <v/>
      </c>
      <c r="BE610" s="405">
        <f t="shared" si="2146"/>
        <v>434.85</v>
      </c>
      <c r="BF610" s="405">
        <f t="shared" si="2146"/>
        <v>768</v>
      </c>
      <c r="BG610" s="405">
        <f t="shared" si="2146"/>
        <v>860</v>
      </c>
      <c r="BH610" s="405">
        <f t="shared" si="2146"/>
        <v>960</v>
      </c>
      <c r="BI610" s="405">
        <f t="shared" si="2146"/>
        <v>180</v>
      </c>
      <c r="BJ610" s="405">
        <f t="shared" si="2146"/>
        <v>900</v>
      </c>
      <c r="BK610" s="405">
        <f t="shared" si="2146"/>
        <v>240</v>
      </c>
      <c r="BL610" s="405">
        <f t="shared" si="2146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60">
        <f t="shared" si="2137"/>
        <v>92.78</v>
      </c>
      <c r="CA610" s="660">
        <f t="shared" si="2138"/>
        <v>174.4</v>
      </c>
      <c r="CB610" s="660">
        <f t="shared" si="2139"/>
        <v>595.07428571428579</v>
      </c>
      <c r="CC610" s="661">
        <f t="shared" si="2140"/>
        <v>677.40833333333342</v>
      </c>
      <c r="CD610" s="1109" t="str">
        <f t="shared" si="2141"/>
        <v/>
      </c>
      <c r="CE610" s="1110" t="str">
        <f t="shared" si="2142"/>
        <v/>
      </c>
      <c r="CF610" s="1111" t="str">
        <f t="shared" si="2142"/>
        <v/>
      </c>
      <c r="CG610" s="1111" t="str">
        <f t="shared" si="2142"/>
        <v/>
      </c>
      <c r="CH610" s="1111" t="str">
        <f t="shared" si="2142"/>
        <v/>
      </c>
      <c r="CI610" s="1111">
        <f t="shared" si="2142"/>
        <v>6</v>
      </c>
      <c r="CJ610" s="1111">
        <f t="shared" si="2142"/>
        <v>50</v>
      </c>
      <c r="CK610" s="1112">
        <f t="shared" si="2142"/>
        <v>80</v>
      </c>
      <c r="CL610" s="1112">
        <f t="shared" si="2142"/>
        <v>100</v>
      </c>
      <c r="CM610" s="1112">
        <f t="shared" si="2142"/>
        <v>113.9</v>
      </c>
      <c r="CN610" s="1111">
        <f t="shared" si="2142"/>
        <v>120</v>
      </c>
      <c r="CO610" s="1111">
        <f t="shared" si="2142"/>
        <v>160</v>
      </c>
      <c r="CP610" s="1111" t="str">
        <f t="shared" si="2142"/>
        <v/>
      </c>
      <c r="CQ610" s="1111" t="str">
        <f t="shared" si="2142"/>
        <v/>
      </c>
      <c r="CR610" s="1111" t="str">
        <f t="shared" si="2142"/>
        <v/>
      </c>
      <c r="CS610" s="1110" t="str">
        <f t="shared" si="2142"/>
        <v/>
      </c>
      <c r="CT610" s="1113" t="str">
        <f t="shared" si="2142"/>
        <v/>
      </c>
      <c r="CU610" s="324" t="str">
        <f t="shared" si="2123"/>
        <v/>
      </c>
      <c r="CV610" s="325" t="str">
        <f t="shared" si="2123"/>
        <v/>
      </c>
      <c r="CW610" s="326" t="str">
        <f t="shared" si="2123"/>
        <v/>
      </c>
      <c r="CX610" s="326" t="str">
        <f t="shared" si="2123"/>
        <v/>
      </c>
      <c r="CY610" s="326" t="str">
        <f t="shared" si="2123"/>
        <v/>
      </c>
      <c r="CZ610" s="326">
        <f t="shared" si="2123"/>
        <v>80</v>
      </c>
      <c r="DA610" s="326">
        <f t="shared" si="2123"/>
        <v>120</v>
      </c>
      <c r="DB610" s="327">
        <f t="shared" si="2123"/>
        <v>120</v>
      </c>
      <c r="DC610" s="327">
        <f t="shared" si="2123"/>
        <v>152</v>
      </c>
      <c r="DD610" s="327">
        <f t="shared" si="2123"/>
        <v>180</v>
      </c>
      <c r="DE610" s="326">
        <f t="shared" si="2124"/>
        <v>300</v>
      </c>
      <c r="DF610" s="326">
        <f t="shared" si="2124"/>
        <v>960</v>
      </c>
      <c r="DG610" s="326" t="str">
        <f t="shared" si="2124"/>
        <v/>
      </c>
      <c r="DH610" s="326" t="str">
        <f t="shared" si="2124"/>
        <v/>
      </c>
      <c r="DI610" s="326" t="str">
        <f t="shared" si="2124"/>
        <v/>
      </c>
      <c r="DJ610" s="325" t="str">
        <f t="shared" si="2124"/>
        <v/>
      </c>
      <c r="DK610" s="324" t="str">
        <f t="shared" si="2124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6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4"/>
      <c r="CE611" s="1134"/>
      <c r="CF611" s="1134"/>
      <c r="CG611" s="1134"/>
      <c r="CH611" s="1134"/>
      <c r="CI611" s="1134"/>
      <c r="CJ611" s="1134"/>
      <c r="CK611" s="1134"/>
      <c r="CL611" s="1134"/>
      <c r="CM611" s="1134"/>
      <c r="CN611" s="1134"/>
      <c r="CO611" s="1134"/>
      <c r="CP611" s="1134"/>
      <c r="CQ611" s="1134"/>
      <c r="CR611" s="1134"/>
      <c r="CS611" s="1134"/>
      <c r="CT611" s="1135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60" t="str">
        <f t="shared" ref="BZ612:BZ613" si="2147">IF(DL612&lt;3,"",(SUM(B612:R612)-MIN(B612:R612)-MAX(B612:R612))/(DL612-2))</f>
        <v/>
      </c>
      <c r="CA612" s="660" t="str">
        <f t="shared" ref="CA612:CA613" si="2148">IF(DM612&lt;3,"",(SUM(T612:AJ612)-MIN(T612:AJ612)-MAX(T612:AJ612))/(DM612-2))</f>
        <v/>
      </c>
      <c r="CB612" s="660">
        <f t="shared" ref="CB612:CB613" si="2149">IF(DN612&lt;3,"",(SUM(AL612:BB612)-MIN(AL612:BB612)-MAX(AL612:BB612))/(DN612-2))</f>
        <v>66.25</v>
      </c>
      <c r="CC612" s="661">
        <f t="shared" ref="CC612:CC613" si="2150">IF(DO612&lt;3,"",(SUM(BD612:BT612)-MIN(BD612:BT612)-MAX(BD612:BT612))/(DO612-2))</f>
        <v>45</v>
      </c>
      <c r="CD612" s="1109" t="str">
        <f t="shared" ref="CD612:CS613" si="215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0" t="str">
        <f t="shared" si="2151"/>
        <v/>
      </c>
      <c r="CF612" s="1111" t="str">
        <f t="shared" si="2151"/>
        <v/>
      </c>
      <c r="CG612" s="1111" t="str">
        <f t="shared" si="2151"/>
        <v/>
      </c>
      <c r="CH612" s="1111" t="str">
        <f t="shared" si="2151"/>
        <v/>
      </c>
      <c r="CI612" s="1111" t="str">
        <f t="shared" si="2151"/>
        <v/>
      </c>
      <c r="CJ612" s="1111" t="str">
        <f t="shared" si="2151"/>
        <v/>
      </c>
      <c r="CK612" s="1112" t="str">
        <f t="shared" si="2151"/>
        <v/>
      </c>
      <c r="CL612" s="1112" t="str">
        <f t="shared" si="2151"/>
        <v/>
      </c>
      <c r="CM612" s="1112" t="str">
        <f t="shared" si="2151"/>
        <v/>
      </c>
      <c r="CN612" s="1111" t="str">
        <f t="shared" si="2151"/>
        <v/>
      </c>
      <c r="CO612" s="1111" t="str">
        <f t="shared" si="2151"/>
        <v/>
      </c>
      <c r="CP612" s="1111" t="str">
        <f t="shared" si="2151"/>
        <v/>
      </c>
      <c r="CQ612" s="1111" t="str">
        <f t="shared" si="2151"/>
        <v/>
      </c>
      <c r="CR612" s="1111" t="str">
        <f t="shared" si="2151"/>
        <v/>
      </c>
      <c r="CS612" s="1110" t="str">
        <f t="shared" si="2151"/>
        <v/>
      </c>
      <c r="CT612" s="1113" t="str">
        <f t="shared" ref="CE612:CT614" si="215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15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153"/>
        <v/>
      </c>
      <c r="CW612" s="326" t="str">
        <f t="shared" si="2153"/>
        <v/>
      </c>
      <c r="CX612" s="326" t="str">
        <f t="shared" si="2153"/>
        <v/>
      </c>
      <c r="CY612" s="326" t="str">
        <f t="shared" si="2153"/>
        <v/>
      </c>
      <c r="CZ612" s="326" t="str">
        <f t="shared" si="2153"/>
        <v/>
      </c>
      <c r="DA612" s="326" t="str">
        <f t="shared" si="2153"/>
        <v/>
      </c>
      <c r="DB612" s="327" t="str">
        <f t="shared" si="2153"/>
        <v/>
      </c>
      <c r="DC612" s="327" t="str">
        <f t="shared" si="2153"/>
        <v/>
      </c>
      <c r="DD612" s="327" t="str">
        <f t="shared" si="2153"/>
        <v/>
      </c>
      <c r="DE612" s="326" t="str">
        <f t="shared" ref="DE612:DK616" si="215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154"/>
        <v/>
      </c>
      <c r="DG612" s="326" t="str">
        <f t="shared" si="2154"/>
        <v/>
      </c>
      <c r="DH612" s="326" t="str">
        <f t="shared" si="2154"/>
        <v/>
      </c>
      <c r="DI612" s="326" t="str">
        <f t="shared" si="2154"/>
        <v/>
      </c>
      <c r="DJ612" s="325" t="str">
        <f t="shared" si="2154"/>
        <v/>
      </c>
      <c r="DK612" s="324" t="str">
        <f t="shared" si="2154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60">
        <f t="shared" si="2147"/>
        <v>3480</v>
      </c>
      <c r="CA613" s="660">
        <f t="shared" si="2148"/>
        <v>3480</v>
      </c>
      <c r="CB613" s="660">
        <f t="shared" si="2149"/>
        <v>3480</v>
      </c>
      <c r="CC613" s="661">
        <f t="shared" si="2150"/>
        <v>3480</v>
      </c>
      <c r="CD613" s="1109" t="str">
        <f t="shared" si="2151"/>
        <v/>
      </c>
      <c r="CE613" s="1110" t="str">
        <f t="shared" si="2152"/>
        <v/>
      </c>
      <c r="CF613" s="1111" t="str">
        <f t="shared" si="2152"/>
        <v/>
      </c>
      <c r="CG613" s="1111" t="str">
        <f t="shared" si="2152"/>
        <v/>
      </c>
      <c r="CH613" s="1111">
        <f t="shared" si="2152"/>
        <v>3480</v>
      </c>
      <c r="CI613" s="1111">
        <f t="shared" si="2152"/>
        <v>3480</v>
      </c>
      <c r="CJ613" s="1111">
        <f t="shared" si="2152"/>
        <v>3480</v>
      </c>
      <c r="CK613" s="1112">
        <f t="shared" si="2152"/>
        <v>3480</v>
      </c>
      <c r="CL613" s="1112">
        <f t="shared" si="2152"/>
        <v>3480</v>
      </c>
      <c r="CM613" s="1112">
        <f t="shared" si="2152"/>
        <v>3480</v>
      </c>
      <c r="CN613" s="1111">
        <f t="shared" si="2152"/>
        <v>3480</v>
      </c>
      <c r="CO613" s="1111">
        <f t="shared" si="2152"/>
        <v>3480</v>
      </c>
      <c r="CP613" s="1111">
        <f t="shared" si="2152"/>
        <v>3480</v>
      </c>
      <c r="CQ613" s="1111" t="str">
        <f t="shared" si="2152"/>
        <v/>
      </c>
      <c r="CR613" s="1111" t="str">
        <f t="shared" si="2152"/>
        <v/>
      </c>
      <c r="CS613" s="1110" t="str">
        <f t="shared" si="2152"/>
        <v/>
      </c>
      <c r="CT613" s="1113" t="str">
        <f t="shared" si="2152"/>
        <v/>
      </c>
      <c r="CU613" s="324" t="str">
        <f t="shared" si="2153"/>
        <v/>
      </c>
      <c r="CV613" s="325" t="str">
        <f t="shared" si="2153"/>
        <v/>
      </c>
      <c r="CW613" s="326" t="str">
        <f t="shared" si="2153"/>
        <v/>
      </c>
      <c r="CX613" s="326" t="str">
        <f t="shared" si="2153"/>
        <v/>
      </c>
      <c r="CY613" s="326">
        <f t="shared" si="2153"/>
        <v>3480</v>
      </c>
      <c r="CZ613" s="326">
        <f t="shared" si="2153"/>
        <v>3480</v>
      </c>
      <c r="DA613" s="326">
        <f t="shared" si="2153"/>
        <v>3480</v>
      </c>
      <c r="DB613" s="327">
        <f t="shared" si="2153"/>
        <v>3480</v>
      </c>
      <c r="DC613" s="327">
        <f t="shared" si="2153"/>
        <v>3480</v>
      </c>
      <c r="DD613" s="327">
        <f t="shared" si="2153"/>
        <v>3480</v>
      </c>
      <c r="DE613" s="326">
        <f t="shared" si="2154"/>
        <v>3480</v>
      </c>
      <c r="DF613" s="326">
        <f t="shared" si="2154"/>
        <v>3480</v>
      </c>
      <c r="DG613" s="326">
        <f t="shared" si="2154"/>
        <v>3480</v>
      </c>
      <c r="DH613" s="326" t="str">
        <f t="shared" si="2154"/>
        <v/>
      </c>
      <c r="DI613" s="326" t="str">
        <f t="shared" si="2154"/>
        <v/>
      </c>
      <c r="DJ613" s="325" t="str">
        <f t="shared" si="2154"/>
        <v/>
      </c>
      <c r="DK613" s="324" t="str">
        <f t="shared" si="2154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155">IF(B612="","",B612*B613/B$46/365/$G$1)</f>
        <v/>
      </c>
      <c r="C614" s="408" t="str">
        <f t="shared" si="2155"/>
        <v/>
      </c>
      <c r="D614" s="408" t="str">
        <f t="shared" si="2155"/>
        <v/>
      </c>
      <c r="E614" s="408" t="str">
        <f t="shared" si="2155"/>
        <v/>
      </c>
      <c r="F614" s="408" t="str">
        <f t="shared" si="2155"/>
        <v/>
      </c>
      <c r="G614" s="408" t="str">
        <f t="shared" si="2155"/>
        <v/>
      </c>
      <c r="H614" s="408" t="str">
        <f t="shared" si="2155"/>
        <v/>
      </c>
      <c r="I614" s="408" t="str">
        <f t="shared" si="2155"/>
        <v/>
      </c>
      <c r="J614" s="408" t="str">
        <f t="shared" si="2155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156">IF(T612="","",T612*T613/T$46/365/$G$1)</f>
        <v/>
      </c>
      <c r="U614" s="408" t="str">
        <f t="shared" si="2156"/>
        <v/>
      </c>
      <c r="V614" s="408" t="str">
        <f t="shared" si="2156"/>
        <v/>
      </c>
      <c r="W614" s="408" t="str">
        <f t="shared" si="2156"/>
        <v/>
      </c>
      <c r="X614" s="408" t="str">
        <f t="shared" si="2156"/>
        <v/>
      </c>
      <c r="Y614" s="408" t="str">
        <f t="shared" si="2156"/>
        <v/>
      </c>
      <c r="Z614" s="408" t="str">
        <f t="shared" si="2156"/>
        <v/>
      </c>
      <c r="AA614" s="408" t="str">
        <f t="shared" si="2156"/>
        <v/>
      </c>
      <c r="AB614" s="408" t="str">
        <f t="shared" si="2156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2157">IF(AL612="","",AL612*AL613/AL$46/365/$G$1)</f>
        <v>9.9057107276285371E-3</v>
      </c>
      <c r="AM614" s="408">
        <f t="shared" si="2157"/>
        <v>1.7025440313111546E-2</v>
      </c>
      <c r="AN614" s="408" t="str">
        <f t="shared" si="2157"/>
        <v/>
      </c>
      <c r="AO614" s="408">
        <f t="shared" si="2157"/>
        <v>6.8101761252446186E-2</v>
      </c>
      <c r="AP614" s="408">
        <f t="shared" si="2157"/>
        <v>3.0267449445531638E-2</v>
      </c>
      <c r="AQ614" s="408">
        <f t="shared" si="2157"/>
        <v>0.10593607305936073</v>
      </c>
      <c r="AR614" s="408" t="str">
        <f t="shared" si="2157"/>
        <v/>
      </c>
      <c r="AS614" s="408">
        <f t="shared" si="2157"/>
        <v>3.4050880626223093E-2</v>
      </c>
      <c r="AT614" s="408" t="str">
        <f t="shared" si="2157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2158">IF(BD612="","",BD612*BD613/BD$46/365/$G$1)</f>
        <v>1.8917155903457272E-2</v>
      </c>
      <c r="BE614" s="408" t="str">
        <f t="shared" si="2158"/>
        <v/>
      </c>
      <c r="BF614" s="408" t="str">
        <f t="shared" si="2158"/>
        <v/>
      </c>
      <c r="BG614" s="408">
        <f t="shared" si="2158"/>
        <v>1.1350293542074364E-2</v>
      </c>
      <c r="BH614" s="408" t="str">
        <f t="shared" si="2158"/>
        <v/>
      </c>
      <c r="BI614" s="408" t="str">
        <f t="shared" si="2158"/>
        <v/>
      </c>
      <c r="BJ614" s="408">
        <f t="shared" si="2158"/>
        <v>1.589041095890411E-2</v>
      </c>
      <c r="BK614" s="408">
        <f t="shared" si="2158"/>
        <v>2.2700587084148727E-2</v>
      </c>
      <c r="BL614" s="408">
        <f t="shared" si="2158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5" t="str">
        <f t="shared" si="2152"/>
        <v/>
      </c>
      <c r="CF614" s="1116" t="str">
        <f t="shared" si="2152"/>
        <v/>
      </c>
      <c r="CG614" s="1116" t="str">
        <f t="shared" si="2152"/>
        <v/>
      </c>
      <c r="CH614" s="1116" t="str">
        <f t="shared" si="2152"/>
        <v/>
      </c>
      <c r="CI614" s="1116" t="str">
        <f t="shared" si="2152"/>
        <v/>
      </c>
      <c r="CJ614" s="1116" t="str">
        <f t="shared" si="2152"/>
        <v/>
      </c>
      <c r="CK614" s="1117" t="str">
        <f t="shared" si="2152"/>
        <v/>
      </c>
      <c r="CL614" s="1117" t="str">
        <f t="shared" si="2152"/>
        <v/>
      </c>
      <c r="CM614" s="1117" t="str">
        <f t="shared" si="2152"/>
        <v/>
      </c>
      <c r="CN614" s="1116" t="str">
        <f t="shared" si="2152"/>
        <v/>
      </c>
      <c r="CO614" s="1116" t="str">
        <f t="shared" si="2152"/>
        <v/>
      </c>
      <c r="CP614" s="1116" t="str">
        <f t="shared" si="2152"/>
        <v/>
      </c>
      <c r="CQ614" s="1116" t="str">
        <f t="shared" si="2152"/>
        <v/>
      </c>
      <c r="CR614" s="1116" t="str">
        <f t="shared" si="2152"/>
        <v/>
      </c>
      <c r="CS614" s="1115" t="str">
        <f t="shared" si="2152"/>
        <v/>
      </c>
      <c r="CT614" s="1118" t="str">
        <f t="shared" si="2152"/>
        <v/>
      </c>
      <c r="CU614" s="312" t="str">
        <f t="shared" si="2153"/>
        <v/>
      </c>
      <c r="CV614" s="313" t="str">
        <f t="shared" si="2153"/>
        <v/>
      </c>
      <c r="CW614" s="314" t="str">
        <f t="shared" si="2153"/>
        <v/>
      </c>
      <c r="CX614" s="314" t="str">
        <f t="shared" si="2153"/>
        <v/>
      </c>
      <c r="CY614" s="314" t="str">
        <f t="shared" si="2153"/>
        <v/>
      </c>
      <c r="CZ614" s="314" t="str">
        <f t="shared" si="2153"/>
        <v/>
      </c>
      <c r="DA614" s="314" t="str">
        <f t="shared" si="2153"/>
        <v/>
      </c>
      <c r="DB614" s="315" t="str">
        <f t="shared" si="2153"/>
        <v/>
      </c>
      <c r="DC614" s="315" t="str">
        <f t="shared" si="2153"/>
        <v/>
      </c>
      <c r="DD614" s="315" t="str">
        <f t="shared" si="2153"/>
        <v/>
      </c>
      <c r="DE614" s="314" t="str">
        <f t="shared" si="2154"/>
        <v/>
      </c>
      <c r="DF614" s="314" t="str">
        <f t="shared" si="2154"/>
        <v/>
      </c>
      <c r="DG614" s="314" t="str">
        <f t="shared" si="2154"/>
        <v/>
      </c>
      <c r="DH614" s="314" t="str">
        <f t="shared" si="2154"/>
        <v/>
      </c>
      <c r="DI614" s="314" t="str">
        <f t="shared" si="2154"/>
        <v/>
      </c>
      <c r="DJ614" s="313" t="str">
        <f t="shared" si="2154"/>
        <v/>
      </c>
      <c r="DK614" s="312" t="str">
        <f t="shared" si="2154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60" t="str">
        <f t="shared" ref="BZ615:BZ616" si="2159">IF(DL615&lt;3,"",(SUM(B615:R615)-MIN(B615:R615)-MAX(B615:R615))/(DL615-2))</f>
        <v/>
      </c>
      <c r="CA615" s="660" t="str">
        <f t="shared" ref="CA615:CA616" si="2160">IF(DM615&lt;3,"",(SUM(T615:AJ615)-MIN(T615:AJ615)-MAX(T615:AJ615))/(DM615-2))</f>
        <v/>
      </c>
      <c r="CB615" s="660">
        <f t="shared" ref="CB615:CB616" si="2161">IF(DN615&lt;3,"",(SUM(AL615:BB615)-MIN(AL615:BB615)-MAX(AL615:BB615))/(DN615-2))</f>
        <v>5</v>
      </c>
      <c r="CC615" s="661">
        <f t="shared" ref="CC615:CC616" si="2162">IF(DO615&lt;3,"",(SUM(BD615:BT615)-MIN(BD615:BT615)-MAX(BD615:BT615))/(DO615-2))</f>
        <v>3.3333333333333335</v>
      </c>
      <c r="CD615" s="1109" t="str">
        <f t="shared" ref="CD615:CS616" si="21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0" t="str">
        <f t="shared" si="2163"/>
        <v/>
      </c>
      <c r="CF615" s="1111" t="str">
        <f t="shared" si="2163"/>
        <v/>
      </c>
      <c r="CG615" s="1111" t="str">
        <f t="shared" si="2163"/>
        <v/>
      </c>
      <c r="CH615" s="1111" t="str">
        <f t="shared" si="2163"/>
        <v/>
      </c>
      <c r="CI615" s="1111" t="str">
        <f t="shared" si="2163"/>
        <v/>
      </c>
      <c r="CJ615" s="1111" t="str">
        <f t="shared" si="2163"/>
        <v/>
      </c>
      <c r="CK615" s="1112" t="str">
        <f t="shared" si="2163"/>
        <v/>
      </c>
      <c r="CL615" s="1112" t="str">
        <f t="shared" si="2163"/>
        <v/>
      </c>
      <c r="CM615" s="1112" t="str">
        <f t="shared" si="2163"/>
        <v/>
      </c>
      <c r="CN615" s="1111" t="str">
        <f t="shared" si="2163"/>
        <v/>
      </c>
      <c r="CO615" s="1111" t="str">
        <f t="shared" si="2163"/>
        <v/>
      </c>
      <c r="CP615" s="1111" t="str">
        <f t="shared" si="2163"/>
        <v/>
      </c>
      <c r="CQ615" s="1111" t="str">
        <f t="shared" si="2163"/>
        <v/>
      </c>
      <c r="CR615" s="1111" t="str">
        <f t="shared" si="2163"/>
        <v/>
      </c>
      <c r="CS615" s="1110" t="str">
        <f t="shared" si="2163"/>
        <v/>
      </c>
      <c r="CT615" s="1113" t="str">
        <f t="shared" ref="CE615:CT616" si="21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153"/>
        <v/>
      </c>
      <c r="CV615" s="325" t="str">
        <f t="shared" si="2153"/>
        <v/>
      </c>
      <c r="CW615" s="326" t="str">
        <f t="shared" si="2153"/>
        <v/>
      </c>
      <c r="CX615" s="326" t="str">
        <f t="shared" si="2153"/>
        <v/>
      </c>
      <c r="CY615" s="326" t="str">
        <f t="shared" si="2153"/>
        <v/>
      </c>
      <c r="CZ615" s="326" t="str">
        <f t="shared" si="2153"/>
        <v/>
      </c>
      <c r="DA615" s="326" t="str">
        <f t="shared" si="2153"/>
        <v/>
      </c>
      <c r="DB615" s="327" t="str">
        <f t="shared" si="2153"/>
        <v/>
      </c>
      <c r="DC615" s="327" t="str">
        <f t="shared" si="2153"/>
        <v/>
      </c>
      <c r="DD615" s="327" t="str">
        <f t="shared" si="2153"/>
        <v/>
      </c>
      <c r="DE615" s="326" t="str">
        <f t="shared" si="2154"/>
        <v/>
      </c>
      <c r="DF615" s="326" t="str">
        <f t="shared" si="2154"/>
        <v/>
      </c>
      <c r="DG615" s="326" t="str">
        <f t="shared" si="2154"/>
        <v/>
      </c>
      <c r="DH615" s="326" t="str">
        <f t="shared" si="2154"/>
        <v/>
      </c>
      <c r="DI615" s="326" t="str">
        <f t="shared" si="2154"/>
        <v/>
      </c>
      <c r="DJ615" s="325" t="str">
        <f t="shared" si="2154"/>
        <v/>
      </c>
      <c r="DK615" s="324" t="str">
        <f t="shared" si="2154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165">IF(B615="","",B612*B615)</f>
        <v/>
      </c>
      <c r="C616" s="405" t="str">
        <f t="shared" si="2165"/>
        <v/>
      </c>
      <c r="D616" s="405" t="str">
        <f t="shared" si="2165"/>
        <v/>
      </c>
      <c r="E616" s="405" t="str">
        <f t="shared" si="2165"/>
        <v/>
      </c>
      <c r="F616" s="405" t="str">
        <f t="shared" si="2165"/>
        <v/>
      </c>
      <c r="G616" s="405" t="str">
        <f t="shared" si="2165"/>
        <v/>
      </c>
      <c r="H616" s="405" t="str">
        <f t="shared" si="2165"/>
        <v/>
      </c>
      <c r="I616" s="405" t="str">
        <f t="shared" si="2165"/>
        <v/>
      </c>
      <c r="J616" s="405" t="str">
        <f t="shared" si="2165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166">IF(T615="","",T612*T615)</f>
        <v/>
      </c>
      <c r="U616" s="405" t="str">
        <f t="shared" si="2166"/>
        <v/>
      </c>
      <c r="V616" s="405" t="str">
        <f t="shared" si="2166"/>
        <v/>
      </c>
      <c r="W616" s="405" t="str">
        <f t="shared" si="2166"/>
        <v/>
      </c>
      <c r="X616" s="405" t="str">
        <f t="shared" si="2166"/>
        <v/>
      </c>
      <c r="Y616" s="405" t="str">
        <f t="shared" si="2166"/>
        <v/>
      </c>
      <c r="Z616" s="405" t="str">
        <f t="shared" si="2166"/>
        <v/>
      </c>
      <c r="AA616" s="405" t="str">
        <f t="shared" si="2166"/>
        <v/>
      </c>
      <c r="AB616" s="405" t="str">
        <f t="shared" si="2166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2167">IF(AL615="","",AL612*AL615)</f>
        <v>480</v>
      </c>
      <c r="AM616" s="405">
        <f t="shared" si="2167"/>
        <v>225</v>
      </c>
      <c r="AN616" s="405" t="str">
        <f t="shared" si="2167"/>
        <v/>
      </c>
      <c r="AO616" s="405">
        <f t="shared" si="2167"/>
        <v>600</v>
      </c>
      <c r="AP616" s="405">
        <f t="shared" si="2167"/>
        <v>200</v>
      </c>
      <c r="AQ616" s="405">
        <f t="shared" si="2167"/>
        <v>700</v>
      </c>
      <c r="AR616" s="405" t="str">
        <f t="shared" si="2167"/>
        <v/>
      </c>
      <c r="AS616" s="405">
        <f t="shared" si="2167"/>
        <v>264</v>
      </c>
      <c r="AT616" s="405" t="str">
        <f t="shared" si="2167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2168">IF(BD615="","",BD612*BD615)</f>
        <v>100</v>
      </c>
      <c r="BE616" s="405" t="str">
        <f t="shared" si="2168"/>
        <v/>
      </c>
      <c r="BF616" s="405" t="str">
        <f t="shared" si="2168"/>
        <v/>
      </c>
      <c r="BG616" s="405">
        <f t="shared" si="2168"/>
        <v>100</v>
      </c>
      <c r="BH616" s="405" t="str">
        <f t="shared" si="2168"/>
        <v/>
      </c>
      <c r="BI616" s="405" t="str">
        <f t="shared" si="2168"/>
        <v/>
      </c>
      <c r="BJ616" s="405">
        <f t="shared" si="2168"/>
        <v>21</v>
      </c>
      <c r="BK616" s="405">
        <f t="shared" si="2168"/>
        <v>240</v>
      </c>
      <c r="BL616" s="405">
        <f t="shared" si="2168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60" t="str">
        <f t="shared" si="2159"/>
        <v/>
      </c>
      <c r="CA616" s="660" t="str">
        <f t="shared" si="2160"/>
        <v/>
      </c>
      <c r="CB616" s="660">
        <f t="shared" si="2161"/>
        <v>392.25</v>
      </c>
      <c r="CC616" s="661">
        <f t="shared" si="2162"/>
        <v>146.66666666666666</v>
      </c>
      <c r="CD616" s="1109" t="str">
        <f t="shared" si="2163"/>
        <v/>
      </c>
      <c r="CE616" s="1110" t="str">
        <f t="shared" si="2164"/>
        <v/>
      </c>
      <c r="CF616" s="1111" t="str">
        <f t="shared" si="2164"/>
        <v/>
      </c>
      <c r="CG616" s="1111" t="str">
        <f t="shared" si="2164"/>
        <v/>
      </c>
      <c r="CH616" s="1111" t="str">
        <f t="shared" si="2164"/>
        <v/>
      </c>
      <c r="CI616" s="1111" t="str">
        <f t="shared" si="2164"/>
        <v/>
      </c>
      <c r="CJ616" s="1111" t="str">
        <f t="shared" si="2164"/>
        <v/>
      </c>
      <c r="CK616" s="1112" t="str">
        <f t="shared" si="2164"/>
        <v/>
      </c>
      <c r="CL616" s="1112" t="str">
        <f t="shared" si="2164"/>
        <v/>
      </c>
      <c r="CM616" s="1112" t="str">
        <f t="shared" si="2164"/>
        <v/>
      </c>
      <c r="CN616" s="1111" t="str">
        <f t="shared" si="2164"/>
        <v/>
      </c>
      <c r="CO616" s="1111" t="str">
        <f t="shared" si="2164"/>
        <v/>
      </c>
      <c r="CP616" s="1111" t="str">
        <f t="shared" si="2164"/>
        <v/>
      </c>
      <c r="CQ616" s="1111" t="str">
        <f t="shared" si="2164"/>
        <v/>
      </c>
      <c r="CR616" s="1111" t="str">
        <f t="shared" si="2164"/>
        <v/>
      </c>
      <c r="CS616" s="1110" t="str">
        <f t="shared" si="2164"/>
        <v/>
      </c>
      <c r="CT616" s="1113" t="str">
        <f t="shared" si="2164"/>
        <v/>
      </c>
      <c r="CU616" s="324" t="str">
        <f t="shared" si="2153"/>
        <v/>
      </c>
      <c r="CV616" s="325" t="str">
        <f t="shared" si="2153"/>
        <v/>
      </c>
      <c r="CW616" s="326" t="str">
        <f t="shared" si="2153"/>
        <v/>
      </c>
      <c r="CX616" s="326" t="str">
        <f t="shared" si="2153"/>
        <v/>
      </c>
      <c r="CY616" s="326" t="str">
        <f t="shared" si="2153"/>
        <v/>
      </c>
      <c r="CZ616" s="326" t="str">
        <f t="shared" si="2153"/>
        <v/>
      </c>
      <c r="DA616" s="326" t="str">
        <f t="shared" si="2153"/>
        <v/>
      </c>
      <c r="DB616" s="327" t="str">
        <f t="shared" si="2153"/>
        <v/>
      </c>
      <c r="DC616" s="327" t="str">
        <f t="shared" si="2153"/>
        <v/>
      </c>
      <c r="DD616" s="327" t="str">
        <f t="shared" si="2153"/>
        <v/>
      </c>
      <c r="DE616" s="326" t="str">
        <f t="shared" si="2154"/>
        <v/>
      </c>
      <c r="DF616" s="326" t="str">
        <f t="shared" si="2154"/>
        <v/>
      </c>
      <c r="DG616" s="326" t="str">
        <f t="shared" si="2154"/>
        <v/>
      </c>
      <c r="DH616" s="326" t="str">
        <f t="shared" si="2154"/>
        <v/>
      </c>
      <c r="DI616" s="326" t="str">
        <f t="shared" si="2154"/>
        <v/>
      </c>
      <c r="DJ616" s="325" t="str">
        <f t="shared" si="2154"/>
        <v/>
      </c>
      <c r="DK616" s="324" t="str">
        <f t="shared" si="2154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6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4"/>
      <c r="CE617" s="1134"/>
      <c r="CF617" s="1134"/>
      <c r="CG617" s="1134"/>
      <c r="CH617" s="1134"/>
      <c r="CI617" s="1134"/>
      <c r="CJ617" s="1134"/>
      <c r="CK617" s="1134"/>
      <c r="CL617" s="1134"/>
      <c r="CM617" s="1134"/>
      <c r="CN617" s="1134"/>
      <c r="CO617" s="1134"/>
      <c r="CP617" s="1134"/>
      <c r="CQ617" s="1134"/>
      <c r="CR617" s="1134"/>
      <c r="CS617" s="1134"/>
      <c r="CT617" s="1135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60" t="str">
        <f t="shared" ref="BZ618:BZ619" si="2169">IF(DL618&lt;3,"",(SUM(B618:R618)-MIN(B618:R618)-MAX(B618:R618))/(DL618-2))</f>
        <v/>
      </c>
      <c r="CA618" s="660" t="str">
        <f t="shared" ref="CA618:CA619" si="2170">IF(DM618&lt;3,"",(SUM(T618:AJ618)-MIN(T618:AJ618)-MAX(T618:AJ618))/(DM618-2))</f>
        <v/>
      </c>
      <c r="CB618" s="660" t="str">
        <f t="shared" ref="CB618:CB619" si="2171">IF(DN618&lt;3,"",(SUM(AL618:BB618)-MIN(AL618:BB618)-MAX(AL618:BB618))/(DN618-2))</f>
        <v/>
      </c>
      <c r="CC618" s="661" t="str">
        <f t="shared" ref="CC618:CC619" si="2172">IF(DO618&lt;3,"",(SUM(BD618:BT618)-MIN(BD618:BT618)-MAX(BD618:BT618))/(DO618-2))</f>
        <v/>
      </c>
      <c r="CD618" s="1109" t="str">
        <f t="shared" ref="CD618:CS619" si="217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0" t="str">
        <f t="shared" si="2173"/>
        <v/>
      </c>
      <c r="CF618" s="1111" t="str">
        <f t="shared" si="2173"/>
        <v/>
      </c>
      <c r="CG618" s="1111" t="str">
        <f t="shared" si="2173"/>
        <v/>
      </c>
      <c r="CH618" s="1111" t="str">
        <f t="shared" si="2173"/>
        <v/>
      </c>
      <c r="CI618" s="1111" t="str">
        <f t="shared" si="2173"/>
        <v/>
      </c>
      <c r="CJ618" s="1111" t="str">
        <f t="shared" si="2173"/>
        <v/>
      </c>
      <c r="CK618" s="1112" t="str">
        <f t="shared" si="2173"/>
        <v/>
      </c>
      <c r="CL618" s="1112">
        <f t="shared" si="2173"/>
        <v>4</v>
      </c>
      <c r="CM618" s="1112">
        <f t="shared" si="2173"/>
        <v>32</v>
      </c>
      <c r="CN618" s="1111" t="str">
        <f t="shared" si="2173"/>
        <v/>
      </c>
      <c r="CO618" s="1111" t="str">
        <f t="shared" si="2173"/>
        <v/>
      </c>
      <c r="CP618" s="1111" t="str">
        <f t="shared" si="2173"/>
        <v/>
      </c>
      <c r="CQ618" s="1111" t="str">
        <f t="shared" si="2173"/>
        <v/>
      </c>
      <c r="CR618" s="1111" t="str">
        <f t="shared" si="2173"/>
        <v/>
      </c>
      <c r="CS618" s="1110" t="str">
        <f t="shared" si="2173"/>
        <v/>
      </c>
      <c r="CT618" s="1113" t="str">
        <f t="shared" ref="CE618:CT620" si="217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17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175"/>
        <v/>
      </c>
      <c r="CW618" s="326" t="str">
        <f t="shared" si="2175"/>
        <v/>
      </c>
      <c r="CX618" s="326" t="str">
        <f t="shared" si="2175"/>
        <v/>
      </c>
      <c r="CY618" s="326" t="str">
        <f t="shared" si="2175"/>
        <v/>
      </c>
      <c r="CZ618" s="326" t="str">
        <f t="shared" si="2175"/>
        <v/>
      </c>
      <c r="DA618" s="326" t="str">
        <f t="shared" si="2175"/>
        <v/>
      </c>
      <c r="DB618" s="327" t="str">
        <f t="shared" si="2175"/>
        <v/>
      </c>
      <c r="DC618" s="327">
        <f t="shared" si="2175"/>
        <v>5</v>
      </c>
      <c r="DD618" s="327">
        <f t="shared" si="2175"/>
        <v>12</v>
      </c>
      <c r="DE618" s="326" t="str">
        <f t="shared" ref="DE618:DK622" si="217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176"/>
        <v/>
      </c>
      <c r="DG618" s="326" t="str">
        <f t="shared" si="2176"/>
        <v/>
      </c>
      <c r="DH618" s="326" t="str">
        <f t="shared" si="2176"/>
        <v/>
      </c>
      <c r="DI618" s="326" t="str">
        <f t="shared" si="2176"/>
        <v/>
      </c>
      <c r="DJ618" s="325" t="str">
        <f t="shared" si="2176"/>
        <v/>
      </c>
      <c r="DK618" s="324" t="str">
        <f t="shared" si="2176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177">5790*$K$1</f>
        <v>5790</v>
      </c>
      <c r="D619" s="386">
        <f t="shared" si="2177"/>
        <v>5790</v>
      </c>
      <c r="E619" s="386">
        <f t="shared" si="2177"/>
        <v>5790</v>
      </c>
      <c r="F619" s="386">
        <f t="shared" si="2177"/>
        <v>5790</v>
      </c>
      <c r="G619" s="386">
        <f t="shared" si="2177"/>
        <v>5790</v>
      </c>
      <c r="H619" s="386">
        <f t="shared" si="2177"/>
        <v>5790</v>
      </c>
      <c r="I619" s="386">
        <f t="shared" si="2177"/>
        <v>5790</v>
      </c>
      <c r="J619" s="386">
        <f t="shared" si="2177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2178">5790*$K$1</f>
        <v>5790</v>
      </c>
      <c r="V619" s="386">
        <v>5790</v>
      </c>
      <c r="W619" s="386">
        <f t="shared" si="2178"/>
        <v>5790</v>
      </c>
      <c r="X619" s="386">
        <f t="shared" si="2178"/>
        <v>5790</v>
      </c>
      <c r="Y619" s="386">
        <f t="shared" si="2178"/>
        <v>5790</v>
      </c>
      <c r="Z619" s="386">
        <f t="shared" si="2178"/>
        <v>5790</v>
      </c>
      <c r="AA619" s="386">
        <f t="shared" si="2178"/>
        <v>5790</v>
      </c>
      <c r="AB619" s="386">
        <f t="shared" si="2178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2179">5790*$K$1</f>
        <v>5790</v>
      </c>
      <c r="AN619" s="386">
        <f t="shared" si="2179"/>
        <v>5790</v>
      </c>
      <c r="AO619" s="386">
        <f t="shared" si="2179"/>
        <v>5790</v>
      </c>
      <c r="AP619" s="386">
        <f t="shared" si="2179"/>
        <v>5790</v>
      </c>
      <c r="AQ619" s="386">
        <f t="shared" si="2179"/>
        <v>5790</v>
      </c>
      <c r="AR619" s="386">
        <f t="shared" si="2179"/>
        <v>5790</v>
      </c>
      <c r="AS619" s="386">
        <f t="shared" si="2179"/>
        <v>5790</v>
      </c>
      <c r="AT619" s="386">
        <f t="shared" si="2179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2180">5790*$K$1</f>
        <v>5790</v>
      </c>
      <c r="BF619" s="386">
        <f t="shared" si="2180"/>
        <v>5790</v>
      </c>
      <c r="BG619" s="386">
        <f t="shared" si="2180"/>
        <v>5790</v>
      </c>
      <c r="BH619" s="386">
        <f t="shared" si="2180"/>
        <v>5790</v>
      </c>
      <c r="BI619" s="386">
        <f t="shared" si="2180"/>
        <v>5790</v>
      </c>
      <c r="BJ619" s="386">
        <f t="shared" si="2180"/>
        <v>5790</v>
      </c>
      <c r="BK619" s="386">
        <f t="shared" si="2180"/>
        <v>5790</v>
      </c>
      <c r="BL619" s="386">
        <f t="shared" si="2180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2180"/>
        <v>5790</v>
      </c>
      <c r="BW619" s="386">
        <f t="shared" si="2180"/>
        <v>5790</v>
      </c>
      <c r="BX619" s="386">
        <f t="shared" si="2180"/>
        <v>5790</v>
      </c>
      <c r="BY619" s="386">
        <f t="shared" si="2180"/>
        <v>5790</v>
      </c>
      <c r="BZ619" s="660">
        <f t="shared" si="2169"/>
        <v>5790</v>
      </c>
      <c r="CA619" s="660">
        <f t="shared" si="2170"/>
        <v>5790</v>
      </c>
      <c r="CB619" s="660">
        <f t="shared" si="2171"/>
        <v>5790</v>
      </c>
      <c r="CC619" s="661">
        <f t="shared" si="2172"/>
        <v>5790</v>
      </c>
      <c r="CD619" s="1109" t="str">
        <f t="shared" si="2173"/>
        <v/>
      </c>
      <c r="CE619" s="1110" t="str">
        <f t="shared" si="2174"/>
        <v/>
      </c>
      <c r="CF619" s="1111" t="str">
        <f t="shared" si="2174"/>
        <v/>
      </c>
      <c r="CG619" s="1111" t="str">
        <f t="shared" si="2174"/>
        <v/>
      </c>
      <c r="CH619" s="1111">
        <f t="shared" si="2174"/>
        <v>5790</v>
      </c>
      <c r="CI619" s="1111">
        <f t="shared" si="2174"/>
        <v>5790</v>
      </c>
      <c r="CJ619" s="1111">
        <f t="shared" si="2174"/>
        <v>5790</v>
      </c>
      <c r="CK619" s="1112">
        <f t="shared" si="2174"/>
        <v>5790</v>
      </c>
      <c r="CL619" s="1112">
        <f t="shared" si="2174"/>
        <v>5790</v>
      </c>
      <c r="CM619" s="1112">
        <f t="shared" si="2174"/>
        <v>5790</v>
      </c>
      <c r="CN619" s="1111">
        <f t="shared" si="2174"/>
        <v>5790</v>
      </c>
      <c r="CO619" s="1111">
        <f t="shared" si="2174"/>
        <v>5790</v>
      </c>
      <c r="CP619" s="1111">
        <f t="shared" si="2174"/>
        <v>5790</v>
      </c>
      <c r="CQ619" s="1111" t="str">
        <f t="shared" si="2174"/>
        <v/>
      </c>
      <c r="CR619" s="1111" t="str">
        <f t="shared" si="2174"/>
        <v/>
      </c>
      <c r="CS619" s="1110" t="str">
        <f t="shared" si="2174"/>
        <v/>
      </c>
      <c r="CT619" s="1113" t="str">
        <f t="shared" si="2174"/>
        <v/>
      </c>
      <c r="CU619" s="324" t="str">
        <f t="shared" si="2175"/>
        <v/>
      </c>
      <c r="CV619" s="325" t="str">
        <f t="shared" si="2175"/>
        <v/>
      </c>
      <c r="CW619" s="326" t="str">
        <f t="shared" si="2175"/>
        <v/>
      </c>
      <c r="CX619" s="326" t="str">
        <f t="shared" si="2175"/>
        <v/>
      </c>
      <c r="CY619" s="326">
        <f t="shared" si="2175"/>
        <v>5790</v>
      </c>
      <c r="CZ619" s="326">
        <f t="shared" si="2175"/>
        <v>5790</v>
      </c>
      <c r="DA619" s="326">
        <f t="shared" si="2175"/>
        <v>5790</v>
      </c>
      <c r="DB619" s="327">
        <f t="shared" si="2175"/>
        <v>5790</v>
      </c>
      <c r="DC619" s="327">
        <f t="shared" si="2175"/>
        <v>5790</v>
      </c>
      <c r="DD619" s="327">
        <f t="shared" si="2175"/>
        <v>5790</v>
      </c>
      <c r="DE619" s="326">
        <f t="shared" si="2176"/>
        <v>5790</v>
      </c>
      <c r="DF619" s="326">
        <f t="shared" si="2176"/>
        <v>5790</v>
      </c>
      <c r="DG619" s="326">
        <f t="shared" si="2176"/>
        <v>5790</v>
      </c>
      <c r="DH619" s="326" t="str">
        <f t="shared" si="2176"/>
        <v/>
      </c>
      <c r="DI619" s="326" t="str">
        <f t="shared" si="2176"/>
        <v/>
      </c>
      <c r="DJ619" s="325" t="str">
        <f t="shared" si="2176"/>
        <v/>
      </c>
      <c r="DK619" s="324" t="str">
        <f t="shared" si="2176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181">IF(B618="","",B618*B619/B$46/365/$G$1)</f>
        <v/>
      </c>
      <c r="C620" s="408" t="str">
        <f t="shared" si="2181"/>
        <v/>
      </c>
      <c r="D620" s="408">
        <f t="shared" si="2181"/>
        <v>5.0358773646444876E-3</v>
      </c>
      <c r="E620" s="408" t="str">
        <f t="shared" si="2181"/>
        <v/>
      </c>
      <c r="F620" s="408" t="str">
        <f t="shared" si="2181"/>
        <v/>
      </c>
      <c r="G620" s="408" t="str">
        <f t="shared" si="2181"/>
        <v/>
      </c>
      <c r="H620" s="408" t="str">
        <f t="shared" si="2181"/>
        <v/>
      </c>
      <c r="I620" s="408" t="str">
        <f t="shared" si="2181"/>
        <v/>
      </c>
      <c r="J620" s="408">
        <f t="shared" si="2181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182">IF(T618="","",T618*T619/T$46/365/$G$1)</f>
        <v/>
      </c>
      <c r="U620" s="408" t="str">
        <f t="shared" si="2182"/>
        <v/>
      </c>
      <c r="V620" s="408" t="str">
        <f t="shared" si="2182"/>
        <v/>
      </c>
      <c r="W620" s="408" t="str">
        <f t="shared" si="2182"/>
        <v/>
      </c>
      <c r="X620" s="408" t="str">
        <f t="shared" si="2182"/>
        <v/>
      </c>
      <c r="Y620" s="408" t="str">
        <f t="shared" si="2182"/>
        <v/>
      </c>
      <c r="Z620" s="408">
        <f t="shared" si="2182"/>
        <v>1.1330724070450097E-2</v>
      </c>
      <c r="AA620" s="408">
        <f t="shared" si="2182"/>
        <v>3.7769080234833661E-3</v>
      </c>
      <c r="AB620" s="408" t="str">
        <f t="shared" si="2182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2183">IF(AL618="","",AL618*AL619/AL$46/365/$G$1)</f>
        <v>3.0901974737591174E-2</v>
      </c>
      <c r="AM620" s="408" t="str">
        <f t="shared" si="2183"/>
        <v/>
      </c>
      <c r="AN620" s="408" t="str">
        <f t="shared" si="2183"/>
        <v/>
      </c>
      <c r="AO620" s="408" t="str">
        <f t="shared" si="2183"/>
        <v/>
      </c>
      <c r="AP620" s="408" t="str">
        <f t="shared" si="2183"/>
        <v/>
      </c>
      <c r="AQ620" s="408" t="str">
        <f t="shared" si="2183"/>
        <v/>
      </c>
      <c r="AR620" s="408" t="str">
        <f t="shared" si="2183"/>
        <v/>
      </c>
      <c r="AS620" s="408" t="str">
        <f t="shared" si="2183"/>
        <v/>
      </c>
      <c r="AT620" s="408" t="str">
        <f t="shared" si="2183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2184">IF(BD618="","",BD618*BD619/BD$46/365/$G$1)</f>
        <v/>
      </c>
      <c r="BE620" s="408" t="str">
        <f t="shared" si="2184"/>
        <v/>
      </c>
      <c r="BF620" s="408" t="str">
        <f t="shared" si="2184"/>
        <v/>
      </c>
      <c r="BG620" s="408" t="str">
        <f t="shared" si="2184"/>
        <v/>
      </c>
      <c r="BH620" s="408" t="str">
        <f t="shared" si="2184"/>
        <v/>
      </c>
      <c r="BI620" s="408" t="str">
        <f t="shared" si="2184"/>
        <v/>
      </c>
      <c r="BJ620" s="408" t="str">
        <f t="shared" si="2184"/>
        <v/>
      </c>
      <c r="BK620" s="408" t="str">
        <f t="shared" si="2184"/>
        <v/>
      </c>
      <c r="BL620" s="408" t="str">
        <f t="shared" si="2184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5" t="str">
        <f t="shared" si="2174"/>
        <v/>
      </c>
      <c r="CF620" s="1116" t="str">
        <f t="shared" si="2174"/>
        <v/>
      </c>
      <c r="CG620" s="1116" t="str">
        <f t="shared" si="2174"/>
        <v/>
      </c>
      <c r="CH620" s="1116" t="str">
        <f t="shared" si="2174"/>
        <v/>
      </c>
      <c r="CI620" s="1116" t="str">
        <f t="shared" si="2174"/>
        <v/>
      </c>
      <c r="CJ620" s="1116" t="str">
        <f t="shared" si="2174"/>
        <v/>
      </c>
      <c r="CK620" s="1117" t="str">
        <f t="shared" si="2174"/>
        <v/>
      </c>
      <c r="CL620" s="1117">
        <f t="shared" si="2174"/>
        <v>5.0358773646444876E-3</v>
      </c>
      <c r="CM620" s="1117">
        <f t="shared" si="2174"/>
        <v>3.4531730500419348E-2</v>
      </c>
      <c r="CN620" s="1116" t="str">
        <f t="shared" si="2174"/>
        <v/>
      </c>
      <c r="CO620" s="1116" t="str">
        <f t="shared" si="2174"/>
        <v/>
      </c>
      <c r="CP620" s="1116" t="str">
        <f t="shared" si="2174"/>
        <v/>
      </c>
      <c r="CQ620" s="1116" t="str">
        <f t="shared" si="2174"/>
        <v/>
      </c>
      <c r="CR620" s="1116" t="str">
        <f t="shared" si="2174"/>
        <v/>
      </c>
      <c r="CS620" s="1115" t="str">
        <f t="shared" si="2174"/>
        <v/>
      </c>
      <c r="CT620" s="1118" t="str">
        <f t="shared" si="2174"/>
        <v/>
      </c>
      <c r="CU620" s="312" t="str">
        <f t="shared" si="2175"/>
        <v/>
      </c>
      <c r="CV620" s="313" t="str">
        <f t="shared" si="2175"/>
        <v/>
      </c>
      <c r="CW620" s="314" t="str">
        <f t="shared" si="2175"/>
        <v/>
      </c>
      <c r="CX620" s="314" t="str">
        <f t="shared" si="2175"/>
        <v/>
      </c>
      <c r="CY620" s="314" t="str">
        <f t="shared" si="2175"/>
        <v/>
      </c>
      <c r="CZ620" s="314" t="str">
        <f t="shared" si="2175"/>
        <v/>
      </c>
      <c r="DA620" s="314" t="str">
        <f t="shared" si="2175"/>
        <v/>
      </c>
      <c r="DB620" s="315" t="str">
        <f t="shared" si="2175"/>
        <v/>
      </c>
      <c r="DC620" s="315">
        <f t="shared" si="2175"/>
        <v>3.7769080234833661E-3</v>
      </c>
      <c r="DD620" s="315">
        <f t="shared" si="2175"/>
        <v>1.1330724070450097E-2</v>
      </c>
      <c r="DE620" s="314" t="str">
        <f t="shared" si="2176"/>
        <v/>
      </c>
      <c r="DF620" s="314" t="str">
        <f t="shared" si="2176"/>
        <v/>
      </c>
      <c r="DG620" s="314" t="str">
        <f t="shared" si="2176"/>
        <v/>
      </c>
      <c r="DH620" s="314" t="str">
        <f t="shared" si="2176"/>
        <v/>
      </c>
      <c r="DI620" s="314" t="str">
        <f t="shared" si="2176"/>
        <v/>
      </c>
      <c r="DJ620" s="313" t="str">
        <f t="shared" si="2176"/>
        <v/>
      </c>
      <c r="DK620" s="312" t="str">
        <f t="shared" si="2176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60" t="str">
        <f t="shared" ref="BZ621:BZ622" si="2185">IF(DL621&lt;3,"",(SUM(B621:R621)-MIN(B621:R621)-MAX(B621:R621))/(DL621-2))</f>
        <v/>
      </c>
      <c r="CA621" s="660" t="str">
        <f t="shared" ref="CA621:CA622" si="2186">IF(DM621&lt;3,"",(SUM(T621:AJ621)-MIN(T621:AJ621)-MAX(T621:AJ621))/(DM621-2))</f>
        <v/>
      </c>
      <c r="CB621" s="660" t="str">
        <f t="shared" ref="CB621:CB622" si="2187">IF(DN621&lt;3,"",(SUM(AL621:BB621)-MIN(AL621:BB621)-MAX(AL621:BB621))/(DN621-2))</f>
        <v/>
      </c>
      <c r="CC621" s="661" t="str">
        <f t="shared" ref="CC621:CC622" si="2188">IF(DO621&lt;3,"",(SUM(BD621:BT621)-MIN(BD621:BT621)-MAX(BD621:BT621))/(DO621-2))</f>
        <v/>
      </c>
      <c r="CD621" s="1109" t="str">
        <f t="shared" ref="CD621:CS622" si="218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0" t="str">
        <f t="shared" si="2189"/>
        <v/>
      </c>
      <c r="CF621" s="1111" t="str">
        <f t="shared" si="2189"/>
        <v/>
      </c>
      <c r="CG621" s="1111" t="str">
        <f t="shared" si="2189"/>
        <v/>
      </c>
      <c r="CH621" s="1111" t="str">
        <f t="shared" si="2189"/>
        <v/>
      </c>
      <c r="CI621" s="1111" t="str">
        <f t="shared" si="2189"/>
        <v/>
      </c>
      <c r="CJ621" s="1111" t="str">
        <f t="shared" si="2189"/>
        <v/>
      </c>
      <c r="CK621" s="1112" t="str">
        <f t="shared" si="2189"/>
        <v/>
      </c>
      <c r="CL621" s="1112">
        <f t="shared" si="2189"/>
        <v>2</v>
      </c>
      <c r="CM621" s="1112">
        <f t="shared" si="2189"/>
        <v>2.5</v>
      </c>
      <c r="CN621" s="1111" t="str">
        <f t="shared" si="2189"/>
        <v/>
      </c>
      <c r="CO621" s="1111" t="str">
        <f t="shared" si="2189"/>
        <v/>
      </c>
      <c r="CP621" s="1111" t="str">
        <f t="shared" si="2189"/>
        <v/>
      </c>
      <c r="CQ621" s="1111" t="str">
        <f t="shared" si="2189"/>
        <v/>
      </c>
      <c r="CR621" s="1111" t="str">
        <f t="shared" si="2189"/>
        <v/>
      </c>
      <c r="CS621" s="1110" t="str">
        <f t="shared" si="2189"/>
        <v/>
      </c>
      <c r="CT621" s="1113" t="str">
        <f t="shared" ref="CE621:CT622" si="219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175"/>
        <v/>
      </c>
      <c r="CV621" s="325" t="str">
        <f t="shared" si="2175"/>
        <v/>
      </c>
      <c r="CW621" s="326" t="str">
        <f t="shared" si="2175"/>
        <v/>
      </c>
      <c r="CX621" s="326" t="str">
        <f t="shared" si="2175"/>
        <v/>
      </c>
      <c r="CY621" s="326" t="str">
        <f t="shared" si="2175"/>
        <v/>
      </c>
      <c r="CZ621" s="326" t="str">
        <f t="shared" si="2175"/>
        <v/>
      </c>
      <c r="DA621" s="326" t="str">
        <f t="shared" si="2175"/>
        <v/>
      </c>
      <c r="DB621" s="327" t="str">
        <f t="shared" si="2175"/>
        <v/>
      </c>
      <c r="DC621" s="327">
        <f t="shared" si="2175"/>
        <v>10</v>
      </c>
      <c r="DD621" s="327">
        <f t="shared" si="2175"/>
        <v>10</v>
      </c>
      <c r="DE621" s="326" t="str">
        <f t="shared" si="2176"/>
        <v/>
      </c>
      <c r="DF621" s="326" t="str">
        <f t="shared" si="2176"/>
        <v/>
      </c>
      <c r="DG621" s="326" t="str">
        <f t="shared" si="2176"/>
        <v/>
      </c>
      <c r="DH621" s="326" t="str">
        <f t="shared" si="2176"/>
        <v/>
      </c>
      <c r="DI621" s="326" t="str">
        <f t="shared" si="2176"/>
        <v/>
      </c>
      <c r="DJ621" s="325" t="str">
        <f t="shared" si="2176"/>
        <v/>
      </c>
      <c r="DK621" s="324" t="str">
        <f t="shared" si="2176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191">IF(B621="","",B618*B621)</f>
        <v/>
      </c>
      <c r="C622" s="405" t="str">
        <f t="shared" si="2191"/>
        <v/>
      </c>
      <c r="D622" s="405">
        <f t="shared" si="2191"/>
        <v>10</v>
      </c>
      <c r="E622" s="405" t="str">
        <f t="shared" si="2191"/>
        <v/>
      </c>
      <c r="F622" s="405" t="str">
        <f t="shared" si="2191"/>
        <v/>
      </c>
      <c r="G622" s="405" t="str">
        <f t="shared" si="2191"/>
        <v/>
      </c>
      <c r="H622" s="405" t="str">
        <f t="shared" si="2191"/>
        <v/>
      </c>
      <c r="I622" s="405" t="str">
        <f t="shared" si="2191"/>
        <v/>
      </c>
      <c r="J622" s="405">
        <f t="shared" si="2191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192">IF(T621="","",T618*T621)</f>
        <v/>
      </c>
      <c r="U622" s="405" t="str">
        <f t="shared" si="2192"/>
        <v/>
      </c>
      <c r="V622" s="405" t="str">
        <f t="shared" si="2192"/>
        <v/>
      </c>
      <c r="W622" s="405" t="str">
        <f t="shared" si="2192"/>
        <v/>
      </c>
      <c r="X622" s="405" t="str">
        <f t="shared" si="2192"/>
        <v/>
      </c>
      <c r="Y622" s="405" t="str">
        <f t="shared" si="2192"/>
        <v/>
      </c>
      <c r="Z622" s="405">
        <f t="shared" si="2192"/>
        <v>120</v>
      </c>
      <c r="AA622" s="405">
        <f t="shared" si="2192"/>
        <v>50</v>
      </c>
      <c r="AB622" s="405" t="str">
        <f t="shared" si="2192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2193">IF(AL621="","",AL618*AL621)</f>
        <v>900</v>
      </c>
      <c r="AM622" s="405" t="str">
        <f t="shared" si="2193"/>
        <v/>
      </c>
      <c r="AN622" s="405" t="str">
        <f t="shared" si="2193"/>
        <v/>
      </c>
      <c r="AO622" s="405" t="str">
        <f t="shared" si="2193"/>
        <v/>
      </c>
      <c r="AP622" s="405" t="str">
        <f t="shared" si="2193"/>
        <v/>
      </c>
      <c r="AQ622" s="405" t="str">
        <f t="shared" si="2193"/>
        <v/>
      </c>
      <c r="AR622" s="405" t="str">
        <f t="shared" si="2193"/>
        <v/>
      </c>
      <c r="AS622" s="405" t="str">
        <f t="shared" si="2193"/>
        <v/>
      </c>
      <c r="AT622" s="405" t="str">
        <f t="shared" si="2193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2194">IF(BD621="","",BD618*BD621)</f>
        <v/>
      </c>
      <c r="BE622" s="405" t="str">
        <f t="shared" si="2194"/>
        <v/>
      </c>
      <c r="BF622" s="405" t="str">
        <f t="shared" si="2194"/>
        <v/>
      </c>
      <c r="BG622" s="405" t="str">
        <f t="shared" si="2194"/>
        <v/>
      </c>
      <c r="BH622" s="405" t="str">
        <f t="shared" si="2194"/>
        <v/>
      </c>
      <c r="BI622" s="405" t="str">
        <f t="shared" si="2194"/>
        <v/>
      </c>
      <c r="BJ622" s="405" t="str">
        <f t="shared" si="2194"/>
        <v/>
      </c>
      <c r="BK622" s="405" t="str">
        <f t="shared" si="2194"/>
        <v/>
      </c>
      <c r="BL622" s="405" t="str">
        <f t="shared" si="2194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60" t="str">
        <f t="shared" si="2185"/>
        <v/>
      </c>
      <c r="CA622" s="660" t="str">
        <f t="shared" si="2186"/>
        <v/>
      </c>
      <c r="CB622" s="660" t="str">
        <f t="shared" si="2187"/>
        <v/>
      </c>
      <c r="CC622" s="661" t="str">
        <f t="shared" si="2188"/>
        <v/>
      </c>
      <c r="CD622" s="1109" t="str">
        <f t="shared" si="2189"/>
        <v/>
      </c>
      <c r="CE622" s="1110" t="str">
        <f t="shared" si="2190"/>
        <v/>
      </c>
      <c r="CF622" s="1111" t="str">
        <f t="shared" si="2190"/>
        <v/>
      </c>
      <c r="CG622" s="1111" t="str">
        <f t="shared" si="2190"/>
        <v/>
      </c>
      <c r="CH622" s="1111" t="str">
        <f t="shared" si="2190"/>
        <v/>
      </c>
      <c r="CI622" s="1111" t="str">
        <f t="shared" si="2190"/>
        <v/>
      </c>
      <c r="CJ622" s="1111" t="str">
        <f t="shared" si="2190"/>
        <v/>
      </c>
      <c r="CK622" s="1112" t="str">
        <f t="shared" si="2190"/>
        <v/>
      </c>
      <c r="CL622" s="1112">
        <f t="shared" si="2190"/>
        <v>10</v>
      </c>
      <c r="CM622" s="1112">
        <f t="shared" si="2190"/>
        <v>64</v>
      </c>
      <c r="CN622" s="1111" t="str">
        <f t="shared" si="2190"/>
        <v/>
      </c>
      <c r="CO622" s="1111" t="str">
        <f t="shared" si="2190"/>
        <v/>
      </c>
      <c r="CP622" s="1111" t="str">
        <f t="shared" si="2190"/>
        <v/>
      </c>
      <c r="CQ622" s="1111" t="str">
        <f t="shared" si="2190"/>
        <v/>
      </c>
      <c r="CR622" s="1111" t="str">
        <f t="shared" si="2190"/>
        <v/>
      </c>
      <c r="CS622" s="1110" t="str">
        <f t="shared" si="2190"/>
        <v/>
      </c>
      <c r="CT622" s="1113" t="str">
        <f t="shared" si="2190"/>
        <v/>
      </c>
      <c r="CU622" s="324" t="str">
        <f t="shared" si="2175"/>
        <v/>
      </c>
      <c r="CV622" s="325" t="str">
        <f t="shared" si="2175"/>
        <v/>
      </c>
      <c r="CW622" s="326" t="str">
        <f t="shared" si="2175"/>
        <v/>
      </c>
      <c r="CX622" s="326" t="str">
        <f t="shared" si="2175"/>
        <v/>
      </c>
      <c r="CY622" s="326" t="str">
        <f t="shared" si="2175"/>
        <v/>
      </c>
      <c r="CZ622" s="326" t="str">
        <f t="shared" si="2175"/>
        <v/>
      </c>
      <c r="DA622" s="326" t="str">
        <f t="shared" si="2175"/>
        <v/>
      </c>
      <c r="DB622" s="327" t="str">
        <f t="shared" si="2175"/>
        <v/>
      </c>
      <c r="DC622" s="327">
        <f t="shared" si="2175"/>
        <v>50</v>
      </c>
      <c r="DD622" s="327">
        <f t="shared" si="2175"/>
        <v>120</v>
      </c>
      <c r="DE622" s="326" t="str">
        <f t="shared" si="2176"/>
        <v/>
      </c>
      <c r="DF622" s="326" t="str">
        <f t="shared" si="2176"/>
        <v/>
      </c>
      <c r="DG622" s="326" t="str">
        <f t="shared" si="2176"/>
        <v/>
      </c>
      <c r="DH622" s="326" t="str">
        <f t="shared" si="2176"/>
        <v/>
      </c>
      <c r="DI622" s="326" t="str">
        <f t="shared" si="2176"/>
        <v/>
      </c>
      <c r="DJ622" s="325" t="str">
        <f t="shared" si="2176"/>
        <v/>
      </c>
      <c r="DK622" s="324" t="str">
        <f t="shared" si="2176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6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4"/>
      <c r="CE623" s="1134"/>
      <c r="CF623" s="1134"/>
      <c r="CG623" s="1134"/>
      <c r="CH623" s="1134"/>
      <c r="CI623" s="1134"/>
      <c r="CJ623" s="1134"/>
      <c r="CK623" s="1134"/>
      <c r="CL623" s="1134"/>
      <c r="CM623" s="1134"/>
      <c r="CN623" s="1134"/>
      <c r="CO623" s="1134"/>
      <c r="CP623" s="1134"/>
      <c r="CQ623" s="1134"/>
      <c r="CR623" s="1134"/>
      <c r="CS623" s="1134"/>
      <c r="CT623" s="1135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60">
        <f t="shared" ref="BZ624:BZ625" si="2195">IF(DL624&lt;3,"",(SUM(B624:R624)-MIN(B624:R624)-MAX(B624:R624))/(DL624-2))</f>
        <v>50</v>
      </c>
      <c r="CA624" s="660">
        <f t="shared" ref="CA624:CA625" si="2196">IF(DM624&lt;3,"",(SUM(T624:AJ624)-MIN(T624:AJ624)-MAX(T624:AJ624))/(DM624-2))</f>
        <v>15.666666666666666</v>
      </c>
      <c r="CB624" s="660">
        <f t="shared" ref="CB624:CB625" si="2197">IF(DN624&lt;3,"",(SUM(AL624:BB624)-MIN(AL624:BB624)-MAX(AL624:BB624))/(DN624-2))</f>
        <v>38.75</v>
      </c>
      <c r="CC624" s="661" t="str">
        <f t="shared" ref="CC624:CC625" si="2198">IF(DO624&lt;3,"",(SUM(BD624:BT624)-MIN(BD624:BT624)-MAX(BD624:BT624))/(DO624-2))</f>
        <v/>
      </c>
      <c r="CD624" s="1109" t="str">
        <f t="shared" ref="CD624:CS625" si="21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0" t="str">
        <f t="shared" si="2199"/>
        <v/>
      </c>
      <c r="CF624" s="1111" t="str">
        <f t="shared" si="2199"/>
        <v/>
      </c>
      <c r="CG624" s="1111" t="str">
        <f t="shared" si="2199"/>
        <v/>
      </c>
      <c r="CH624" s="1111" t="str">
        <f t="shared" si="2199"/>
        <v/>
      </c>
      <c r="CI624" s="1111" t="str">
        <f t="shared" si="2199"/>
        <v/>
      </c>
      <c r="CJ624" s="1111">
        <f t="shared" si="2199"/>
        <v>32</v>
      </c>
      <c r="CK624" s="1112">
        <f t="shared" si="2199"/>
        <v>40</v>
      </c>
      <c r="CL624" s="1112">
        <f t="shared" si="2199"/>
        <v>50</v>
      </c>
      <c r="CM624" s="1112">
        <f t="shared" si="2199"/>
        <v>60</v>
      </c>
      <c r="CN624" s="1111">
        <f t="shared" si="2199"/>
        <v>120</v>
      </c>
      <c r="CO624" s="1111" t="str">
        <f t="shared" si="2199"/>
        <v/>
      </c>
      <c r="CP624" s="1111" t="str">
        <f t="shared" si="2199"/>
        <v/>
      </c>
      <c r="CQ624" s="1111" t="str">
        <f t="shared" si="2199"/>
        <v/>
      </c>
      <c r="CR624" s="1111" t="str">
        <f t="shared" si="2199"/>
        <v/>
      </c>
      <c r="CS624" s="1110" t="str">
        <f t="shared" si="2199"/>
        <v/>
      </c>
      <c r="CT624" s="1113" t="str">
        <f t="shared" ref="CE624:CT626" si="220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20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201"/>
        <v/>
      </c>
      <c r="CW624" s="326" t="str">
        <f t="shared" si="2201"/>
        <v/>
      </c>
      <c r="CX624" s="326" t="str">
        <f t="shared" si="2201"/>
        <v/>
      </c>
      <c r="CY624" s="326" t="str">
        <f t="shared" si="2201"/>
        <v/>
      </c>
      <c r="CZ624" s="326">
        <f t="shared" si="2201"/>
        <v>3</v>
      </c>
      <c r="DA624" s="326">
        <f t="shared" si="2201"/>
        <v>10</v>
      </c>
      <c r="DB624" s="327">
        <f t="shared" si="2201"/>
        <v>10</v>
      </c>
      <c r="DC624" s="327">
        <f t="shared" si="2201"/>
        <v>10</v>
      </c>
      <c r="DD624" s="327">
        <f t="shared" si="2201"/>
        <v>12</v>
      </c>
      <c r="DE624" s="326">
        <f t="shared" ref="DE624:DK628" si="220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202"/>
        <v>32</v>
      </c>
      <c r="DG624" s="326">
        <f t="shared" si="2202"/>
        <v>50</v>
      </c>
      <c r="DH624" s="326" t="str">
        <f t="shared" si="2202"/>
        <v/>
      </c>
      <c r="DI624" s="326" t="str">
        <f t="shared" si="2202"/>
        <v/>
      </c>
      <c r="DJ624" s="325" t="str">
        <f t="shared" si="2202"/>
        <v/>
      </c>
      <c r="DK624" s="324" t="str">
        <f t="shared" si="220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203">3390*$K$1</f>
        <v>3390</v>
      </c>
      <c r="D625" s="386">
        <f t="shared" si="2203"/>
        <v>3390</v>
      </c>
      <c r="E625" s="386">
        <f t="shared" si="2203"/>
        <v>3390</v>
      </c>
      <c r="F625" s="386">
        <f t="shared" si="2203"/>
        <v>3390</v>
      </c>
      <c r="G625" s="386">
        <f t="shared" si="2203"/>
        <v>3390</v>
      </c>
      <c r="H625" s="386">
        <f t="shared" si="2203"/>
        <v>3390</v>
      </c>
      <c r="I625" s="386">
        <v>3390</v>
      </c>
      <c r="J625" s="386">
        <f t="shared" si="220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204">3390*$K$1</f>
        <v>3390</v>
      </c>
      <c r="V625" s="386">
        <f t="shared" si="2204"/>
        <v>3390</v>
      </c>
      <c r="W625" s="386">
        <f t="shared" si="2204"/>
        <v>3390</v>
      </c>
      <c r="X625" s="386">
        <f t="shared" si="2204"/>
        <v>3390</v>
      </c>
      <c r="Y625" s="386">
        <f t="shared" si="2204"/>
        <v>3390</v>
      </c>
      <c r="Z625" s="386">
        <f t="shared" si="2204"/>
        <v>3390</v>
      </c>
      <c r="AA625" s="386">
        <f t="shared" si="2204"/>
        <v>3390</v>
      </c>
      <c r="AB625" s="386">
        <f t="shared" si="2204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205">3390*$K$1</f>
        <v>3390</v>
      </c>
      <c r="AN625" s="386">
        <f t="shared" si="2205"/>
        <v>3390</v>
      </c>
      <c r="AO625" s="386">
        <f t="shared" si="2205"/>
        <v>3390</v>
      </c>
      <c r="AP625" s="386">
        <f t="shared" si="2205"/>
        <v>3390</v>
      </c>
      <c r="AQ625" s="386">
        <f t="shared" si="2205"/>
        <v>3390</v>
      </c>
      <c r="AR625" s="386">
        <f t="shared" si="2205"/>
        <v>3390</v>
      </c>
      <c r="AS625" s="386">
        <f t="shared" si="2205"/>
        <v>3390</v>
      </c>
      <c r="AT625" s="386">
        <f t="shared" si="2205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206">3390*$K$1</f>
        <v>3390</v>
      </c>
      <c r="BF625" s="386">
        <f t="shared" si="2206"/>
        <v>3390</v>
      </c>
      <c r="BG625" s="386">
        <f t="shared" si="2206"/>
        <v>3390</v>
      </c>
      <c r="BH625" s="386">
        <f t="shared" si="2206"/>
        <v>3390</v>
      </c>
      <c r="BI625" s="386">
        <f t="shared" si="2206"/>
        <v>3390</v>
      </c>
      <c r="BJ625" s="386">
        <f t="shared" si="2206"/>
        <v>3390</v>
      </c>
      <c r="BK625" s="386">
        <f t="shared" si="2206"/>
        <v>3390</v>
      </c>
      <c r="BL625" s="386">
        <f t="shared" si="2206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206"/>
        <v>3390</v>
      </c>
      <c r="BW625" s="386">
        <f t="shared" si="2206"/>
        <v>3390</v>
      </c>
      <c r="BX625" s="386">
        <f t="shared" si="2206"/>
        <v>3390</v>
      </c>
      <c r="BY625" s="386">
        <f t="shared" si="2206"/>
        <v>3390</v>
      </c>
      <c r="BZ625" s="660">
        <f t="shared" si="2195"/>
        <v>3390</v>
      </c>
      <c r="CA625" s="660">
        <f t="shared" si="2196"/>
        <v>3390</v>
      </c>
      <c r="CB625" s="660">
        <f t="shared" si="2197"/>
        <v>3390</v>
      </c>
      <c r="CC625" s="661">
        <f t="shared" si="2198"/>
        <v>3390</v>
      </c>
      <c r="CD625" s="1109" t="str">
        <f t="shared" si="2199"/>
        <v/>
      </c>
      <c r="CE625" s="1110" t="str">
        <f t="shared" si="2200"/>
        <v/>
      </c>
      <c r="CF625" s="1111" t="str">
        <f t="shared" si="2200"/>
        <v/>
      </c>
      <c r="CG625" s="1111" t="str">
        <f t="shared" si="2200"/>
        <v/>
      </c>
      <c r="CH625" s="1111">
        <f t="shared" si="2200"/>
        <v>3390</v>
      </c>
      <c r="CI625" s="1111">
        <f t="shared" si="2200"/>
        <v>3390</v>
      </c>
      <c r="CJ625" s="1111">
        <f t="shared" si="2200"/>
        <v>3390</v>
      </c>
      <c r="CK625" s="1112">
        <f t="shared" si="2200"/>
        <v>3390</v>
      </c>
      <c r="CL625" s="1112">
        <f t="shared" si="2200"/>
        <v>3390</v>
      </c>
      <c r="CM625" s="1112">
        <f t="shared" si="2200"/>
        <v>3390</v>
      </c>
      <c r="CN625" s="1111">
        <f t="shared" si="2200"/>
        <v>3390</v>
      </c>
      <c r="CO625" s="1111">
        <f t="shared" si="2200"/>
        <v>3390</v>
      </c>
      <c r="CP625" s="1111">
        <f t="shared" si="2200"/>
        <v>3390</v>
      </c>
      <c r="CQ625" s="1111" t="str">
        <f t="shared" si="2200"/>
        <v/>
      </c>
      <c r="CR625" s="1111" t="str">
        <f t="shared" si="2200"/>
        <v/>
      </c>
      <c r="CS625" s="1110" t="str">
        <f t="shared" si="2200"/>
        <v/>
      </c>
      <c r="CT625" s="1113" t="str">
        <f t="shared" si="2200"/>
        <v/>
      </c>
      <c r="CU625" s="324" t="str">
        <f t="shared" si="2201"/>
        <v/>
      </c>
      <c r="CV625" s="325" t="str">
        <f t="shared" si="2201"/>
        <v/>
      </c>
      <c r="CW625" s="326" t="str">
        <f t="shared" si="2201"/>
        <v/>
      </c>
      <c r="CX625" s="326" t="str">
        <f t="shared" si="2201"/>
        <v/>
      </c>
      <c r="CY625" s="326">
        <f t="shared" si="2201"/>
        <v>3390</v>
      </c>
      <c r="CZ625" s="326">
        <f t="shared" si="2201"/>
        <v>3390</v>
      </c>
      <c r="DA625" s="326">
        <f t="shared" si="2201"/>
        <v>3390</v>
      </c>
      <c r="DB625" s="327">
        <f t="shared" si="2201"/>
        <v>3390</v>
      </c>
      <c r="DC625" s="327">
        <f t="shared" si="2201"/>
        <v>3390</v>
      </c>
      <c r="DD625" s="327">
        <f t="shared" si="2201"/>
        <v>3390</v>
      </c>
      <c r="DE625" s="326">
        <f t="shared" si="2202"/>
        <v>3390</v>
      </c>
      <c r="DF625" s="326">
        <f t="shared" si="2202"/>
        <v>3390</v>
      </c>
      <c r="DG625" s="326">
        <f t="shared" si="2202"/>
        <v>3390</v>
      </c>
      <c r="DH625" s="326" t="str">
        <f t="shared" si="2202"/>
        <v/>
      </c>
      <c r="DI625" s="326" t="str">
        <f t="shared" si="2202"/>
        <v/>
      </c>
      <c r="DJ625" s="325" t="str">
        <f t="shared" si="2202"/>
        <v/>
      </c>
      <c r="DK625" s="324" t="str">
        <f t="shared" si="2202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207">IF(B624="","",B624*B625/B$46/365/$G$1)</f>
        <v>1.7690802348336598E-2</v>
      </c>
      <c r="C626" s="408" t="str">
        <f t="shared" si="2207"/>
        <v/>
      </c>
      <c r="D626" s="408" t="str">
        <f t="shared" si="2207"/>
        <v/>
      </c>
      <c r="E626" s="408" t="str">
        <f t="shared" si="2207"/>
        <v/>
      </c>
      <c r="F626" s="408">
        <f t="shared" si="2207"/>
        <v>3.6855838225701237E-2</v>
      </c>
      <c r="G626" s="408">
        <f t="shared" si="2207"/>
        <v>3.3170254403131115E-2</v>
      </c>
      <c r="H626" s="408" t="str">
        <f t="shared" si="2207"/>
        <v/>
      </c>
      <c r="I626" s="408">
        <f t="shared" si="2207"/>
        <v>8.8454011741682978E-2</v>
      </c>
      <c r="J626" s="408">
        <f t="shared" si="2207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208">IF(T624="","",T624*T625/T$46/365/$G$1)</f>
        <v/>
      </c>
      <c r="U626" s="408">
        <f t="shared" si="2208"/>
        <v>4.0206368973492264E-3</v>
      </c>
      <c r="V626" s="408">
        <f t="shared" si="2208"/>
        <v>3.6855838225701241E-3</v>
      </c>
      <c r="W626" s="408">
        <f t="shared" si="2208"/>
        <v>1.4152641878669275E-2</v>
      </c>
      <c r="X626" s="408">
        <f t="shared" si="2208"/>
        <v>2.7641878669275928E-2</v>
      </c>
      <c r="Y626" s="408">
        <f t="shared" si="2208"/>
        <v>7.5817724350013983E-3</v>
      </c>
      <c r="Z626" s="408">
        <f t="shared" si="2208"/>
        <v>1.6585127201565557E-3</v>
      </c>
      <c r="AA626" s="408">
        <f t="shared" si="2208"/>
        <v>4.4227005870841494E-3</v>
      </c>
      <c r="AB626" s="408">
        <f t="shared" si="2208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209">IF(AL624="","",AL624*AL625/AL$46/365/$G$1)</f>
        <v>4.8247642768190713E-2</v>
      </c>
      <c r="AM626" s="408">
        <f t="shared" si="2209"/>
        <v>1.6585127201565558E-2</v>
      </c>
      <c r="AN626" s="408">
        <f t="shared" si="2209"/>
        <v>5.5283757338551861E-3</v>
      </c>
      <c r="AO626" s="408" t="str">
        <f t="shared" si="2209"/>
        <v/>
      </c>
      <c r="AP626" s="408" t="str">
        <f t="shared" si="2209"/>
        <v/>
      </c>
      <c r="AQ626" s="408">
        <f t="shared" si="2209"/>
        <v>2.9484670580560993E-2</v>
      </c>
      <c r="AR626" s="408">
        <f t="shared" si="2209"/>
        <v>3.3170254403131115E-2</v>
      </c>
      <c r="AS626" s="408">
        <f t="shared" si="2209"/>
        <v>5.5283757338551861E-3</v>
      </c>
      <c r="AT626" s="408" t="str">
        <f t="shared" si="2209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210">IF(BD624="","",BD624*BD625/BD$46/365/$G$1)</f>
        <v/>
      </c>
      <c r="BE626" s="408" t="str">
        <f t="shared" si="2210"/>
        <v/>
      </c>
      <c r="BF626" s="408" t="str">
        <f t="shared" si="2210"/>
        <v/>
      </c>
      <c r="BG626" s="408" t="str">
        <f t="shared" si="2210"/>
        <v/>
      </c>
      <c r="BH626" s="408" t="str">
        <f t="shared" si="2210"/>
        <v/>
      </c>
      <c r="BI626" s="408">
        <f t="shared" si="2210"/>
        <v>3.7908862175006997E-2</v>
      </c>
      <c r="BJ626" s="408" t="str">
        <f t="shared" si="2210"/>
        <v/>
      </c>
      <c r="BK626" s="408" t="str">
        <f t="shared" si="2210"/>
        <v/>
      </c>
      <c r="BL626" s="408" t="str">
        <f t="shared" si="2210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5" t="str">
        <f t="shared" si="2200"/>
        <v/>
      </c>
      <c r="CF626" s="1116" t="str">
        <f t="shared" si="2200"/>
        <v/>
      </c>
      <c r="CG626" s="1116" t="str">
        <f t="shared" si="2200"/>
        <v/>
      </c>
      <c r="CH626" s="1116" t="str">
        <f t="shared" si="2200"/>
        <v/>
      </c>
      <c r="CI626" s="1116" t="str">
        <f t="shared" si="2200"/>
        <v/>
      </c>
      <c r="CJ626" s="1116">
        <f t="shared" si="2200"/>
        <v>1.7690802348336598E-2</v>
      </c>
      <c r="CK626" s="1117">
        <f t="shared" si="2200"/>
        <v>2.0218059826670395E-2</v>
      </c>
      <c r="CL626" s="1117">
        <f t="shared" si="2200"/>
        <v>3.3170254403131115E-2</v>
      </c>
      <c r="CM626" s="1117">
        <f t="shared" si="2200"/>
        <v>3.6855838225701237E-2</v>
      </c>
      <c r="CN626" s="1116">
        <f t="shared" si="2200"/>
        <v>8.8454011741682978E-2</v>
      </c>
      <c r="CO626" s="1116" t="str">
        <f t="shared" si="2200"/>
        <v/>
      </c>
      <c r="CP626" s="1116" t="str">
        <f t="shared" si="2200"/>
        <v/>
      </c>
      <c r="CQ626" s="1116" t="str">
        <f t="shared" si="2200"/>
        <v/>
      </c>
      <c r="CR626" s="1116" t="str">
        <f t="shared" si="2200"/>
        <v/>
      </c>
      <c r="CS626" s="1115" t="str">
        <f t="shared" si="2200"/>
        <v/>
      </c>
      <c r="CT626" s="1118" t="str">
        <f t="shared" si="2200"/>
        <v/>
      </c>
      <c r="CU626" s="312" t="str">
        <f t="shared" si="2201"/>
        <v/>
      </c>
      <c r="CV626" s="313" t="str">
        <f t="shared" si="2201"/>
        <v/>
      </c>
      <c r="CW626" s="314" t="str">
        <f t="shared" si="2201"/>
        <v/>
      </c>
      <c r="CX626" s="314" t="str">
        <f t="shared" si="2201"/>
        <v/>
      </c>
      <c r="CY626" s="314" t="str">
        <f t="shared" si="2201"/>
        <v/>
      </c>
      <c r="CZ626" s="314">
        <f t="shared" si="2201"/>
        <v>1.6585127201565557E-3</v>
      </c>
      <c r="DA626" s="314">
        <f t="shared" si="2201"/>
        <v>3.6855838225701241E-3</v>
      </c>
      <c r="DB626" s="315">
        <f t="shared" si="2201"/>
        <v>4.0206368973492264E-3</v>
      </c>
      <c r="DC626" s="315">
        <f t="shared" si="2201"/>
        <v>4.4227005870841494E-3</v>
      </c>
      <c r="DD626" s="315">
        <f t="shared" si="2201"/>
        <v>7.5817724350013983E-3</v>
      </c>
      <c r="DE626" s="314">
        <f t="shared" si="2202"/>
        <v>1.2636287391668997E-2</v>
      </c>
      <c r="DF626" s="314">
        <f t="shared" si="2202"/>
        <v>1.4152641878669275E-2</v>
      </c>
      <c r="DG626" s="314">
        <f t="shared" si="2202"/>
        <v>2.7641878669275928E-2</v>
      </c>
      <c r="DH626" s="314" t="str">
        <f t="shared" si="2202"/>
        <v/>
      </c>
      <c r="DI626" s="314" t="str">
        <f t="shared" si="2202"/>
        <v/>
      </c>
      <c r="DJ626" s="313" t="str">
        <f t="shared" si="2202"/>
        <v/>
      </c>
      <c r="DK626" s="312" t="str">
        <f t="shared" si="220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60">
        <f t="shared" ref="BZ627:BZ628" si="2211">IF(DL627&lt;3,"",(SUM(B627:R627)-MIN(B627:R627)-MAX(B627:R627))/(DL627-2))</f>
        <v>4.333333333333333</v>
      </c>
      <c r="CA627" s="660">
        <f t="shared" ref="CA627:CA628" si="2212">IF(DM627&lt;3,"",(SUM(T627:AJ627)-MIN(T627:AJ627)-MAX(T627:AJ627))/(DM627-2))</f>
        <v>5.166666666666667</v>
      </c>
      <c r="CB627" s="660">
        <f t="shared" ref="CB627:CB628" si="2213">IF(DN627&lt;3,"",(SUM(AL627:BB627)-MIN(AL627:BB627)-MAX(AL627:BB627))/(DN627-2))</f>
        <v>3.25</v>
      </c>
      <c r="CC627" s="661" t="str">
        <f t="shared" ref="CC627:CC628" si="2214">IF(DO627&lt;3,"",(SUM(BD627:BT627)-MIN(BD627:BT627)-MAX(BD627:BT627))/(DO627-2))</f>
        <v/>
      </c>
      <c r="CD627" s="1109" t="str">
        <f t="shared" ref="CD627:CS628" si="22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0" t="str">
        <f t="shared" si="2215"/>
        <v/>
      </c>
      <c r="CF627" s="1111" t="str">
        <f t="shared" si="2215"/>
        <v/>
      </c>
      <c r="CG627" s="1111" t="str">
        <f t="shared" si="2215"/>
        <v/>
      </c>
      <c r="CH627" s="1111" t="str">
        <f t="shared" si="2215"/>
        <v/>
      </c>
      <c r="CI627" s="1111" t="str">
        <f t="shared" si="2215"/>
        <v/>
      </c>
      <c r="CJ627" s="1111">
        <f t="shared" si="2215"/>
        <v>2</v>
      </c>
      <c r="CK627" s="1112">
        <f t="shared" si="2215"/>
        <v>3</v>
      </c>
      <c r="CL627" s="1112">
        <f t="shared" si="2215"/>
        <v>5</v>
      </c>
      <c r="CM627" s="1112">
        <f t="shared" si="2215"/>
        <v>5</v>
      </c>
      <c r="CN627" s="1111">
        <f t="shared" si="2215"/>
        <v>5</v>
      </c>
      <c r="CO627" s="1111" t="str">
        <f t="shared" si="2215"/>
        <v/>
      </c>
      <c r="CP627" s="1111" t="str">
        <f t="shared" si="2215"/>
        <v/>
      </c>
      <c r="CQ627" s="1111" t="str">
        <f t="shared" si="2215"/>
        <v/>
      </c>
      <c r="CR627" s="1111" t="str">
        <f t="shared" si="2215"/>
        <v/>
      </c>
      <c r="CS627" s="1110" t="str">
        <f t="shared" si="2215"/>
        <v/>
      </c>
      <c r="CT627" s="1113" t="str">
        <f t="shared" ref="CE627:CT628" si="22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201"/>
        <v/>
      </c>
      <c r="CV627" s="325" t="str">
        <f t="shared" si="2201"/>
        <v/>
      </c>
      <c r="CW627" s="326" t="str">
        <f t="shared" si="2201"/>
        <v/>
      </c>
      <c r="CX627" s="326" t="str">
        <f t="shared" si="2201"/>
        <v/>
      </c>
      <c r="CY627" s="326" t="str">
        <f t="shared" si="2201"/>
        <v/>
      </c>
      <c r="CZ627" s="326">
        <f t="shared" si="2201"/>
        <v>3</v>
      </c>
      <c r="DA627" s="326">
        <f t="shared" si="2201"/>
        <v>5</v>
      </c>
      <c r="DB627" s="327">
        <f t="shared" si="2201"/>
        <v>5</v>
      </c>
      <c r="DC627" s="327">
        <f t="shared" si="2201"/>
        <v>5</v>
      </c>
      <c r="DD627" s="327">
        <f t="shared" si="2201"/>
        <v>5</v>
      </c>
      <c r="DE627" s="326">
        <f t="shared" si="2202"/>
        <v>5</v>
      </c>
      <c r="DF627" s="326">
        <f t="shared" si="2202"/>
        <v>6</v>
      </c>
      <c r="DG627" s="326">
        <f t="shared" si="2202"/>
        <v>7</v>
      </c>
      <c r="DH627" s="326" t="str">
        <f t="shared" si="2202"/>
        <v/>
      </c>
      <c r="DI627" s="326" t="str">
        <f t="shared" si="2202"/>
        <v/>
      </c>
      <c r="DJ627" s="325" t="str">
        <f t="shared" si="2202"/>
        <v/>
      </c>
      <c r="DK627" s="324" t="str">
        <f t="shared" si="220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217">IF(B627="","",B624*B627)</f>
        <v>200</v>
      </c>
      <c r="C628" s="405" t="str">
        <f t="shared" si="2217"/>
        <v/>
      </c>
      <c r="D628" s="405" t="str">
        <f t="shared" si="2217"/>
        <v/>
      </c>
      <c r="E628" s="405" t="str">
        <f t="shared" si="2217"/>
        <v/>
      </c>
      <c r="F628" s="405">
        <f t="shared" si="2217"/>
        <v>250</v>
      </c>
      <c r="G628" s="405">
        <f t="shared" si="2217"/>
        <v>300</v>
      </c>
      <c r="H628" s="405" t="str">
        <f t="shared" si="2217"/>
        <v/>
      </c>
      <c r="I628" s="405">
        <f t="shared" si="2217"/>
        <v>360</v>
      </c>
      <c r="J628" s="405">
        <f t="shared" si="2217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218">IF(T627="","",T624*T627)</f>
        <v/>
      </c>
      <c r="U628" s="405">
        <f t="shared" si="2218"/>
        <v>30</v>
      </c>
      <c r="V628" s="405">
        <f t="shared" si="2218"/>
        <v>70</v>
      </c>
      <c r="W628" s="405">
        <f t="shared" si="2218"/>
        <v>160</v>
      </c>
      <c r="X628" s="405">
        <f t="shared" si="2218"/>
        <v>250</v>
      </c>
      <c r="Y628" s="405">
        <f t="shared" si="2218"/>
        <v>60</v>
      </c>
      <c r="Z628" s="405">
        <f t="shared" si="2218"/>
        <v>15</v>
      </c>
      <c r="AA628" s="405">
        <f t="shared" si="2218"/>
        <v>50</v>
      </c>
      <c r="AB628" s="405">
        <f t="shared" si="2218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219">IF(AL627="","",AL624*AL627)</f>
        <v>360</v>
      </c>
      <c r="AM628" s="405">
        <f t="shared" si="2219"/>
        <v>135</v>
      </c>
      <c r="AN628" s="405">
        <f t="shared" si="2219"/>
        <v>30</v>
      </c>
      <c r="AO628" s="405" t="str">
        <f t="shared" si="2219"/>
        <v/>
      </c>
      <c r="AP628" s="405" t="str">
        <f t="shared" si="2219"/>
        <v/>
      </c>
      <c r="AQ628" s="405">
        <f t="shared" si="2219"/>
        <v>200</v>
      </c>
      <c r="AR628" s="405">
        <f t="shared" si="2219"/>
        <v>180</v>
      </c>
      <c r="AS628" s="405">
        <f t="shared" si="2219"/>
        <v>40</v>
      </c>
      <c r="AT628" s="405" t="str">
        <f t="shared" si="2219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220">IF(BD627="","",BD624*BD627)</f>
        <v/>
      </c>
      <c r="BE628" s="405" t="str">
        <f t="shared" si="2220"/>
        <v/>
      </c>
      <c r="BF628" s="405" t="str">
        <f t="shared" si="2220"/>
        <v/>
      </c>
      <c r="BG628" s="405" t="str">
        <f t="shared" si="2220"/>
        <v/>
      </c>
      <c r="BH628" s="405" t="str">
        <f t="shared" si="2220"/>
        <v/>
      </c>
      <c r="BI628" s="405">
        <f t="shared" si="2220"/>
        <v>720</v>
      </c>
      <c r="BJ628" s="405" t="str">
        <f t="shared" si="2220"/>
        <v/>
      </c>
      <c r="BK628" s="405" t="str">
        <f t="shared" si="2220"/>
        <v/>
      </c>
      <c r="BL628" s="405" t="str">
        <f t="shared" si="2220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60">
        <f t="shared" si="2211"/>
        <v>250</v>
      </c>
      <c r="CA628" s="660">
        <f t="shared" si="2212"/>
        <v>81.666666666666671</v>
      </c>
      <c r="CB628" s="660">
        <f t="shared" si="2213"/>
        <v>138.75</v>
      </c>
      <c r="CC628" s="661" t="str">
        <f t="shared" si="2214"/>
        <v/>
      </c>
      <c r="CD628" s="1109" t="str">
        <f t="shared" si="2215"/>
        <v/>
      </c>
      <c r="CE628" s="1110" t="str">
        <f t="shared" si="2216"/>
        <v/>
      </c>
      <c r="CF628" s="1111" t="str">
        <f t="shared" si="2216"/>
        <v/>
      </c>
      <c r="CG628" s="1111" t="str">
        <f t="shared" si="2216"/>
        <v/>
      </c>
      <c r="CH628" s="1111" t="str">
        <f t="shared" si="2216"/>
        <v/>
      </c>
      <c r="CI628" s="1111" t="str">
        <f t="shared" si="2216"/>
        <v/>
      </c>
      <c r="CJ628" s="1111">
        <f t="shared" si="2216"/>
        <v>64</v>
      </c>
      <c r="CK628" s="1112">
        <f t="shared" si="2216"/>
        <v>200</v>
      </c>
      <c r="CL628" s="1112">
        <f t="shared" si="2216"/>
        <v>250</v>
      </c>
      <c r="CM628" s="1112">
        <f t="shared" si="2216"/>
        <v>300</v>
      </c>
      <c r="CN628" s="1111">
        <f t="shared" si="2216"/>
        <v>360</v>
      </c>
      <c r="CO628" s="1111" t="str">
        <f t="shared" si="2216"/>
        <v/>
      </c>
      <c r="CP628" s="1111" t="str">
        <f t="shared" si="2216"/>
        <v/>
      </c>
      <c r="CQ628" s="1111" t="str">
        <f t="shared" si="2216"/>
        <v/>
      </c>
      <c r="CR628" s="1111" t="str">
        <f t="shared" si="2216"/>
        <v/>
      </c>
      <c r="CS628" s="1110" t="str">
        <f t="shared" si="2216"/>
        <v/>
      </c>
      <c r="CT628" s="1113" t="str">
        <f t="shared" si="2216"/>
        <v/>
      </c>
      <c r="CU628" s="324" t="str">
        <f t="shared" si="2201"/>
        <v/>
      </c>
      <c r="CV628" s="325" t="str">
        <f t="shared" si="2201"/>
        <v/>
      </c>
      <c r="CW628" s="326" t="str">
        <f t="shared" si="2201"/>
        <v/>
      </c>
      <c r="CX628" s="326" t="str">
        <f t="shared" si="2201"/>
        <v/>
      </c>
      <c r="CY628" s="326" t="str">
        <f t="shared" si="2201"/>
        <v/>
      </c>
      <c r="CZ628" s="326">
        <f t="shared" si="2201"/>
        <v>15</v>
      </c>
      <c r="DA628" s="326">
        <f t="shared" si="2201"/>
        <v>30</v>
      </c>
      <c r="DB628" s="327">
        <f t="shared" si="2201"/>
        <v>50</v>
      </c>
      <c r="DC628" s="327">
        <f t="shared" si="2201"/>
        <v>60</v>
      </c>
      <c r="DD628" s="327">
        <f t="shared" si="2201"/>
        <v>70</v>
      </c>
      <c r="DE628" s="326">
        <f t="shared" si="2202"/>
        <v>120</v>
      </c>
      <c r="DF628" s="326">
        <f t="shared" si="2202"/>
        <v>160</v>
      </c>
      <c r="DG628" s="326">
        <f t="shared" si="2202"/>
        <v>250</v>
      </c>
      <c r="DH628" s="326" t="str">
        <f t="shared" si="2202"/>
        <v/>
      </c>
      <c r="DI628" s="326" t="str">
        <f t="shared" si="2202"/>
        <v/>
      </c>
      <c r="DJ628" s="325" t="str">
        <f t="shared" si="2202"/>
        <v/>
      </c>
      <c r="DK628" s="324" t="str">
        <f t="shared" si="220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6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4"/>
      <c r="CE629" s="1134"/>
      <c r="CF629" s="1134"/>
      <c r="CG629" s="1134"/>
      <c r="CH629" s="1134"/>
      <c r="CI629" s="1134"/>
      <c r="CJ629" s="1134"/>
      <c r="CK629" s="1134"/>
      <c r="CL629" s="1134"/>
      <c r="CM629" s="1134"/>
      <c r="CN629" s="1134"/>
      <c r="CO629" s="1134"/>
      <c r="CP629" s="1134"/>
      <c r="CQ629" s="1134"/>
      <c r="CR629" s="1134"/>
      <c r="CS629" s="1134"/>
      <c r="CT629" s="1135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60" t="str">
        <f t="shared" ref="BZ630:BZ631" si="2221">IF(DL630&lt;3,"",(SUM(B630:R630)-MIN(B630:R630)-MAX(B630:R630))/(DL630-2))</f>
        <v/>
      </c>
      <c r="CA630" s="660" t="str">
        <f t="shared" ref="CA630:CA631" si="2222">IF(DM630&lt;3,"",(SUM(T630:AJ630)-MIN(T630:AJ630)-MAX(T630:AJ630))/(DM630-2))</f>
        <v/>
      </c>
      <c r="CB630" s="660" t="str">
        <f t="shared" ref="CB630:CB631" si="2223">IF(DN630&lt;3,"",(SUM(AL630:BB630)-MIN(AL630:BB630)-MAX(AL630:BB630))/(DN630-2))</f>
        <v/>
      </c>
      <c r="CC630" s="661" t="str">
        <f t="shared" ref="CC630:CC631" si="2224">IF(DO630&lt;3,"",(SUM(BD630:BT630)-MIN(BD630:BT630)-MAX(BD630:BT630))/(DO630-2))</f>
        <v/>
      </c>
      <c r="CD630" s="1109" t="str">
        <f t="shared" ref="CD630:CS631" si="22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0" t="str">
        <f t="shared" si="2225"/>
        <v/>
      </c>
      <c r="CF630" s="1111" t="str">
        <f t="shared" si="2225"/>
        <v/>
      </c>
      <c r="CG630" s="1111" t="str">
        <f t="shared" si="2225"/>
        <v/>
      </c>
      <c r="CH630" s="1111" t="str">
        <f t="shared" si="2225"/>
        <v/>
      </c>
      <c r="CI630" s="1111" t="str">
        <f t="shared" si="2225"/>
        <v/>
      </c>
      <c r="CJ630" s="1111" t="str">
        <f t="shared" si="2225"/>
        <v/>
      </c>
      <c r="CK630" s="1112" t="str">
        <f t="shared" si="2225"/>
        <v/>
      </c>
      <c r="CL630" s="1112">
        <f t="shared" si="2225"/>
        <v>12</v>
      </c>
      <c r="CM630" s="1112">
        <f t="shared" si="2225"/>
        <v>42</v>
      </c>
      <c r="CN630" s="1111" t="str">
        <f t="shared" si="2225"/>
        <v/>
      </c>
      <c r="CO630" s="1111" t="str">
        <f t="shared" si="2225"/>
        <v/>
      </c>
      <c r="CP630" s="1111" t="str">
        <f t="shared" si="2225"/>
        <v/>
      </c>
      <c r="CQ630" s="1111" t="str">
        <f t="shared" si="2225"/>
        <v/>
      </c>
      <c r="CR630" s="1111" t="str">
        <f t="shared" si="2225"/>
        <v/>
      </c>
      <c r="CS630" s="1110" t="str">
        <f t="shared" si="2225"/>
        <v/>
      </c>
      <c r="CT630" s="1113" t="str">
        <f t="shared" ref="CE630:CT632" si="22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2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227"/>
        <v/>
      </c>
      <c r="CW630" s="326" t="str">
        <f t="shared" si="2227"/>
        <v/>
      </c>
      <c r="CX630" s="326" t="str">
        <f t="shared" si="2227"/>
        <v/>
      </c>
      <c r="CY630" s="326" t="str">
        <f t="shared" si="2227"/>
        <v/>
      </c>
      <c r="CZ630" s="326" t="str">
        <f t="shared" si="2227"/>
        <v/>
      </c>
      <c r="DA630" s="326" t="str">
        <f t="shared" si="2227"/>
        <v/>
      </c>
      <c r="DB630" s="327" t="str">
        <f t="shared" si="2227"/>
        <v/>
      </c>
      <c r="DC630" s="327">
        <f t="shared" si="2227"/>
        <v>27</v>
      </c>
      <c r="DD630" s="327">
        <f t="shared" si="2227"/>
        <v>96</v>
      </c>
      <c r="DE630" s="326" t="str">
        <f t="shared" ref="DE630:DK634" si="22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228"/>
        <v/>
      </c>
      <c r="DG630" s="326" t="str">
        <f t="shared" si="2228"/>
        <v/>
      </c>
      <c r="DH630" s="326" t="str">
        <f t="shared" si="2228"/>
        <v/>
      </c>
      <c r="DI630" s="326" t="str">
        <f t="shared" si="2228"/>
        <v/>
      </c>
      <c r="DJ630" s="325" t="str">
        <f t="shared" si="2228"/>
        <v/>
      </c>
      <c r="DK630" s="324" t="str">
        <f t="shared" si="2228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60">
        <f t="shared" si="2221"/>
        <v>230</v>
      </c>
      <c r="CA631" s="660">
        <f t="shared" si="2222"/>
        <v>230</v>
      </c>
      <c r="CB631" s="660">
        <f t="shared" si="2223"/>
        <v>230</v>
      </c>
      <c r="CC631" s="661">
        <f t="shared" si="2224"/>
        <v>230</v>
      </c>
      <c r="CD631" s="1109" t="str">
        <f t="shared" si="2225"/>
        <v/>
      </c>
      <c r="CE631" s="1110" t="str">
        <f t="shared" si="2226"/>
        <v/>
      </c>
      <c r="CF631" s="1111" t="str">
        <f t="shared" si="2226"/>
        <v/>
      </c>
      <c r="CG631" s="1111" t="str">
        <f t="shared" si="2226"/>
        <v/>
      </c>
      <c r="CH631" s="1111">
        <f t="shared" si="2226"/>
        <v>230</v>
      </c>
      <c r="CI631" s="1111">
        <f t="shared" si="2226"/>
        <v>230</v>
      </c>
      <c r="CJ631" s="1111">
        <f t="shared" si="2226"/>
        <v>230</v>
      </c>
      <c r="CK631" s="1112">
        <f t="shared" si="2226"/>
        <v>230</v>
      </c>
      <c r="CL631" s="1112">
        <f t="shared" si="2226"/>
        <v>230</v>
      </c>
      <c r="CM631" s="1112">
        <f t="shared" si="2226"/>
        <v>230</v>
      </c>
      <c r="CN631" s="1111">
        <f t="shared" si="2226"/>
        <v>230</v>
      </c>
      <c r="CO631" s="1111">
        <f t="shared" si="2226"/>
        <v>230</v>
      </c>
      <c r="CP631" s="1111">
        <f t="shared" si="2226"/>
        <v>230</v>
      </c>
      <c r="CQ631" s="1111" t="str">
        <f t="shared" si="2226"/>
        <v/>
      </c>
      <c r="CR631" s="1111" t="str">
        <f t="shared" si="2226"/>
        <v/>
      </c>
      <c r="CS631" s="1110" t="str">
        <f t="shared" si="2226"/>
        <v/>
      </c>
      <c r="CT631" s="1113" t="str">
        <f t="shared" si="2226"/>
        <v/>
      </c>
      <c r="CU631" s="324" t="str">
        <f t="shared" si="2227"/>
        <v/>
      </c>
      <c r="CV631" s="325" t="str">
        <f t="shared" si="2227"/>
        <v/>
      </c>
      <c r="CW631" s="326" t="str">
        <f t="shared" si="2227"/>
        <v/>
      </c>
      <c r="CX631" s="326" t="str">
        <f t="shared" si="2227"/>
        <v/>
      </c>
      <c r="CY631" s="326">
        <f t="shared" si="2227"/>
        <v>230</v>
      </c>
      <c r="CZ631" s="326">
        <f t="shared" si="2227"/>
        <v>230</v>
      </c>
      <c r="DA631" s="326">
        <f t="shared" si="2227"/>
        <v>230</v>
      </c>
      <c r="DB631" s="327">
        <f t="shared" si="2227"/>
        <v>230</v>
      </c>
      <c r="DC631" s="327">
        <f t="shared" si="2227"/>
        <v>230</v>
      </c>
      <c r="DD631" s="327">
        <f t="shared" si="2227"/>
        <v>230</v>
      </c>
      <c r="DE631" s="326">
        <f t="shared" si="2228"/>
        <v>230</v>
      </c>
      <c r="DF631" s="326">
        <f t="shared" si="2228"/>
        <v>230</v>
      </c>
      <c r="DG631" s="326">
        <f t="shared" si="2228"/>
        <v>230</v>
      </c>
      <c r="DH631" s="326" t="str">
        <f t="shared" si="2228"/>
        <v/>
      </c>
      <c r="DI631" s="326" t="str">
        <f t="shared" si="2228"/>
        <v/>
      </c>
      <c r="DJ631" s="325" t="str">
        <f t="shared" si="2228"/>
        <v/>
      </c>
      <c r="DK631" s="324" t="str">
        <f t="shared" si="2228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229">IF(B630="","",B630*B631/B$46/365/$G$1)</f>
        <v>3.6007827788649707E-4</v>
      </c>
      <c r="C632" s="408" t="str">
        <f t="shared" si="2229"/>
        <v/>
      </c>
      <c r="D632" s="408" t="str">
        <f t="shared" si="2229"/>
        <v/>
      </c>
      <c r="E632" s="408" t="str">
        <f t="shared" si="2229"/>
        <v/>
      </c>
      <c r="F632" s="408" t="str">
        <f t="shared" si="2229"/>
        <v/>
      </c>
      <c r="G632" s="408">
        <f t="shared" si="2229"/>
        <v>1.5753424657534247E-3</v>
      </c>
      <c r="H632" s="408" t="str">
        <f t="shared" si="2229"/>
        <v/>
      </c>
      <c r="I632" s="408" t="str">
        <f t="shared" si="2229"/>
        <v/>
      </c>
      <c r="J632" s="408" t="str">
        <f t="shared" si="2229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230">IF(T630="","",T630*T631/T$46/365/$G$1)</f>
        <v/>
      </c>
      <c r="U632" s="408">
        <f t="shared" si="2230"/>
        <v>2.6187511119017967E-3</v>
      </c>
      <c r="V632" s="408">
        <f t="shared" si="2230"/>
        <v>6.7514677103718197E-4</v>
      </c>
      <c r="W632" s="408" t="str">
        <f t="shared" si="2230"/>
        <v/>
      </c>
      <c r="X632" s="408" t="str">
        <f t="shared" si="2230"/>
        <v/>
      </c>
      <c r="Y632" s="408" t="str">
        <f t="shared" si="2230"/>
        <v/>
      </c>
      <c r="Z632" s="408" t="str">
        <f t="shared" si="2230"/>
        <v/>
      </c>
      <c r="AA632" s="408" t="str">
        <f t="shared" si="2230"/>
        <v/>
      </c>
      <c r="AB632" s="408" t="str">
        <f t="shared" si="2230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231">IF(AL630="","",AL630*AL631/AL$46/365/$G$1)</f>
        <v/>
      </c>
      <c r="AM632" s="408" t="str">
        <f t="shared" si="2231"/>
        <v/>
      </c>
      <c r="AN632" s="408">
        <f t="shared" si="2231"/>
        <v>1.0127201565557731E-3</v>
      </c>
      <c r="AO632" s="408" t="str">
        <f t="shared" si="2231"/>
        <v/>
      </c>
      <c r="AP632" s="408" t="str">
        <f t="shared" si="2231"/>
        <v/>
      </c>
      <c r="AQ632" s="408" t="str">
        <f t="shared" si="2231"/>
        <v/>
      </c>
      <c r="AR632" s="408" t="str">
        <f t="shared" si="2231"/>
        <v/>
      </c>
      <c r="AS632" s="408" t="str">
        <f t="shared" si="2231"/>
        <v/>
      </c>
      <c r="AT632" s="408" t="str">
        <f t="shared" si="2231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232">IF(BD630="","",BD630*BD631/BD$46/365/$G$1)</f>
        <v>4.0008697542944123E-4</v>
      </c>
      <c r="BE632" s="408" t="str">
        <f t="shared" si="2232"/>
        <v/>
      </c>
      <c r="BF632" s="408" t="str">
        <f t="shared" si="2232"/>
        <v/>
      </c>
      <c r="BG632" s="408" t="str">
        <f t="shared" si="2232"/>
        <v/>
      </c>
      <c r="BH632" s="408" t="str">
        <f t="shared" si="2232"/>
        <v/>
      </c>
      <c r="BI632" s="408" t="str">
        <f t="shared" si="2232"/>
        <v/>
      </c>
      <c r="BJ632" s="408" t="str">
        <f t="shared" si="2232"/>
        <v/>
      </c>
      <c r="BK632" s="408" t="str">
        <f t="shared" si="2232"/>
        <v/>
      </c>
      <c r="BL632" s="408" t="str">
        <f t="shared" si="2232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5" t="str">
        <f t="shared" si="2226"/>
        <v/>
      </c>
      <c r="CF632" s="1116" t="str">
        <f t="shared" si="2226"/>
        <v/>
      </c>
      <c r="CG632" s="1116" t="str">
        <f t="shared" si="2226"/>
        <v/>
      </c>
      <c r="CH632" s="1116" t="str">
        <f t="shared" si="2226"/>
        <v/>
      </c>
      <c r="CI632" s="1116" t="str">
        <f t="shared" si="2226"/>
        <v/>
      </c>
      <c r="CJ632" s="1116" t="str">
        <f t="shared" si="2226"/>
        <v/>
      </c>
      <c r="CK632" s="1117" t="str">
        <f t="shared" si="2226"/>
        <v/>
      </c>
      <c r="CL632" s="1117">
        <f t="shared" si="2226"/>
        <v>3.6007827788649707E-4</v>
      </c>
      <c r="CM632" s="1117">
        <f t="shared" si="2226"/>
        <v>1.5753424657534247E-3</v>
      </c>
      <c r="CN632" s="1116" t="str">
        <f t="shared" si="2226"/>
        <v/>
      </c>
      <c r="CO632" s="1116" t="str">
        <f t="shared" si="2226"/>
        <v/>
      </c>
      <c r="CP632" s="1116" t="str">
        <f t="shared" si="2226"/>
        <v/>
      </c>
      <c r="CQ632" s="1116" t="str">
        <f t="shared" si="2226"/>
        <v/>
      </c>
      <c r="CR632" s="1116" t="str">
        <f t="shared" si="2226"/>
        <v/>
      </c>
      <c r="CS632" s="1115" t="str">
        <f t="shared" si="2226"/>
        <v/>
      </c>
      <c r="CT632" s="1118" t="str">
        <f t="shared" si="2226"/>
        <v/>
      </c>
      <c r="CU632" s="312" t="str">
        <f t="shared" si="2227"/>
        <v/>
      </c>
      <c r="CV632" s="313" t="str">
        <f t="shared" si="2227"/>
        <v/>
      </c>
      <c r="CW632" s="314" t="str">
        <f t="shared" si="2227"/>
        <v/>
      </c>
      <c r="CX632" s="314" t="str">
        <f t="shared" si="2227"/>
        <v/>
      </c>
      <c r="CY632" s="314" t="str">
        <f t="shared" si="2227"/>
        <v/>
      </c>
      <c r="CZ632" s="314" t="str">
        <f t="shared" si="2227"/>
        <v/>
      </c>
      <c r="DA632" s="314" t="str">
        <f t="shared" si="2227"/>
        <v/>
      </c>
      <c r="DB632" s="315" t="str">
        <f t="shared" si="2227"/>
        <v/>
      </c>
      <c r="DC632" s="315">
        <f t="shared" si="2227"/>
        <v>6.7514677103718197E-4</v>
      </c>
      <c r="DD632" s="315">
        <f t="shared" si="2227"/>
        <v>2.6187511119017967E-3</v>
      </c>
      <c r="DE632" s="314" t="str">
        <f t="shared" si="2228"/>
        <v/>
      </c>
      <c r="DF632" s="314" t="str">
        <f t="shared" si="2228"/>
        <v/>
      </c>
      <c r="DG632" s="314" t="str">
        <f t="shared" si="2228"/>
        <v/>
      </c>
      <c r="DH632" s="314" t="str">
        <f t="shared" si="2228"/>
        <v/>
      </c>
      <c r="DI632" s="314" t="str">
        <f t="shared" si="2228"/>
        <v/>
      </c>
      <c r="DJ632" s="313" t="str">
        <f t="shared" si="2228"/>
        <v/>
      </c>
      <c r="DK632" s="312" t="str">
        <f t="shared" si="2228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60" t="str">
        <f t="shared" ref="BZ633:BZ634" si="2233">IF(DL633&lt;3,"",(SUM(B633:R633)-MIN(B633:R633)-MAX(B633:R633))/(DL633-2))</f>
        <v/>
      </c>
      <c r="CA633" s="660" t="str">
        <f t="shared" ref="CA633:CA634" si="2234">IF(DM633&lt;3,"",(SUM(T633:AJ633)-MIN(T633:AJ633)-MAX(T633:AJ633))/(DM633-2))</f>
        <v/>
      </c>
      <c r="CB633" s="660" t="str">
        <f t="shared" ref="CB633:CB634" si="2235">IF(DN633&lt;3,"",(SUM(AL633:BB633)-MIN(AL633:BB633)-MAX(AL633:BB633))/(DN633-2))</f>
        <v/>
      </c>
      <c r="CC633" s="661" t="str">
        <f t="shared" ref="CC633:CC634" si="2236">IF(DO633&lt;3,"",(SUM(BD633:BT633)-MIN(BD633:BT633)-MAX(BD633:BT633))/(DO633-2))</f>
        <v/>
      </c>
      <c r="CD633" s="1109" t="str">
        <f t="shared" ref="CD633:CS633" si="22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0" t="str">
        <f t="shared" si="2237"/>
        <v/>
      </c>
      <c r="CF633" s="1111" t="str">
        <f t="shared" si="2237"/>
        <v/>
      </c>
      <c r="CG633" s="1111" t="str">
        <f t="shared" si="2237"/>
        <v/>
      </c>
      <c r="CH633" s="1111" t="str">
        <f t="shared" si="2237"/>
        <v/>
      </c>
      <c r="CI633" s="1111" t="str">
        <f t="shared" si="2237"/>
        <v/>
      </c>
      <c r="CJ633" s="1111" t="str">
        <f t="shared" si="2237"/>
        <v/>
      </c>
      <c r="CK633" s="1112" t="str">
        <f t="shared" si="2237"/>
        <v/>
      </c>
      <c r="CL633" s="1112">
        <f t="shared" si="2237"/>
        <v>1</v>
      </c>
      <c r="CM633" s="1112">
        <f t="shared" si="2237"/>
        <v>1.5</v>
      </c>
      <c r="CN633" s="1111" t="str">
        <f t="shared" si="2237"/>
        <v/>
      </c>
      <c r="CO633" s="1111" t="str">
        <f t="shared" si="2237"/>
        <v/>
      </c>
      <c r="CP633" s="1111" t="str">
        <f t="shared" si="2237"/>
        <v/>
      </c>
      <c r="CQ633" s="1111" t="str">
        <f t="shared" si="2237"/>
        <v/>
      </c>
      <c r="CR633" s="1111" t="str">
        <f t="shared" si="2237"/>
        <v/>
      </c>
      <c r="CS633" s="1110" t="str">
        <f t="shared" si="2237"/>
        <v/>
      </c>
      <c r="CT633" s="1113" t="str">
        <f t="shared" ref="CE633:CT634" si="22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227"/>
        <v/>
      </c>
      <c r="CV633" s="325" t="str">
        <f t="shared" si="2227"/>
        <v/>
      </c>
      <c r="CW633" s="326" t="str">
        <f t="shared" si="2227"/>
        <v/>
      </c>
      <c r="CX633" s="326" t="str">
        <f t="shared" si="2227"/>
        <v/>
      </c>
      <c r="CY633" s="326" t="str">
        <f t="shared" si="2227"/>
        <v/>
      </c>
      <c r="CZ633" s="326" t="str">
        <f t="shared" si="2227"/>
        <v/>
      </c>
      <c r="DA633" s="326" t="str">
        <f t="shared" si="2227"/>
        <v/>
      </c>
      <c r="DB633" s="327" t="str">
        <f t="shared" si="2227"/>
        <v/>
      </c>
      <c r="DC633" s="327">
        <f t="shared" si="2227"/>
        <v>2</v>
      </c>
      <c r="DD633" s="327">
        <f t="shared" si="2227"/>
        <v>2</v>
      </c>
      <c r="DE633" s="326" t="str">
        <f t="shared" si="2228"/>
        <v/>
      </c>
      <c r="DF633" s="326" t="str">
        <f t="shared" si="2228"/>
        <v/>
      </c>
      <c r="DG633" s="326" t="str">
        <f t="shared" si="2228"/>
        <v/>
      </c>
      <c r="DH633" s="326" t="str">
        <f t="shared" si="2228"/>
        <v/>
      </c>
      <c r="DI633" s="326" t="str">
        <f t="shared" si="2228"/>
        <v/>
      </c>
      <c r="DJ633" s="325" t="str">
        <f t="shared" si="2228"/>
        <v/>
      </c>
      <c r="DK633" s="324" t="str">
        <f t="shared" si="2228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239">IF(B633="","",B630*B633)</f>
        <v>12</v>
      </c>
      <c r="C634" s="405" t="str">
        <f t="shared" si="2239"/>
        <v/>
      </c>
      <c r="D634" s="405" t="str">
        <f t="shared" si="2239"/>
        <v/>
      </c>
      <c r="E634" s="405" t="str">
        <f t="shared" si="2239"/>
        <v/>
      </c>
      <c r="F634" s="405" t="str">
        <f t="shared" si="2239"/>
        <v/>
      </c>
      <c r="G634" s="405">
        <f t="shared" si="2239"/>
        <v>63</v>
      </c>
      <c r="H634" s="405" t="str">
        <f t="shared" si="2239"/>
        <v/>
      </c>
      <c r="I634" s="405" t="str">
        <f t="shared" si="2239"/>
        <v/>
      </c>
      <c r="J634" s="405" t="str">
        <f t="shared" si="2239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240">IF(T633="","",T630*T633)</f>
        <v/>
      </c>
      <c r="U634" s="405">
        <f t="shared" si="2240"/>
        <v>192</v>
      </c>
      <c r="V634" s="405">
        <f t="shared" si="2240"/>
        <v>54</v>
      </c>
      <c r="W634" s="405" t="str">
        <f t="shared" si="2240"/>
        <v/>
      </c>
      <c r="X634" s="405" t="str">
        <f t="shared" si="2240"/>
        <v/>
      </c>
      <c r="Y634" s="405" t="str">
        <f t="shared" si="2240"/>
        <v/>
      </c>
      <c r="Z634" s="405" t="str">
        <f t="shared" si="2240"/>
        <v/>
      </c>
      <c r="AA634" s="405" t="str">
        <f t="shared" si="2240"/>
        <v/>
      </c>
      <c r="AB634" s="405" t="str">
        <f t="shared" si="2240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241">IF(AL633="","",AL630*AL633)</f>
        <v/>
      </c>
      <c r="AM634" s="405" t="str">
        <f t="shared" si="2241"/>
        <v/>
      </c>
      <c r="AN634" s="405">
        <f t="shared" si="2241"/>
        <v>54</v>
      </c>
      <c r="AO634" s="405" t="str">
        <f t="shared" si="2241"/>
        <v/>
      </c>
      <c r="AP634" s="405" t="str">
        <f t="shared" si="2241"/>
        <v/>
      </c>
      <c r="AQ634" s="405" t="str">
        <f t="shared" si="2241"/>
        <v/>
      </c>
      <c r="AR634" s="405" t="str">
        <f t="shared" si="2241"/>
        <v/>
      </c>
      <c r="AS634" s="405" t="str">
        <f t="shared" si="2241"/>
        <v/>
      </c>
      <c r="AT634" s="405" t="str">
        <f t="shared" si="2241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242">IF(BD633="","",BD630*BD633)</f>
        <v>6</v>
      </c>
      <c r="BE634" s="405" t="str">
        <f t="shared" si="2242"/>
        <v/>
      </c>
      <c r="BF634" s="405" t="str">
        <f t="shared" si="2242"/>
        <v/>
      </c>
      <c r="BG634" s="405" t="str">
        <f t="shared" si="2242"/>
        <v/>
      </c>
      <c r="BH634" s="405" t="str">
        <f t="shared" si="2242"/>
        <v/>
      </c>
      <c r="BI634" s="405" t="str">
        <f t="shared" si="2242"/>
        <v/>
      </c>
      <c r="BJ634" s="405" t="str">
        <f t="shared" si="2242"/>
        <v/>
      </c>
      <c r="BK634" s="405" t="str">
        <f t="shared" si="2242"/>
        <v/>
      </c>
      <c r="BL634" s="405" t="str">
        <f t="shared" si="2242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60" t="str">
        <f t="shared" si="2233"/>
        <v/>
      </c>
      <c r="CA634" s="660" t="str">
        <f t="shared" si="2234"/>
        <v/>
      </c>
      <c r="CB634" s="660" t="str">
        <f t="shared" si="2235"/>
        <v/>
      </c>
      <c r="CC634" s="661" t="str">
        <f t="shared" si="2236"/>
        <v/>
      </c>
      <c r="CD634" s="110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0" t="str">
        <f t="shared" si="2238"/>
        <v/>
      </c>
      <c r="CF634" s="1111" t="str">
        <f t="shared" si="2238"/>
        <v/>
      </c>
      <c r="CG634" s="1111" t="str">
        <f t="shared" si="2238"/>
        <v/>
      </c>
      <c r="CH634" s="1111" t="str">
        <f t="shared" si="2238"/>
        <v/>
      </c>
      <c r="CI634" s="1111" t="str">
        <f t="shared" si="2238"/>
        <v/>
      </c>
      <c r="CJ634" s="1111" t="str">
        <f t="shared" si="2238"/>
        <v/>
      </c>
      <c r="CK634" s="1112" t="str">
        <f t="shared" si="2238"/>
        <v/>
      </c>
      <c r="CL634" s="1112">
        <f t="shared" si="2238"/>
        <v>12</v>
      </c>
      <c r="CM634" s="1112">
        <f t="shared" si="2238"/>
        <v>63</v>
      </c>
      <c r="CN634" s="1111" t="str">
        <f t="shared" si="2238"/>
        <v/>
      </c>
      <c r="CO634" s="1111" t="str">
        <f t="shared" si="2238"/>
        <v/>
      </c>
      <c r="CP634" s="1111" t="str">
        <f t="shared" si="2238"/>
        <v/>
      </c>
      <c r="CQ634" s="1111" t="str">
        <f t="shared" si="2238"/>
        <v/>
      </c>
      <c r="CR634" s="1111" t="str">
        <f t="shared" si="2238"/>
        <v/>
      </c>
      <c r="CS634" s="1110" t="str">
        <f t="shared" si="2238"/>
        <v/>
      </c>
      <c r="CT634" s="1113" t="str">
        <f t="shared" si="2238"/>
        <v/>
      </c>
      <c r="CU634" s="324" t="str">
        <f t="shared" si="2227"/>
        <v/>
      </c>
      <c r="CV634" s="325" t="str">
        <f t="shared" si="2227"/>
        <v/>
      </c>
      <c r="CW634" s="326" t="str">
        <f t="shared" si="2227"/>
        <v/>
      </c>
      <c r="CX634" s="326" t="str">
        <f t="shared" si="2227"/>
        <v/>
      </c>
      <c r="CY634" s="326" t="str">
        <f t="shared" si="2227"/>
        <v/>
      </c>
      <c r="CZ634" s="326" t="str">
        <f t="shared" si="2227"/>
        <v/>
      </c>
      <c r="DA634" s="326" t="str">
        <f t="shared" si="2227"/>
        <v/>
      </c>
      <c r="DB634" s="327" t="str">
        <f t="shared" si="2227"/>
        <v/>
      </c>
      <c r="DC634" s="327">
        <f t="shared" si="2227"/>
        <v>54</v>
      </c>
      <c r="DD634" s="327">
        <f t="shared" si="2227"/>
        <v>192</v>
      </c>
      <c r="DE634" s="326" t="str">
        <f t="shared" si="2228"/>
        <v/>
      </c>
      <c r="DF634" s="326" t="str">
        <f t="shared" si="2228"/>
        <v/>
      </c>
      <c r="DG634" s="326" t="str">
        <f t="shared" si="2228"/>
        <v/>
      </c>
      <c r="DH634" s="326" t="str">
        <f t="shared" si="2228"/>
        <v/>
      </c>
      <c r="DI634" s="326" t="str">
        <f t="shared" si="2228"/>
        <v/>
      </c>
      <c r="DJ634" s="325" t="str">
        <f t="shared" si="2228"/>
        <v/>
      </c>
      <c r="DK634" s="324" t="str">
        <f t="shared" si="2228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243">IF(DL635&lt;3,"",(SUM(B635:R635)-MIN(B635:R635)-MAX(B635:R635))/(DL635-2))</f>
        <v/>
      </c>
      <c r="CA635" s="365" t="str">
        <f t="shared" ref="CA635:CA642" si="2244">IF(DM635&lt;3,"",(SUM(T635:AJ635)-MIN(T635:AJ635)-MAX(T635:AJ635))/(DM635-2))</f>
        <v/>
      </c>
      <c r="CB635" s="365" t="str">
        <f t="shared" ref="CB635:CB642" si="2245">IF(DN635&lt;3,"",(SUM(AL635:BB635)-MIN(AL635:BB635)-MAX(AL635:BB635))/(DN635-2))</f>
        <v/>
      </c>
      <c r="CC635" s="461" t="str">
        <f t="shared" ref="CC635:CC642" si="2246">IF(DO635&lt;3,"",(SUM(BD635:BT635)-MIN(BD635:BT635)-MAX(BD635:BT635))/(DO635-2))</f>
        <v/>
      </c>
      <c r="CD635" s="1120"/>
      <c r="CE635" s="1120"/>
      <c r="CF635" s="1120"/>
      <c r="CG635" s="1120"/>
      <c r="CH635" s="1120"/>
      <c r="CI635" s="1120"/>
      <c r="CJ635" s="1120"/>
      <c r="CK635" s="1120"/>
      <c r="CL635" s="1120"/>
      <c r="CM635" s="1120"/>
      <c r="CN635" s="1120"/>
      <c r="CO635" s="1120"/>
      <c r="CP635" s="1120"/>
      <c r="CQ635" s="1120"/>
      <c r="CR635" s="1120"/>
      <c r="CS635" s="1120"/>
      <c r="CT635" s="1121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243"/>
        <v/>
      </c>
      <c r="CA636" s="373" t="str">
        <f t="shared" si="2244"/>
        <v/>
      </c>
      <c r="CB636" s="373" t="str">
        <f t="shared" si="2245"/>
        <v/>
      </c>
      <c r="CC636" s="462" t="str">
        <f t="shared" si="2246"/>
        <v/>
      </c>
      <c r="CD636" s="1109" t="str">
        <f t="shared" ref="CD636:CM638" si="22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0" t="str">
        <f t="shared" si="2247"/>
        <v/>
      </c>
      <c r="CF636" s="1111" t="str">
        <f t="shared" si="2247"/>
        <v/>
      </c>
      <c r="CG636" s="1111" t="str">
        <f t="shared" si="2247"/>
        <v/>
      </c>
      <c r="CH636" s="1111" t="str">
        <f t="shared" si="2247"/>
        <v/>
      </c>
      <c r="CI636" s="1111" t="str">
        <f t="shared" si="2247"/>
        <v/>
      </c>
      <c r="CJ636" s="1111" t="str">
        <f t="shared" si="2247"/>
        <v/>
      </c>
      <c r="CK636" s="1112" t="str">
        <f t="shared" si="2247"/>
        <v/>
      </c>
      <c r="CL636" s="1112" t="str">
        <f t="shared" si="2247"/>
        <v/>
      </c>
      <c r="CM636" s="1112" t="str">
        <f t="shared" si="2247"/>
        <v/>
      </c>
      <c r="CN636" s="1111" t="str">
        <f t="shared" ref="CN636:CT638" si="22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1" t="str">
        <f t="shared" si="2248"/>
        <v/>
      </c>
      <c r="CP636" s="1111" t="str">
        <f t="shared" si="2248"/>
        <v/>
      </c>
      <c r="CQ636" s="1111" t="str">
        <f t="shared" si="2248"/>
        <v/>
      </c>
      <c r="CR636" s="1111" t="str">
        <f t="shared" si="2248"/>
        <v/>
      </c>
      <c r="CS636" s="1110" t="str">
        <f t="shared" si="2248"/>
        <v/>
      </c>
      <c r="CT636" s="1113" t="str">
        <f t="shared" si="2248"/>
        <v/>
      </c>
      <c r="CU636" s="324" t="str">
        <f t="shared" ref="CU636:CU641" si="22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2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2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2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2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2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2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2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2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2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2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2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2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2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2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2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2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266">COUNT(B636:R636)</f>
        <v>0</v>
      </c>
      <c r="DM636" s="66">
        <f t="shared" ref="DM636:DM641" si="2267">COUNT(T636:AJ636)</f>
        <v>0</v>
      </c>
      <c r="DN636" s="66">
        <f t="shared" ref="DN636:DN641" si="2268">COUNT(AL636:BB636)</f>
        <v>0</v>
      </c>
      <c r="DO636" s="66">
        <f t="shared" ref="DO636:DO641" si="2269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243"/>
        <v/>
      </c>
      <c r="CA637" s="373" t="str">
        <f t="shared" si="2244"/>
        <v/>
      </c>
      <c r="CB637" s="373" t="str">
        <f t="shared" si="2245"/>
        <v/>
      </c>
      <c r="CC637" s="462" t="str">
        <f t="shared" si="2246"/>
        <v/>
      </c>
      <c r="CD637" s="1109" t="str">
        <f t="shared" si="2247"/>
        <v/>
      </c>
      <c r="CE637" s="1110" t="str">
        <f t="shared" si="2247"/>
        <v/>
      </c>
      <c r="CF637" s="1111" t="str">
        <f t="shared" si="2247"/>
        <v/>
      </c>
      <c r="CG637" s="1111" t="str">
        <f t="shared" si="2247"/>
        <v/>
      </c>
      <c r="CH637" s="1111" t="str">
        <f t="shared" si="2247"/>
        <v/>
      </c>
      <c r="CI637" s="1111" t="str">
        <f t="shared" si="2247"/>
        <v/>
      </c>
      <c r="CJ637" s="1111" t="str">
        <f t="shared" si="2247"/>
        <v/>
      </c>
      <c r="CK637" s="1112" t="str">
        <f t="shared" si="2247"/>
        <v/>
      </c>
      <c r="CL637" s="1112" t="str">
        <f t="shared" si="2247"/>
        <v/>
      </c>
      <c r="CM637" s="1112" t="str">
        <f t="shared" si="2247"/>
        <v/>
      </c>
      <c r="CN637" s="1111" t="str">
        <f t="shared" si="2248"/>
        <v/>
      </c>
      <c r="CO637" s="1111" t="str">
        <f t="shared" si="2248"/>
        <v/>
      </c>
      <c r="CP637" s="1111" t="str">
        <f t="shared" si="2248"/>
        <v/>
      </c>
      <c r="CQ637" s="1111" t="str">
        <f t="shared" si="2248"/>
        <v/>
      </c>
      <c r="CR637" s="1111" t="str">
        <f t="shared" si="2248"/>
        <v/>
      </c>
      <c r="CS637" s="1110" t="str">
        <f t="shared" si="2248"/>
        <v/>
      </c>
      <c r="CT637" s="1113" t="str">
        <f t="shared" si="2248"/>
        <v/>
      </c>
      <c r="CU637" s="324" t="str">
        <f t="shared" si="2249"/>
        <v/>
      </c>
      <c r="CV637" s="325" t="str">
        <f t="shared" si="2250"/>
        <v/>
      </c>
      <c r="CW637" s="326" t="str">
        <f t="shared" si="2251"/>
        <v/>
      </c>
      <c r="CX637" s="326" t="str">
        <f t="shared" si="2252"/>
        <v/>
      </c>
      <c r="CY637" s="326" t="str">
        <f t="shared" si="2253"/>
        <v/>
      </c>
      <c r="CZ637" s="326" t="str">
        <f t="shared" si="2254"/>
        <v/>
      </c>
      <c r="DA637" s="326" t="str">
        <f t="shared" si="2255"/>
        <v/>
      </c>
      <c r="DB637" s="327" t="str">
        <f t="shared" si="2256"/>
        <v/>
      </c>
      <c r="DC637" s="327" t="str">
        <f t="shared" si="2257"/>
        <v/>
      </c>
      <c r="DD637" s="327" t="str">
        <f t="shared" si="2258"/>
        <v/>
      </c>
      <c r="DE637" s="326" t="str">
        <f t="shared" si="2259"/>
        <v/>
      </c>
      <c r="DF637" s="326" t="str">
        <f t="shared" si="2260"/>
        <v/>
      </c>
      <c r="DG637" s="326" t="str">
        <f t="shared" si="2261"/>
        <v/>
      </c>
      <c r="DH637" s="326" t="str">
        <f t="shared" si="2262"/>
        <v/>
      </c>
      <c r="DI637" s="326" t="str">
        <f t="shared" si="2263"/>
        <v/>
      </c>
      <c r="DJ637" s="325" t="str">
        <f t="shared" si="2264"/>
        <v/>
      </c>
      <c r="DK637" s="324" t="str">
        <f t="shared" si="2265"/>
        <v/>
      </c>
      <c r="DL637" s="428">
        <f t="shared" si="2266"/>
        <v>0</v>
      </c>
      <c r="DM637" s="66">
        <f t="shared" si="2267"/>
        <v>0</v>
      </c>
      <c r="DN637" s="66">
        <f t="shared" si="2268"/>
        <v>0</v>
      </c>
      <c r="DO637" s="66">
        <f t="shared" si="2269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243"/>
        <v/>
      </c>
      <c r="CA638" s="373" t="str">
        <f t="shared" si="2244"/>
        <v/>
      </c>
      <c r="CB638" s="373" t="str">
        <f t="shared" si="2245"/>
        <v/>
      </c>
      <c r="CC638" s="462" t="str">
        <f t="shared" si="2246"/>
        <v/>
      </c>
      <c r="CD638" s="1109" t="str">
        <f t="shared" si="2247"/>
        <v/>
      </c>
      <c r="CE638" s="1110" t="str">
        <f t="shared" si="2247"/>
        <v/>
      </c>
      <c r="CF638" s="1111" t="str">
        <f t="shared" si="2247"/>
        <v/>
      </c>
      <c r="CG638" s="1111" t="str">
        <f t="shared" si="2247"/>
        <v/>
      </c>
      <c r="CH638" s="1111" t="str">
        <f t="shared" si="2247"/>
        <v/>
      </c>
      <c r="CI638" s="1111" t="str">
        <f t="shared" si="2247"/>
        <v/>
      </c>
      <c r="CJ638" s="1111" t="str">
        <f t="shared" si="2247"/>
        <v/>
      </c>
      <c r="CK638" s="1112" t="str">
        <f t="shared" si="2247"/>
        <v/>
      </c>
      <c r="CL638" s="1112" t="str">
        <f t="shared" si="2247"/>
        <v/>
      </c>
      <c r="CM638" s="1112" t="str">
        <f t="shared" si="2247"/>
        <v/>
      </c>
      <c r="CN638" s="1111" t="str">
        <f t="shared" si="2248"/>
        <v/>
      </c>
      <c r="CO638" s="1111" t="str">
        <f t="shared" si="2248"/>
        <v/>
      </c>
      <c r="CP638" s="1111" t="str">
        <f t="shared" si="2248"/>
        <v/>
      </c>
      <c r="CQ638" s="1111" t="str">
        <f t="shared" si="2248"/>
        <v/>
      </c>
      <c r="CR638" s="1111" t="str">
        <f t="shared" si="2248"/>
        <v/>
      </c>
      <c r="CS638" s="1110" t="str">
        <f t="shared" si="2248"/>
        <v/>
      </c>
      <c r="CT638" s="1113" t="str">
        <f t="shared" si="2248"/>
        <v/>
      </c>
      <c r="CU638" s="324" t="str">
        <f t="shared" si="2249"/>
        <v/>
      </c>
      <c r="CV638" s="325" t="str">
        <f t="shared" si="2250"/>
        <v/>
      </c>
      <c r="CW638" s="326" t="str">
        <f t="shared" si="2251"/>
        <v/>
      </c>
      <c r="CX638" s="326" t="str">
        <f t="shared" si="2252"/>
        <v/>
      </c>
      <c r="CY638" s="326" t="str">
        <f t="shared" si="2253"/>
        <v/>
      </c>
      <c r="CZ638" s="326" t="str">
        <f t="shared" si="2254"/>
        <v/>
      </c>
      <c r="DA638" s="326" t="str">
        <f t="shared" si="2255"/>
        <v/>
      </c>
      <c r="DB638" s="327" t="str">
        <f t="shared" si="2256"/>
        <v/>
      </c>
      <c r="DC638" s="327" t="str">
        <f t="shared" si="2257"/>
        <v/>
      </c>
      <c r="DD638" s="327" t="str">
        <f t="shared" si="2258"/>
        <v/>
      </c>
      <c r="DE638" s="326" t="str">
        <f t="shared" si="2259"/>
        <v/>
      </c>
      <c r="DF638" s="326" t="str">
        <f t="shared" si="2260"/>
        <v/>
      </c>
      <c r="DG638" s="326" t="str">
        <f t="shared" si="2261"/>
        <v/>
      </c>
      <c r="DH638" s="326" t="str">
        <f t="shared" si="2262"/>
        <v/>
      </c>
      <c r="DI638" s="326" t="str">
        <f t="shared" si="2263"/>
        <v/>
      </c>
      <c r="DJ638" s="325" t="str">
        <f t="shared" si="2264"/>
        <v/>
      </c>
      <c r="DK638" s="324" t="str">
        <f t="shared" si="2265"/>
        <v/>
      </c>
      <c r="DL638" s="428">
        <f t="shared" si="2266"/>
        <v>0</v>
      </c>
      <c r="DM638" s="66">
        <f t="shared" si="2267"/>
        <v>0</v>
      </c>
      <c r="DN638" s="66">
        <f t="shared" si="2268"/>
        <v>0</v>
      </c>
      <c r="DO638" s="66">
        <f t="shared" si="2269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243"/>
        <v>9.5421808645180183E-4</v>
      </c>
      <c r="CA639" s="398">
        <f t="shared" si="2244"/>
        <v>2.2661181889585571E-4</v>
      </c>
      <c r="CB639" s="398">
        <f t="shared" si="2245"/>
        <v>8.3519186836212272E-3</v>
      </c>
      <c r="CC639" s="465">
        <f t="shared" si="2246"/>
        <v>3.0576043890050038E-2</v>
      </c>
      <c r="CD639" s="1114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5" t="str">
        <f t="shared" ref="CE639:CT639" si="22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6" t="str">
        <f t="shared" si="2270"/>
        <v/>
      </c>
      <c r="CG639" s="1116" t="str">
        <f t="shared" si="2270"/>
        <v/>
      </c>
      <c r="CH639" s="1116">
        <f t="shared" si="2270"/>
        <v>0</v>
      </c>
      <c r="CI639" s="1116">
        <f t="shared" si="2270"/>
        <v>0</v>
      </c>
      <c r="CJ639" s="1116">
        <f t="shared" si="2270"/>
        <v>0</v>
      </c>
      <c r="CK639" s="1117">
        <f t="shared" si="2270"/>
        <v>0</v>
      </c>
      <c r="CL639" s="1117">
        <f t="shared" si="2270"/>
        <v>0</v>
      </c>
      <c r="CM639" s="1117">
        <f t="shared" si="2270"/>
        <v>1.6177429876060012E-3</v>
      </c>
      <c r="CN639" s="1116">
        <f t="shared" si="2270"/>
        <v>2.0799552697791444E-3</v>
      </c>
      <c r="CO639" s="1116">
        <f t="shared" si="2270"/>
        <v>2.9818283477774672E-3</v>
      </c>
      <c r="CP639" s="1116">
        <f t="shared" si="2270"/>
        <v>1.5884148727984347E-2</v>
      </c>
      <c r="CQ639" s="1116" t="str">
        <f t="shared" si="2270"/>
        <v/>
      </c>
      <c r="CR639" s="1116" t="str">
        <f t="shared" si="2270"/>
        <v/>
      </c>
      <c r="CS639" s="1115" t="str">
        <f t="shared" si="2270"/>
        <v/>
      </c>
      <c r="CT639" s="1118" t="str">
        <f t="shared" si="2270"/>
        <v/>
      </c>
      <c r="CU639" s="312" t="str">
        <f t="shared" si="2249"/>
        <v/>
      </c>
      <c r="CV639" s="313" t="str">
        <f t="shared" si="2250"/>
        <v/>
      </c>
      <c r="CW639" s="314" t="str">
        <f t="shared" si="2251"/>
        <v/>
      </c>
      <c r="CX639" s="314" t="str">
        <f t="shared" si="2252"/>
        <v/>
      </c>
      <c r="CY639" s="314">
        <f t="shared" si="2253"/>
        <v>0</v>
      </c>
      <c r="CZ639" s="314">
        <f t="shared" si="2254"/>
        <v>0</v>
      </c>
      <c r="DA639" s="314">
        <f t="shared" si="2255"/>
        <v>0</v>
      </c>
      <c r="DB639" s="315">
        <f t="shared" si="2256"/>
        <v>0</v>
      </c>
      <c r="DC639" s="315">
        <f t="shared" si="2257"/>
        <v>0</v>
      </c>
      <c r="DD639" s="315">
        <f t="shared" si="2258"/>
        <v>0</v>
      </c>
      <c r="DE639" s="314">
        <f t="shared" si="2259"/>
        <v>5.4049016867020782E-4</v>
      </c>
      <c r="DF639" s="314">
        <f t="shared" si="2260"/>
        <v>1.0457925636007828E-3</v>
      </c>
      <c r="DG639" s="314">
        <f t="shared" si="2261"/>
        <v>1.0227005870841488E-2</v>
      </c>
      <c r="DH639" s="314" t="str">
        <f t="shared" si="2262"/>
        <v/>
      </c>
      <c r="DI639" s="314" t="str">
        <f t="shared" si="2263"/>
        <v/>
      </c>
      <c r="DJ639" s="313" t="str">
        <f t="shared" si="2264"/>
        <v/>
      </c>
      <c r="DK639" s="312" t="str">
        <f t="shared" si="2265"/>
        <v/>
      </c>
      <c r="DL639" s="428">
        <f t="shared" si="2266"/>
        <v>9</v>
      </c>
      <c r="DM639" s="66">
        <f t="shared" si="2267"/>
        <v>9</v>
      </c>
      <c r="DN639" s="66">
        <f t="shared" si="2268"/>
        <v>9</v>
      </c>
      <c r="DO639" s="66">
        <f t="shared" si="2269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243"/>
        <v/>
      </c>
      <c r="CA640" s="373" t="str">
        <f t="shared" si="2244"/>
        <v/>
      </c>
      <c r="CB640" s="373" t="str">
        <f t="shared" si="2245"/>
        <v/>
      </c>
      <c r="CC640" s="462" t="str">
        <f t="shared" si="2246"/>
        <v/>
      </c>
      <c r="CD640" s="1109" t="str">
        <f t="shared" ref="CD640:CT640" si="22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0" t="str">
        <f t="shared" si="2271"/>
        <v/>
      </c>
      <c r="CF640" s="1111" t="str">
        <f t="shared" si="2271"/>
        <v/>
      </c>
      <c r="CG640" s="1111" t="str">
        <f t="shared" si="2271"/>
        <v/>
      </c>
      <c r="CH640" s="1111" t="str">
        <f t="shared" si="2271"/>
        <v/>
      </c>
      <c r="CI640" s="1111" t="str">
        <f t="shared" si="2271"/>
        <v/>
      </c>
      <c r="CJ640" s="1111" t="str">
        <f t="shared" si="2271"/>
        <v/>
      </c>
      <c r="CK640" s="1112" t="str">
        <f t="shared" si="2271"/>
        <v/>
      </c>
      <c r="CL640" s="1112" t="str">
        <f t="shared" si="2271"/>
        <v/>
      </c>
      <c r="CM640" s="1112" t="str">
        <f t="shared" si="2271"/>
        <v/>
      </c>
      <c r="CN640" s="1111" t="str">
        <f t="shared" si="2271"/>
        <v/>
      </c>
      <c r="CO640" s="1111" t="str">
        <f t="shared" si="2271"/>
        <v/>
      </c>
      <c r="CP640" s="1111" t="str">
        <f t="shared" si="2271"/>
        <v/>
      </c>
      <c r="CQ640" s="1111" t="str">
        <f t="shared" si="2271"/>
        <v/>
      </c>
      <c r="CR640" s="1111" t="str">
        <f t="shared" si="2271"/>
        <v/>
      </c>
      <c r="CS640" s="1110" t="str">
        <f t="shared" si="2271"/>
        <v/>
      </c>
      <c r="CT640" s="1113" t="str">
        <f t="shared" si="2271"/>
        <v/>
      </c>
      <c r="CU640" s="324" t="str">
        <f t="shared" si="2249"/>
        <v/>
      </c>
      <c r="CV640" s="325" t="str">
        <f t="shared" si="2250"/>
        <v/>
      </c>
      <c r="CW640" s="326" t="str">
        <f t="shared" si="2251"/>
        <v/>
      </c>
      <c r="CX640" s="326" t="str">
        <f t="shared" si="2252"/>
        <v/>
      </c>
      <c r="CY640" s="326" t="str">
        <f t="shared" si="2253"/>
        <v/>
      </c>
      <c r="CZ640" s="326" t="str">
        <f t="shared" si="2254"/>
        <v/>
      </c>
      <c r="DA640" s="326" t="str">
        <f t="shared" si="2255"/>
        <v/>
      </c>
      <c r="DB640" s="327" t="str">
        <f t="shared" si="2256"/>
        <v/>
      </c>
      <c r="DC640" s="327" t="str">
        <f t="shared" si="2257"/>
        <v/>
      </c>
      <c r="DD640" s="327" t="str">
        <f t="shared" si="2258"/>
        <v/>
      </c>
      <c r="DE640" s="326" t="str">
        <f t="shared" si="2259"/>
        <v/>
      </c>
      <c r="DF640" s="326" t="str">
        <f t="shared" si="2260"/>
        <v/>
      </c>
      <c r="DG640" s="326" t="str">
        <f t="shared" si="2261"/>
        <v/>
      </c>
      <c r="DH640" s="326" t="str">
        <f t="shared" si="2262"/>
        <v/>
      </c>
      <c r="DI640" s="326" t="str">
        <f t="shared" si="2263"/>
        <v/>
      </c>
      <c r="DJ640" s="325" t="str">
        <f t="shared" si="2264"/>
        <v/>
      </c>
      <c r="DK640" s="324" t="str">
        <f t="shared" si="2265"/>
        <v/>
      </c>
      <c r="DL640" s="428">
        <f t="shared" si="2266"/>
        <v>0</v>
      </c>
      <c r="DM640" s="66">
        <f t="shared" si="2267"/>
        <v>0</v>
      </c>
      <c r="DN640" s="66">
        <f t="shared" si="2268"/>
        <v>0</v>
      </c>
      <c r="DO640" s="66">
        <f t="shared" si="2269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243"/>
        <v>18.142857142857142</v>
      </c>
      <c r="CA641" s="373">
        <f t="shared" si="2244"/>
        <v>35.714285714285715</v>
      </c>
      <c r="CB641" s="373">
        <f t="shared" si="2245"/>
        <v>298.64285714285717</v>
      </c>
      <c r="CC641" s="462">
        <f t="shared" si="2246"/>
        <v>398.71428571428572</v>
      </c>
      <c r="CD641" s="1109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0" t="str">
        <f t="shared" ref="CE641:CT641" si="22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1" t="str">
        <f t="shared" si="2272"/>
        <v/>
      </c>
      <c r="CG641" s="1111" t="str">
        <f t="shared" si="2272"/>
        <v/>
      </c>
      <c r="CH641" s="1111">
        <f t="shared" si="2272"/>
        <v>0</v>
      </c>
      <c r="CI641" s="1111">
        <f t="shared" si="2272"/>
        <v>0</v>
      </c>
      <c r="CJ641" s="1111">
        <f t="shared" si="2272"/>
        <v>0</v>
      </c>
      <c r="CK641" s="1112">
        <f t="shared" si="2272"/>
        <v>0</v>
      </c>
      <c r="CL641" s="1112">
        <f t="shared" si="2272"/>
        <v>0</v>
      </c>
      <c r="CM641" s="1112">
        <f t="shared" si="2272"/>
        <v>12</v>
      </c>
      <c r="CN641" s="1111">
        <f t="shared" si="2272"/>
        <v>40</v>
      </c>
      <c r="CO641" s="1111">
        <f t="shared" si="2272"/>
        <v>75</v>
      </c>
      <c r="CP641" s="1111">
        <f t="shared" si="2272"/>
        <v>132</v>
      </c>
      <c r="CQ641" s="1111" t="str">
        <f t="shared" si="2272"/>
        <v/>
      </c>
      <c r="CR641" s="1111" t="str">
        <f t="shared" si="2272"/>
        <v/>
      </c>
      <c r="CS641" s="1110" t="str">
        <f t="shared" si="2272"/>
        <v/>
      </c>
      <c r="CT641" s="1113" t="str">
        <f t="shared" si="2272"/>
        <v/>
      </c>
      <c r="CU641" s="324" t="str">
        <f t="shared" si="2249"/>
        <v/>
      </c>
      <c r="CV641" s="325" t="str">
        <f t="shared" si="2250"/>
        <v/>
      </c>
      <c r="CW641" s="326" t="str">
        <f t="shared" si="2251"/>
        <v/>
      </c>
      <c r="CX641" s="326" t="str">
        <f t="shared" si="2252"/>
        <v/>
      </c>
      <c r="CY641" s="326">
        <f t="shared" si="2253"/>
        <v>0</v>
      </c>
      <c r="CZ641" s="326">
        <f t="shared" si="2254"/>
        <v>0</v>
      </c>
      <c r="DA641" s="326">
        <f t="shared" si="2255"/>
        <v>0</v>
      </c>
      <c r="DB641" s="327">
        <f t="shared" si="2256"/>
        <v>0</v>
      </c>
      <c r="DC641" s="327">
        <f t="shared" si="2257"/>
        <v>0</v>
      </c>
      <c r="DD641" s="327">
        <f t="shared" si="2258"/>
        <v>0</v>
      </c>
      <c r="DE641" s="326">
        <f t="shared" si="2259"/>
        <v>20</v>
      </c>
      <c r="DF641" s="326">
        <f t="shared" si="2260"/>
        <v>230</v>
      </c>
      <c r="DG641" s="326">
        <f t="shared" si="2261"/>
        <v>278</v>
      </c>
      <c r="DH641" s="326" t="str">
        <f t="shared" si="2262"/>
        <v/>
      </c>
      <c r="DI641" s="326" t="str">
        <f t="shared" si="2263"/>
        <v/>
      </c>
      <c r="DJ641" s="325" t="str">
        <f t="shared" si="2264"/>
        <v/>
      </c>
      <c r="DK641" s="324" t="str">
        <f t="shared" si="2265"/>
        <v/>
      </c>
      <c r="DL641" s="428">
        <f t="shared" si="2266"/>
        <v>9</v>
      </c>
      <c r="DM641" s="66">
        <f t="shared" si="2267"/>
        <v>9</v>
      </c>
      <c r="DN641" s="66">
        <f t="shared" si="2268"/>
        <v>9</v>
      </c>
      <c r="DO641" s="66">
        <f t="shared" si="2269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243"/>
        <v/>
      </c>
      <c r="CA642" s="365" t="str">
        <f t="shared" si="2244"/>
        <v/>
      </c>
      <c r="CB642" s="365" t="str">
        <f t="shared" si="2245"/>
        <v/>
      </c>
      <c r="CC642" s="461" t="str">
        <f t="shared" si="2246"/>
        <v/>
      </c>
      <c r="CD642" s="1120"/>
      <c r="CE642" s="1120"/>
      <c r="CF642" s="1120"/>
      <c r="CG642" s="1120"/>
      <c r="CH642" s="1120"/>
      <c r="CI642" s="1120"/>
      <c r="CJ642" s="1120"/>
      <c r="CK642" s="1120"/>
      <c r="CL642" s="1120"/>
      <c r="CM642" s="1120"/>
      <c r="CN642" s="1120"/>
      <c r="CO642" s="1120"/>
      <c r="CP642" s="1120"/>
      <c r="CQ642" s="1120"/>
      <c r="CR642" s="1120"/>
      <c r="CS642" s="1120"/>
      <c r="CT642" s="1121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0"/>
      <c r="CE643" s="1120"/>
      <c r="CF643" s="1120"/>
      <c r="CG643" s="1120"/>
      <c r="CH643" s="1120"/>
      <c r="CI643" s="1120"/>
      <c r="CJ643" s="1120"/>
      <c r="CK643" s="1120"/>
      <c r="CL643" s="1120"/>
      <c r="CM643" s="1120"/>
      <c r="CN643" s="1120"/>
      <c r="CO643" s="1120"/>
      <c r="CP643" s="1120"/>
      <c r="CQ643" s="1120"/>
      <c r="CR643" s="1120"/>
      <c r="CS643" s="1120"/>
      <c r="CT643" s="1121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9" t="str">
        <f t="shared" ref="CD644:CS644" si="22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0" t="str">
        <f t="shared" si="2273"/>
        <v/>
      </c>
      <c r="CF644" s="1111" t="str">
        <f t="shared" si="2273"/>
        <v/>
      </c>
      <c r="CG644" s="1111" t="str">
        <f t="shared" si="2273"/>
        <v/>
      </c>
      <c r="CH644" s="1111">
        <f t="shared" si="2273"/>
        <v>1</v>
      </c>
      <c r="CI644" s="1111">
        <f t="shared" si="2273"/>
        <v>1</v>
      </c>
      <c r="CJ644" s="1111">
        <f t="shared" si="2273"/>
        <v>2</v>
      </c>
      <c r="CK644" s="1112">
        <f t="shared" si="2273"/>
        <v>2</v>
      </c>
      <c r="CL644" s="1112">
        <f t="shared" si="2273"/>
        <v>2</v>
      </c>
      <c r="CM644" s="1112">
        <f t="shared" si="2273"/>
        <v>2</v>
      </c>
      <c r="CN644" s="1111">
        <f t="shared" si="2273"/>
        <v>3</v>
      </c>
      <c r="CO644" s="1111">
        <f t="shared" si="2273"/>
        <v>3</v>
      </c>
      <c r="CP644" s="1111">
        <f t="shared" si="2273"/>
        <v>5</v>
      </c>
      <c r="CQ644" s="1111" t="str">
        <f t="shared" si="2273"/>
        <v/>
      </c>
      <c r="CR644" s="1111" t="str">
        <f t="shared" si="2273"/>
        <v/>
      </c>
      <c r="CS644" s="1110" t="str">
        <f t="shared" si="2273"/>
        <v/>
      </c>
      <c r="CT644" s="1113" t="str">
        <f t="shared" ref="CE644:CT648" si="22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2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275"/>
        <v/>
      </c>
      <c r="CW644" s="326" t="str">
        <f t="shared" si="2275"/>
        <v/>
      </c>
      <c r="CX644" s="326" t="str">
        <f t="shared" si="2275"/>
        <v/>
      </c>
      <c r="CY644" s="326">
        <f t="shared" si="2275"/>
        <v>1</v>
      </c>
      <c r="CZ644" s="326">
        <f t="shared" si="2275"/>
        <v>1</v>
      </c>
      <c r="DA644" s="326">
        <f t="shared" si="2275"/>
        <v>2</v>
      </c>
      <c r="DB644" s="327">
        <f t="shared" si="2275"/>
        <v>2</v>
      </c>
      <c r="DC644" s="327">
        <f t="shared" si="2275"/>
        <v>3</v>
      </c>
      <c r="DD644" s="327">
        <f t="shared" si="2275"/>
        <v>3</v>
      </c>
      <c r="DE644" s="326">
        <f t="shared" ref="DE644:DK648" si="22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276"/>
        <v>4</v>
      </c>
      <c r="DG644" s="326">
        <f t="shared" si="2276"/>
        <v>4</v>
      </c>
      <c r="DH644" s="326" t="str">
        <f t="shared" si="2276"/>
        <v/>
      </c>
      <c r="DI644" s="326" t="str">
        <f t="shared" si="2276"/>
        <v/>
      </c>
      <c r="DJ644" s="325" t="str">
        <f t="shared" si="2276"/>
        <v/>
      </c>
      <c r="DK644" s="324" t="str">
        <f t="shared" si="2276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274"/>
        <v/>
      </c>
      <c r="CF645" s="1111" t="str">
        <f t="shared" si="2274"/>
        <v/>
      </c>
      <c r="CG645" s="1111" t="str">
        <f t="shared" si="2274"/>
        <v/>
      </c>
      <c r="CH645" s="1111">
        <f t="shared" si="2274"/>
        <v>2</v>
      </c>
      <c r="CI645" s="1111">
        <f t="shared" si="2274"/>
        <v>2</v>
      </c>
      <c r="CJ645" s="1111">
        <f t="shared" si="2274"/>
        <v>3</v>
      </c>
      <c r="CK645" s="1112">
        <f t="shared" si="2274"/>
        <v>4</v>
      </c>
      <c r="CL645" s="1112">
        <f t="shared" si="2274"/>
        <v>4</v>
      </c>
      <c r="CM645" s="1112">
        <f t="shared" si="2274"/>
        <v>4</v>
      </c>
      <c r="CN645" s="1111">
        <f t="shared" si="2274"/>
        <v>4</v>
      </c>
      <c r="CO645" s="1111">
        <f t="shared" si="2274"/>
        <v>5</v>
      </c>
      <c r="CP645" s="1111">
        <f t="shared" si="2274"/>
        <v>20</v>
      </c>
      <c r="CQ645" s="1111" t="str">
        <f t="shared" si="2274"/>
        <v/>
      </c>
      <c r="CR645" s="1111" t="str">
        <f t="shared" si="2274"/>
        <v/>
      </c>
      <c r="CS645" s="1110" t="str">
        <f t="shared" si="2274"/>
        <v/>
      </c>
      <c r="CT645" s="1113" t="str">
        <f t="shared" si="2274"/>
        <v/>
      </c>
      <c r="CU645" s="324" t="str">
        <f t="shared" si="2275"/>
        <v/>
      </c>
      <c r="CV645" s="325" t="str">
        <f t="shared" si="2275"/>
        <v/>
      </c>
      <c r="CW645" s="326" t="str">
        <f t="shared" si="2275"/>
        <v/>
      </c>
      <c r="CX645" s="326" t="str">
        <f t="shared" si="2275"/>
        <v/>
      </c>
      <c r="CY645" s="326">
        <f t="shared" si="2275"/>
        <v>1</v>
      </c>
      <c r="CZ645" s="326">
        <f t="shared" si="2275"/>
        <v>2</v>
      </c>
      <c r="DA645" s="326">
        <f t="shared" si="2275"/>
        <v>2</v>
      </c>
      <c r="DB645" s="327">
        <f t="shared" si="2275"/>
        <v>2</v>
      </c>
      <c r="DC645" s="327">
        <f t="shared" si="2275"/>
        <v>3</v>
      </c>
      <c r="DD645" s="327">
        <f t="shared" si="2275"/>
        <v>3</v>
      </c>
      <c r="DE645" s="326">
        <f t="shared" si="2276"/>
        <v>5</v>
      </c>
      <c r="DF645" s="326">
        <f t="shared" si="2276"/>
        <v>8</v>
      </c>
      <c r="DG645" s="326">
        <f t="shared" si="2276"/>
        <v>12</v>
      </c>
      <c r="DH645" s="326" t="str">
        <f t="shared" si="2276"/>
        <v/>
      </c>
      <c r="DI645" s="326" t="str">
        <f t="shared" si="2276"/>
        <v/>
      </c>
      <c r="DJ645" s="325" t="str">
        <f t="shared" si="2276"/>
        <v/>
      </c>
      <c r="DK645" s="324" t="str">
        <f t="shared" si="2276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si="2274"/>
        <v/>
      </c>
      <c r="CF646" s="1111" t="str">
        <f t="shared" si="2274"/>
        <v/>
      </c>
      <c r="CG646" s="1111" t="str">
        <f t="shared" si="2274"/>
        <v/>
      </c>
      <c r="CH646" s="1111">
        <f t="shared" si="2274"/>
        <v>1</v>
      </c>
      <c r="CI646" s="1111">
        <f t="shared" si="2274"/>
        <v>2</v>
      </c>
      <c r="CJ646" s="1111">
        <f t="shared" si="2274"/>
        <v>2</v>
      </c>
      <c r="CK646" s="1112">
        <f t="shared" si="2274"/>
        <v>3</v>
      </c>
      <c r="CL646" s="1112">
        <f t="shared" si="2274"/>
        <v>3</v>
      </c>
      <c r="CM646" s="1112">
        <f t="shared" si="2274"/>
        <v>3</v>
      </c>
      <c r="CN646" s="1111">
        <f t="shared" si="2274"/>
        <v>3</v>
      </c>
      <c r="CO646" s="1111">
        <f t="shared" si="2274"/>
        <v>4</v>
      </c>
      <c r="CP646" s="1111">
        <f t="shared" si="2274"/>
        <v>4</v>
      </c>
      <c r="CQ646" s="1111" t="str">
        <f t="shared" si="2274"/>
        <v/>
      </c>
      <c r="CR646" s="1111" t="str">
        <f t="shared" si="2274"/>
        <v/>
      </c>
      <c r="CS646" s="1110" t="str">
        <f t="shared" si="2274"/>
        <v/>
      </c>
      <c r="CT646" s="1113" t="str">
        <f t="shared" si="2274"/>
        <v/>
      </c>
      <c r="CU646" s="324" t="str">
        <f t="shared" si="2275"/>
        <v/>
      </c>
      <c r="CV646" s="325" t="str">
        <f t="shared" si="2275"/>
        <v/>
      </c>
      <c r="CW646" s="326" t="str">
        <f t="shared" si="2275"/>
        <v/>
      </c>
      <c r="CX646" s="326" t="str">
        <f t="shared" si="2275"/>
        <v/>
      </c>
      <c r="CY646" s="326">
        <f t="shared" si="2275"/>
        <v>1</v>
      </c>
      <c r="CZ646" s="326">
        <f t="shared" si="2275"/>
        <v>2</v>
      </c>
      <c r="DA646" s="326">
        <f t="shared" si="2275"/>
        <v>2</v>
      </c>
      <c r="DB646" s="327">
        <f t="shared" si="2275"/>
        <v>2</v>
      </c>
      <c r="DC646" s="327">
        <f t="shared" si="2275"/>
        <v>2</v>
      </c>
      <c r="DD646" s="327">
        <f t="shared" si="2275"/>
        <v>3</v>
      </c>
      <c r="DE646" s="326">
        <f t="shared" si="2276"/>
        <v>3</v>
      </c>
      <c r="DF646" s="326">
        <f t="shared" si="2276"/>
        <v>3</v>
      </c>
      <c r="DG646" s="326">
        <f t="shared" si="2276"/>
        <v>4</v>
      </c>
      <c r="DH646" s="326" t="str">
        <f t="shared" si="2276"/>
        <v/>
      </c>
      <c r="DI646" s="326" t="str">
        <f t="shared" si="2276"/>
        <v/>
      </c>
      <c r="DJ646" s="325" t="str">
        <f t="shared" si="2276"/>
        <v/>
      </c>
      <c r="DK646" s="324" t="str">
        <f t="shared" si="2276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274"/>
        <v/>
      </c>
      <c r="CF647" s="1111" t="str">
        <f t="shared" si="2274"/>
        <v/>
      </c>
      <c r="CG647" s="1111" t="str">
        <f t="shared" si="2274"/>
        <v/>
      </c>
      <c r="CH647" s="1111">
        <f t="shared" si="2274"/>
        <v>5</v>
      </c>
      <c r="CI647" s="1111">
        <f t="shared" si="2274"/>
        <v>5</v>
      </c>
      <c r="CJ647" s="1111">
        <f t="shared" si="2274"/>
        <v>5</v>
      </c>
      <c r="CK647" s="1112">
        <f t="shared" si="2274"/>
        <v>5</v>
      </c>
      <c r="CL647" s="1112">
        <f t="shared" si="2274"/>
        <v>5</v>
      </c>
      <c r="CM647" s="1112">
        <f t="shared" si="2274"/>
        <v>20</v>
      </c>
      <c r="CN647" s="1111">
        <f t="shared" si="2274"/>
        <v>20</v>
      </c>
      <c r="CO647" s="1111">
        <f t="shared" si="2274"/>
        <v>20</v>
      </c>
      <c r="CP647" s="1111">
        <f t="shared" si="2274"/>
        <v>20</v>
      </c>
      <c r="CQ647" s="1111" t="str">
        <f t="shared" si="2274"/>
        <v/>
      </c>
      <c r="CR647" s="1111" t="str">
        <f t="shared" si="2274"/>
        <v/>
      </c>
      <c r="CS647" s="1110" t="str">
        <f t="shared" si="2274"/>
        <v/>
      </c>
      <c r="CT647" s="1113" t="str">
        <f t="shared" si="2274"/>
        <v/>
      </c>
      <c r="CU647" s="324" t="str">
        <f t="shared" si="2275"/>
        <v/>
      </c>
      <c r="CV647" s="325" t="str">
        <f t="shared" si="2275"/>
        <v/>
      </c>
      <c r="CW647" s="326" t="str">
        <f t="shared" si="2275"/>
        <v/>
      </c>
      <c r="CX647" s="326" t="str">
        <f t="shared" si="2275"/>
        <v/>
      </c>
      <c r="CY647" s="326">
        <f t="shared" si="2275"/>
        <v>5</v>
      </c>
      <c r="CZ647" s="326">
        <f t="shared" si="2275"/>
        <v>5</v>
      </c>
      <c r="DA647" s="326">
        <f t="shared" si="2275"/>
        <v>10</v>
      </c>
      <c r="DB647" s="327">
        <f t="shared" si="2275"/>
        <v>20</v>
      </c>
      <c r="DC647" s="327">
        <f t="shared" si="2275"/>
        <v>20</v>
      </c>
      <c r="DD647" s="327">
        <f t="shared" si="2275"/>
        <v>40</v>
      </c>
      <c r="DE647" s="326">
        <f t="shared" si="2276"/>
        <v>50</v>
      </c>
      <c r="DF647" s="326">
        <f t="shared" si="2276"/>
        <v>50</v>
      </c>
      <c r="DG647" s="326">
        <f t="shared" si="2276"/>
        <v>80</v>
      </c>
      <c r="DH647" s="326" t="str">
        <f t="shared" si="2276"/>
        <v/>
      </c>
      <c r="DI647" s="326" t="str">
        <f t="shared" si="2276"/>
        <v/>
      </c>
      <c r="DJ647" s="325" t="str">
        <f t="shared" si="2276"/>
        <v/>
      </c>
      <c r="DK647" s="324" t="str">
        <f t="shared" si="2276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277">IF(B645="","",((B644*B645*B646*B647)*3630*$K$1)/B$46/365/$G$1)</f>
        <v>9.4716242661448138E-2</v>
      </c>
      <c r="C648" s="408">
        <f t="shared" si="2277"/>
        <v>0.12177802627900476</v>
      </c>
      <c r="D648" s="408">
        <f t="shared" si="2277"/>
        <v>0.12628832354859754</v>
      </c>
      <c r="E648" s="408">
        <f t="shared" si="2277"/>
        <v>0.12628832354859754</v>
      </c>
      <c r="F648" s="408">
        <f t="shared" si="2277"/>
        <v>9.4716242661448138E-2</v>
      </c>
      <c r="G648" s="408">
        <f t="shared" si="2277"/>
        <v>0.21311154598825832</v>
      </c>
      <c r="H648" s="408">
        <f t="shared" si="2277"/>
        <v>0.23679060665362037</v>
      </c>
      <c r="I648" s="408">
        <f t="shared" si="2277"/>
        <v>0.18943248532289628</v>
      </c>
      <c r="J648" s="408">
        <f t="shared" si="2277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278">IF(T645="","",((T644*T645*T646*T647)*3630*$K$1)/T$46/365/$G$1)</f>
        <v>0.11839530332681018</v>
      </c>
      <c r="U648" s="408">
        <f t="shared" si="2278"/>
        <v>0.10332681017612524</v>
      </c>
      <c r="V648" s="408">
        <f t="shared" si="2278"/>
        <v>0.31572080887149384</v>
      </c>
      <c r="W648" s="408">
        <f t="shared" si="2278"/>
        <v>0.17048923679060665</v>
      </c>
      <c r="X648" s="408">
        <f t="shared" si="2278"/>
        <v>0.21311154598825832</v>
      </c>
      <c r="Y648" s="408">
        <f t="shared" si="2278"/>
        <v>0.20296337713167462</v>
      </c>
      <c r="Z648" s="408">
        <f t="shared" si="2278"/>
        <v>0.37886497064579255</v>
      </c>
      <c r="AA648" s="408">
        <f t="shared" si="2278"/>
        <v>0.3409784735812133</v>
      </c>
      <c r="AB648" s="408">
        <f t="shared" si="2278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279">IF(AL645="","",((AL644*AL645*AL646*AL647)*3630*$K$1)/AL$46/365/$G$1)</f>
        <v>3.4442270058708417E-2</v>
      </c>
      <c r="AM648" s="408" t="str">
        <f t="shared" si="2279"/>
        <v/>
      </c>
      <c r="AN648" s="408">
        <f t="shared" si="2279"/>
        <v>7.1037181996086107E-2</v>
      </c>
      <c r="AO648" s="408">
        <f t="shared" si="2279"/>
        <v>5.327788649706458E-2</v>
      </c>
      <c r="AP648" s="408" t="str">
        <f t="shared" si="2279"/>
        <v/>
      </c>
      <c r="AQ648" s="408" t="str">
        <f t="shared" si="2279"/>
        <v/>
      </c>
      <c r="AR648" s="408" t="str">
        <f t="shared" si="2279"/>
        <v/>
      </c>
      <c r="AS648" s="408" t="str">
        <f t="shared" si="2279"/>
        <v/>
      </c>
      <c r="AT648" s="408" t="str">
        <f t="shared" si="2279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280">IF(BD645="","",((BD644*BD645*BD646*BD647)*3630*$K$1)/BD$46/365/$G$1)</f>
        <v/>
      </c>
      <c r="BE648" s="408" t="str">
        <f t="shared" si="2280"/>
        <v/>
      </c>
      <c r="BF648" s="408" t="str">
        <f t="shared" si="2280"/>
        <v/>
      </c>
      <c r="BG648" s="408" t="str">
        <f t="shared" si="2280"/>
        <v/>
      </c>
      <c r="BH648" s="408" t="str">
        <f t="shared" si="2280"/>
        <v/>
      </c>
      <c r="BI648" s="408" t="str">
        <f t="shared" si="2280"/>
        <v/>
      </c>
      <c r="BJ648" s="408" t="str">
        <f t="shared" si="2280"/>
        <v/>
      </c>
      <c r="BK648" s="408" t="str">
        <f t="shared" si="2280"/>
        <v/>
      </c>
      <c r="BL648" s="408" t="str">
        <f t="shared" si="2280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5" t="str">
        <f t="shared" si="2274"/>
        <v/>
      </c>
      <c r="CF648" s="1116" t="str">
        <f t="shared" si="2274"/>
        <v/>
      </c>
      <c r="CG648" s="1116" t="str">
        <f t="shared" si="2274"/>
        <v/>
      </c>
      <c r="CH648" s="1116">
        <f t="shared" si="2274"/>
        <v>9.4716242661448138E-2</v>
      </c>
      <c r="CI648" s="1116">
        <f t="shared" si="2274"/>
        <v>9.4716242661448138E-2</v>
      </c>
      <c r="CJ648" s="1116">
        <f t="shared" si="2274"/>
        <v>0.12177802627900476</v>
      </c>
      <c r="CK648" s="1117">
        <f t="shared" si="2274"/>
        <v>0.12628832354859754</v>
      </c>
      <c r="CL648" s="1117">
        <f t="shared" si="2274"/>
        <v>0.12628832354859754</v>
      </c>
      <c r="CM648" s="1117">
        <f t="shared" si="2274"/>
        <v>0.13530891808778306</v>
      </c>
      <c r="CN648" s="1116">
        <f t="shared" si="2274"/>
        <v>0.18943248532289628</v>
      </c>
      <c r="CO648" s="1116">
        <f t="shared" si="2274"/>
        <v>0.21311154598825832</v>
      </c>
      <c r="CP648" s="1116">
        <f t="shared" si="2274"/>
        <v>0.23679060665362037</v>
      </c>
      <c r="CQ648" s="1116" t="str">
        <f t="shared" si="2274"/>
        <v/>
      </c>
      <c r="CR648" s="1116" t="str">
        <f t="shared" si="2274"/>
        <v/>
      </c>
      <c r="CS648" s="1115" t="str">
        <f t="shared" si="2274"/>
        <v/>
      </c>
      <c r="CT648" s="1118" t="str">
        <f t="shared" si="2274"/>
        <v/>
      </c>
      <c r="CU648" s="312" t="str">
        <f t="shared" si="2275"/>
        <v/>
      </c>
      <c r="CV648" s="313" t="str">
        <f t="shared" si="2275"/>
        <v/>
      </c>
      <c r="CW648" s="314" t="str">
        <f t="shared" si="2275"/>
        <v/>
      </c>
      <c r="CX648" s="314" t="str">
        <f t="shared" si="2275"/>
        <v/>
      </c>
      <c r="CY648" s="314">
        <f t="shared" si="2275"/>
        <v>0.10332681017612524</v>
      </c>
      <c r="CZ648" s="314">
        <f t="shared" si="2275"/>
        <v>0.10824713447022644</v>
      </c>
      <c r="DA648" s="314">
        <f t="shared" si="2275"/>
        <v>0.11839530332681018</v>
      </c>
      <c r="DB648" s="315">
        <f t="shared" si="2275"/>
        <v>0.17048923679060665</v>
      </c>
      <c r="DC648" s="315">
        <f t="shared" si="2275"/>
        <v>0.20296337713167462</v>
      </c>
      <c r="DD648" s="315">
        <f t="shared" si="2275"/>
        <v>0.21311154598825832</v>
      </c>
      <c r="DE648" s="314">
        <f t="shared" si="2276"/>
        <v>0.31572080887149384</v>
      </c>
      <c r="DF648" s="314">
        <f t="shared" si="2276"/>
        <v>0.3409784735812133</v>
      </c>
      <c r="DG648" s="314">
        <f t="shared" si="2276"/>
        <v>0.37886497064579255</v>
      </c>
      <c r="DH648" s="314" t="str">
        <f t="shared" si="2276"/>
        <v/>
      </c>
      <c r="DI648" s="314" t="str">
        <f t="shared" si="2276"/>
        <v/>
      </c>
      <c r="DJ648" s="313" t="str">
        <f t="shared" si="2276"/>
        <v/>
      </c>
      <c r="DK648" s="312" t="str">
        <f t="shared" si="2276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0"/>
      <c r="CE649" s="1120"/>
      <c r="CF649" s="1120"/>
      <c r="CG649" s="1120"/>
      <c r="CH649" s="1120"/>
      <c r="CI649" s="1120"/>
      <c r="CJ649" s="1120"/>
      <c r="CK649" s="1120"/>
      <c r="CL649" s="1120"/>
      <c r="CM649" s="1120"/>
      <c r="CN649" s="1120"/>
      <c r="CO649" s="1120"/>
      <c r="CP649" s="1120"/>
      <c r="CQ649" s="1120"/>
      <c r="CR649" s="1120"/>
      <c r="CS649" s="1120"/>
      <c r="CT649" s="1121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9" t="str">
        <f t="shared" ref="CD650:CS650" si="22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0" t="str">
        <f t="shared" si="2281"/>
        <v/>
      </c>
      <c r="CF650" s="1111" t="str">
        <f t="shared" si="2281"/>
        <v/>
      </c>
      <c r="CG650" s="1111" t="str">
        <f t="shared" si="2281"/>
        <v/>
      </c>
      <c r="CH650" s="1111">
        <f t="shared" si="2281"/>
        <v>1</v>
      </c>
      <c r="CI650" s="1111">
        <f t="shared" si="2281"/>
        <v>1</v>
      </c>
      <c r="CJ650" s="1111">
        <f t="shared" si="2281"/>
        <v>1</v>
      </c>
      <c r="CK650" s="1112">
        <f t="shared" si="2281"/>
        <v>2</v>
      </c>
      <c r="CL650" s="1112">
        <f t="shared" si="2281"/>
        <v>2</v>
      </c>
      <c r="CM650" s="1112">
        <f t="shared" si="2281"/>
        <v>2</v>
      </c>
      <c r="CN650" s="1111">
        <f t="shared" si="2281"/>
        <v>3</v>
      </c>
      <c r="CO650" s="1111">
        <f t="shared" si="2281"/>
        <v>4</v>
      </c>
      <c r="CP650" s="1111">
        <f t="shared" si="2281"/>
        <v>4</v>
      </c>
      <c r="CQ650" s="1111" t="str">
        <f t="shared" si="2281"/>
        <v/>
      </c>
      <c r="CR650" s="1111" t="str">
        <f t="shared" si="2281"/>
        <v/>
      </c>
      <c r="CS650" s="1110" t="str">
        <f t="shared" si="2281"/>
        <v/>
      </c>
      <c r="CT650" s="1113" t="str">
        <f t="shared" ref="CE650:CT654" si="22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2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283"/>
        <v/>
      </c>
      <c r="CW650" s="326" t="str">
        <f t="shared" si="2283"/>
        <v/>
      </c>
      <c r="CX650" s="326" t="str">
        <f t="shared" si="2283"/>
        <v/>
      </c>
      <c r="CY650" s="326">
        <f t="shared" si="2283"/>
        <v>1</v>
      </c>
      <c r="CZ650" s="326">
        <f t="shared" si="2283"/>
        <v>1</v>
      </c>
      <c r="DA650" s="326">
        <f t="shared" si="2283"/>
        <v>2</v>
      </c>
      <c r="DB650" s="327">
        <f t="shared" si="2283"/>
        <v>3</v>
      </c>
      <c r="DC650" s="327">
        <f t="shared" si="2283"/>
        <v>3</v>
      </c>
      <c r="DD650" s="327">
        <f t="shared" si="2283"/>
        <v>4</v>
      </c>
      <c r="DE650" s="326">
        <f t="shared" ref="DE650:DK654" si="22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284"/>
        <v>4</v>
      </c>
      <c r="DG650" s="326">
        <f t="shared" si="2284"/>
        <v>5</v>
      </c>
      <c r="DH650" s="326" t="str">
        <f t="shared" si="2284"/>
        <v/>
      </c>
      <c r="DI650" s="326" t="str">
        <f t="shared" si="2284"/>
        <v/>
      </c>
      <c r="DJ650" s="325" t="str">
        <f t="shared" si="2284"/>
        <v/>
      </c>
      <c r="DK650" s="324" t="str">
        <f t="shared" si="2284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282"/>
        <v/>
      </c>
      <c r="CF651" s="1111" t="str">
        <f t="shared" si="2282"/>
        <v/>
      </c>
      <c r="CG651" s="1111" t="str">
        <f t="shared" si="2282"/>
        <v/>
      </c>
      <c r="CH651" s="1111">
        <f t="shared" si="2282"/>
        <v>1</v>
      </c>
      <c r="CI651" s="1111">
        <f t="shared" si="2282"/>
        <v>1</v>
      </c>
      <c r="CJ651" s="1111">
        <f t="shared" si="2282"/>
        <v>3</v>
      </c>
      <c r="CK651" s="1112">
        <f t="shared" si="2282"/>
        <v>4</v>
      </c>
      <c r="CL651" s="1112">
        <f t="shared" si="2282"/>
        <v>5</v>
      </c>
      <c r="CM651" s="1112">
        <f t="shared" si="2282"/>
        <v>5</v>
      </c>
      <c r="CN651" s="1111">
        <f t="shared" si="2282"/>
        <v>8</v>
      </c>
      <c r="CO651" s="1111">
        <f t="shared" si="2282"/>
        <v>9</v>
      </c>
      <c r="CP651" s="1111">
        <f t="shared" si="2282"/>
        <v>10</v>
      </c>
      <c r="CQ651" s="1111" t="str">
        <f t="shared" si="2282"/>
        <v/>
      </c>
      <c r="CR651" s="1111" t="str">
        <f t="shared" si="2282"/>
        <v/>
      </c>
      <c r="CS651" s="1110" t="str">
        <f t="shared" si="2282"/>
        <v/>
      </c>
      <c r="CT651" s="1113" t="str">
        <f t="shared" si="2282"/>
        <v/>
      </c>
      <c r="CU651" s="324" t="str">
        <f t="shared" si="2283"/>
        <v/>
      </c>
      <c r="CV651" s="325" t="str">
        <f t="shared" si="2283"/>
        <v/>
      </c>
      <c r="CW651" s="326" t="str">
        <f t="shared" si="2283"/>
        <v/>
      </c>
      <c r="CX651" s="326" t="str">
        <f t="shared" si="2283"/>
        <v/>
      </c>
      <c r="CY651" s="326">
        <f t="shared" si="2283"/>
        <v>1</v>
      </c>
      <c r="CZ651" s="326">
        <f t="shared" si="2283"/>
        <v>2</v>
      </c>
      <c r="DA651" s="326">
        <f t="shared" si="2283"/>
        <v>3</v>
      </c>
      <c r="DB651" s="327">
        <f t="shared" si="2283"/>
        <v>3</v>
      </c>
      <c r="DC651" s="327">
        <f t="shared" si="2283"/>
        <v>4</v>
      </c>
      <c r="DD651" s="327">
        <f t="shared" si="2283"/>
        <v>6</v>
      </c>
      <c r="DE651" s="326">
        <f t="shared" si="2284"/>
        <v>8</v>
      </c>
      <c r="DF651" s="326">
        <f t="shared" si="2284"/>
        <v>10</v>
      </c>
      <c r="DG651" s="326">
        <f t="shared" si="2284"/>
        <v>24</v>
      </c>
      <c r="DH651" s="326" t="str">
        <f t="shared" si="2284"/>
        <v/>
      </c>
      <c r="DI651" s="326" t="str">
        <f t="shared" si="2284"/>
        <v/>
      </c>
      <c r="DJ651" s="325" t="str">
        <f t="shared" si="2284"/>
        <v/>
      </c>
      <c r="DK651" s="324" t="str">
        <f t="shared" si="2284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si="2282"/>
        <v/>
      </c>
      <c r="CF652" s="1111" t="str">
        <f t="shared" si="2282"/>
        <v/>
      </c>
      <c r="CG652" s="1111" t="str">
        <f t="shared" si="2282"/>
        <v/>
      </c>
      <c r="CH652" s="1111">
        <f t="shared" si="2282"/>
        <v>2</v>
      </c>
      <c r="CI652" s="1111">
        <f t="shared" si="2282"/>
        <v>2</v>
      </c>
      <c r="CJ652" s="1111">
        <f t="shared" si="2282"/>
        <v>2</v>
      </c>
      <c r="CK652" s="1112">
        <f t="shared" si="2282"/>
        <v>2</v>
      </c>
      <c r="CL652" s="1112">
        <f t="shared" si="2282"/>
        <v>2</v>
      </c>
      <c r="CM652" s="1112">
        <f t="shared" si="2282"/>
        <v>3</v>
      </c>
      <c r="CN652" s="1111">
        <f t="shared" si="2282"/>
        <v>3</v>
      </c>
      <c r="CO652" s="1111">
        <f t="shared" si="2282"/>
        <v>3</v>
      </c>
      <c r="CP652" s="1111">
        <f t="shared" si="2282"/>
        <v>3</v>
      </c>
      <c r="CQ652" s="1111" t="str">
        <f t="shared" si="2282"/>
        <v/>
      </c>
      <c r="CR652" s="1111" t="str">
        <f t="shared" si="2282"/>
        <v/>
      </c>
      <c r="CS652" s="1110" t="str">
        <f t="shared" si="2282"/>
        <v/>
      </c>
      <c r="CT652" s="1113" t="str">
        <f t="shared" si="2282"/>
        <v/>
      </c>
      <c r="CU652" s="324" t="str">
        <f t="shared" si="2283"/>
        <v/>
      </c>
      <c r="CV652" s="325" t="str">
        <f t="shared" si="2283"/>
        <v/>
      </c>
      <c r="CW652" s="326" t="str">
        <f t="shared" si="2283"/>
        <v/>
      </c>
      <c r="CX652" s="326" t="str">
        <f t="shared" si="2283"/>
        <v/>
      </c>
      <c r="CY652" s="326">
        <f t="shared" si="2283"/>
        <v>2</v>
      </c>
      <c r="CZ652" s="326">
        <f t="shared" si="2283"/>
        <v>2</v>
      </c>
      <c r="DA652" s="326">
        <f t="shared" si="2283"/>
        <v>2</v>
      </c>
      <c r="DB652" s="327">
        <f t="shared" si="2283"/>
        <v>2</v>
      </c>
      <c r="DC652" s="327">
        <f t="shared" si="2283"/>
        <v>2</v>
      </c>
      <c r="DD652" s="327">
        <f t="shared" si="2283"/>
        <v>2</v>
      </c>
      <c r="DE652" s="326">
        <f t="shared" si="2284"/>
        <v>3</v>
      </c>
      <c r="DF652" s="326">
        <f t="shared" si="2284"/>
        <v>3</v>
      </c>
      <c r="DG652" s="326">
        <f t="shared" si="2284"/>
        <v>4</v>
      </c>
      <c r="DH652" s="326" t="str">
        <f t="shared" si="2284"/>
        <v/>
      </c>
      <c r="DI652" s="326" t="str">
        <f t="shared" si="2284"/>
        <v/>
      </c>
      <c r="DJ652" s="325" t="str">
        <f t="shared" si="2284"/>
        <v/>
      </c>
      <c r="DK652" s="324" t="str">
        <f t="shared" si="2284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282"/>
        <v/>
      </c>
      <c r="CF653" s="1111" t="str">
        <f t="shared" si="2282"/>
        <v/>
      </c>
      <c r="CG653" s="1111" t="str">
        <f t="shared" si="2282"/>
        <v/>
      </c>
      <c r="CH653" s="1111">
        <f t="shared" si="2282"/>
        <v>5</v>
      </c>
      <c r="CI653" s="1111">
        <f t="shared" si="2282"/>
        <v>5</v>
      </c>
      <c r="CJ653" s="1111">
        <f t="shared" si="2282"/>
        <v>5</v>
      </c>
      <c r="CK653" s="1112">
        <f t="shared" si="2282"/>
        <v>5</v>
      </c>
      <c r="CL653" s="1112">
        <f t="shared" si="2282"/>
        <v>5</v>
      </c>
      <c r="CM653" s="1112">
        <f t="shared" si="2282"/>
        <v>10</v>
      </c>
      <c r="CN653" s="1111">
        <f t="shared" si="2282"/>
        <v>10</v>
      </c>
      <c r="CO653" s="1111">
        <f t="shared" si="2282"/>
        <v>20</v>
      </c>
      <c r="CP653" s="1111">
        <f t="shared" si="2282"/>
        <v>20</v>
      </c>
      <c r="CQ653" s="1111" t="str">
        <f t="shared" si="2282"/>
        <v/>
      </c>
      <c r="CR653" s="1111" t="str">
        <f t="shared" si="2282"/>
        <v/>
      </c>
      <c r="CS653" s="1110" t="str">
        <f t="shared" si="2282"/>
        <v/>
      </c>
      <c r="CT653" s="1113" t="str">
        <f t="shared" si="2282"/>
        <v/>
      </c>
      <c r="CU653" s="324" t="str">
        <f t="shared" si="2283"/>
        <v/>
      </c>
      <c r="CV653" s="325" t="str">
        <f t="shared" si="2283"/>
        <v/>
      </c>
      <c r="CW653" s="326" t="str">
        <f t="shared" si="2283"/>
        <v/>
      </c>
      <c r="CX653" s="326" t="str">
        <f t="shared" si="2283"/>
        <v/>
      </c>
      <c r="CY653" s="326">
        <f t="shared" si="2283"/>
        <v>5</v>
      </c>
      <c r="CZ653" s="326">
        <f t="shared" si="2283"/>
        <v>5</v>
      </c>
      <c r="DA653" s="326">
        <f t="shared" si="2283"/>
        <v>5</v>
      </c>
      <c r="DB653" s="327">
        <f t="shared" si="2283"/>
        <v>5</v>
      </c>
      <c r="DC653" s="327">
        <f t="shared" si="2283"/>
        <v>5</v>
      </c>
      <c r="DD653" s="327">
        <f t="shared" si="2283"/>
        <v>5</v>
      </c>
      <c r="DE653" s="326">
        <f t="shared" si="2284"/>
        <v>15</v>
      </c>
      <c r="DF653" s="326">
        <f t="shared" si="2284"/>
        <v>20</v>
      </c>
      <c r="DG653" s="326">
        <f t="shared" si="2284"/>
        <v>90</v>
      </c>
      <c r="DH653" s="326" t="str">
        <f t="shared" si="2284"/>
        <v/>
      </c>
      <c r="DI653" s="326" t="str">
        <f t="shared" si="2284"/>
        <v/>
      </c>
      <c r="DJ653" s="325" t="str">
        <f t="shared" si="2284"/>
        <v/>
      </c>
      <c r="DK653" s="324" t="str">
        <f t="shared" si="2284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285">IF(B651="","",((B650*B651*B652*B653)*3630*$K$1)/B$46/365/$G$1)</f>
        <v>8.5244618395303326E-2</v>
      </c>
      <c r="C654" s="408">
        <f t="shared" si="2285"/>
        <v>0.10824713447022644</v>
      </c>
      <c r="D654" s="408">
        <f t="shared" si="2285"/>
        <v>9.4716242661448138E-2</v>
      </c>
      <c r="E654" s="408">
        <f t="shared" si="2285"/>
        <v>7.893020221787346E-2</v>
      </c>
      <c r="F654" s="408">
        <f t="shared" si="2285"/>
        <v>0.12628832354859754</v>
      </c>
      <c r="G654" s="408">
        <f t="shared" si="2285"/>
        <v>5.9197651663405092E-2</v>
      </c>
      <c r="H654" s="408">
        <f t="shared" si="2285"/>
        <v>0.21311154598825832</v>
      </c>
      <c r="I654" s="408">
        <f t="shared" si="2285"/>
        <v>9.4716242661448138E-2</v>
      </c>
      <c r="J654" s="408">
        <f t="shared" si="2285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286">IF(T651="","",((T650*T651*T652*T653)*3630*$K$1)/T$46/365/$G$1)</f>
        <v>0.17759295499021527</v>
      </c>
      <c r="U654" s="408">
        <f t="shared" si="2286"/>
        <v>0.13776908023483367</v>
      </c>
      <c r="V654" s="408">
        <f t="shared" si="2286"/>
        <v>8.8796477495107634E-2</v>
      </c>
      <c r="W654" s="408">
        <f t="shared" si="2286"/>
        <v>8.5244618395303326E-2</v>
      </c>
      <c r="X654" s="408">
        <f t="shared" si="2286"/>
        <v>0.18943248532289628</v>
      </c>
      <c r="Y654" s="408">
        <f t="shared" si="2286"/>
        <v>0.16237070170533965</v>
      </c>
      <c r="Z654" s="408">
        <f t="shared" si="2286"/>
        <v>0.14207436399217221</v>
      </c>
      <c r="AA654" s="408">
        <f t="shared" si="2286"/>
        <v>0.17048923679060665</v>
      </c>
      <c r="AB654" s="408">
        <f t="shared" si="2286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287">IF(AL651="","",((AL650*AL651*AL652*AL653)*3630*$K$1)/AL$46/365/$G$1)</f>
        <v>1.2915851272015656E-2</v>
      </c>
      <c r="AM654" s="408" t="str">
        <f t="shared" si="2287"/>
        <v/>
      </c>
      <c r="AN654" s="408">
        <f t="shared" si="2287"/>
        <v>0.17759295499021527</v>
      </c>
      <c r="AO654" s="408">
        <f t="shared" si="2287"/>
        <v>7.1037181996086107E-2</v>
      </c>
      <c r="AP654" s="408" t="str">
        <f t="shared" si="2287"/>
        <v/>
      </c>
      <c r="AQ654" s="408" t="str">
        <f t="shared" si="2287"/>
        <v/>
      </c>
      <c r="AR654" s="408" t="str">
        <f t="shared" si="2287"/>
        <v/>
      </c>
      <c r="AS654" s="408" t="str">
        <f t="shared" si="2287"/>
        <v/>
      </c>
      <c r="AT654" s="408" t="str">
        <f t="shared" si="2287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288">IF(BD651="","",((BD650*BD651*BD652*BD653)*3630*$K$1)/BD$46/365/$G$1)</f>
        <v/>
      </c>
      <c r="BE654" s="408" t="str">
        <f t="shared" si="2288"/>
        <v/>
      </c>
      <c r="BF654" s="408" t="str">
        <f t="shared" si="2288"/>
        <v/>
      </c>
      <c r="BG654" s="408" t="str">
        <f t="shared" si="2288"/>
        <v/>
      </c>
      <c r="BH654" s="408" t="str">
        <f t="shared" si="2288"/>
        <v/>
      </c>
      <c r="BI654" s="408" t="str">
        <f t="shared" si="2288"/>
        <v/>
      </c>
      <c r="BJ654" s="408" t="str">
        <f t="shared" si="2288"/>
        <v/>
      </c>
      <c r="BK654" s="408" t="str">
        <f t="shared" si="2288"/>
        <v/>
      </c>
      <c r="BL654" s="408" t="str">
        <f t="shared" si="2288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5" t="str">
        <f t="shared" si="2282"/>
        <v/>
      </c>
      <c r="CF654" s="1116" t="str">
        <f t="shared" si="2282"/>
        <v/>
      </c>
      <c r="CG654" s="1116" t="str">
        <f t="shared" si="2282"/>
        <v/>
      </c>
      <c r="CH654" s="1116">
        <f t="shared" si="2282"/>
        <v>5.9197651663405092E-2</v>
      </c>
      <c r="CI654" s="1116">
        <f t="shared" si="2282"/>
        <v>7.893020221787346E-2</v>
      </c>
      <c r="CJ654" s="1116">
        <f t="shared" si="2282"/>
        <v>8.5244618395303326E-2</v>
      </c>
      <c r="CK654" s="1117">
        <f t="shared" si="2282"/>
        <v>9.4716242661448138E-2</v>
      </c>
      <c r="CL654" s="1117">
        <f t="shared" si="2282"/>
        <v>9.4716242661448138E-2</v>
      </c>
      <c r="CM654" s="1117">
        <f t="shared" si="2282"/>
        <v>0.10148168856583731</v>
      </c>
      <c r="CN654" s="1116">
        <f t="shared" si="2282"/>
        <v>0.10824713447022644</v>
      </c>
      <c r="CO654" s="1116">
        <f t="shared" si="2282"/>
        <v>0.12628832354859754</v>
      </c>
      <c r="CP654" s="1116">
        <f t="shared" si="2282"/>
        <v>0.21311154598825832</v>
      </c>
      <c r="CQ654" s="1116" t="str">
        <f t="shared" si="2282"/>
        <v/>
      </c>
      <c r="CR654" s="1116" t="str">
        <f t="shared" si="2282"/>
        <v/>
      </c>
      <c r="CS654" s="1115" t="str">
        <f t="shared" si="2282"/>
        <v/>
      </c>
      <c r="CT654" s="1118" t="str">
        <f t="shared" si="2282"/>
        <v/>
      </c>
      <c r="CU654" s="312" t="str">
        <f t="shared" si="2283"/>
        <v/>
      </c>
      <c r="CV654" s="313" t="str">
        <f t="shared" si="2283"/>
        <v/>
      </c>
      <c r="CW654" s="314" t="str">
        <f t="shared" si="2283"/>
        <v/>
      </c>
      <c r="CX654" s="314" t="str">
        <f t="shared" si="2283"/>
        <v/>
      </c>
      <c r="CY654" s="314">
        <f t="shared" si="2283"/>
        <v>8.5244618395303326E-2</v>
      </c>
      <c r="CZ654" s="314">
        <f t="shared" si="2283"/>
        <v>8.8796477495107634E-2</v>
      </c>
      <c r="DA654" s="314">
        <f t="shared" si="2283"/>
        <v>0.12177802627900476</v>
      </c>
      <c r="DB654" s="315">
        <f t="shared" si="2283"/>
        <v>0.13776908023483367</v>
      </c>
      <c r="DC654" s="315">
        <f t="shared" si="2283"/>
        <v>0.14207436399217221</v>
      </c>
      <c r="DD654" s="315">
        <f t="shared" si="2283"/>
        <v>0.16237070170533965</v>
      </c>
      <c r="DE654" s="314">
        <f t="shared" si="2284"/>
        <v>0.17048923679060665</v>
      </c>
      <c r="DF654" s="314">
        <f t="shared" si="2284"/>
        <v>0.17759295499021527</v>
      </c>
      <c r="DG654" s="314">
        <f t="shared" si="2284"/>
        <v>0.18943248532289628</v>
      </c>
      <c r="DH654" s="314" t="str">
        <f t="shared" si="2284"/>
        <v/>
      </c>
      <c r="DI654" s="314" t="str">
        <f t="shared" si="2284"/>
        <v/>
      </c>
      <c r="DJ654" s="313" t="str">
        <f t="shared" si="2284"/>
        <v/>
      </c>
      <c r="DK654" s="312" t="str">
        <f t="shared" si="2284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0"/>
      <c r="CE655" s="1120"/>
      <c r="CF655" s="1120"/>
      <c r="CG655" s="1120"/>
      <c r="CH655" s="1120"/>
      <c r="CI655" s="1120"/>
      <c r="CJ655" s="1120"/>
      <c r="CK655" s="1120"/>
      <c r="CL655" s="1120"/>
      <c r="CM655" s="1120"/>
      <c r="CN655" s="1120"/>
      <c r="CO655" s="1120"/>
      <c r="CP655" s="1120"/>
      <c r="CQ655" s="1120"/>
      <c r="CR655" s="1120"/>
      <c r="CS655" s="1120"/>
      <c r="CT655" s="1121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289">IF(DL656&lt;3,"",(SUM(B656:R656)-MIN(B656:R656)-MAX(B656:R656))/(DL656-2))</f>
        <v>2</v>
      </c>
      <c r="CA656" s="373">
        <f t="shared" ref="CA656:CA663" si="2290">IF(DM656&lt;3,"",(SUM(T656:AJ656)-MIN(T656:AJ656)-MAX(T656:AJ656))/(DM656-2))</f>
        <v>2.1428571428571428</v>
      </c>
      <c r="CB656" s="373">
        <f t="shared" ref="CB656:CB663" si="2291">IF(DN656&lt;3,"",(SUM(AL656:BB656)-MIN(AL656:BB656)-MAX(AL656:BB656))/(DN656-2))</f>
        <v>1</v>
      </c>
      <c r="CC656" s="462" t="str">
        <f t="shared" ref="CC656:CC663" si="2292">IF(DO656&lt;3,"",(SUM(BD656:BT656)-MIN(BD656:BT656)-MAX(BD656:BT656))/(DO656-2))</f>
        <v/>
      </c>
      <c r="CD656" s="1109" t="str">
        <f t="shared" ref="CD656:CS656" si="22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0" t="str">
        <f t="shared" si="2293"/>
        <v/>
      </c>
      <c r="CF656" s="1111" t="str">
        <f t="shared" si="2293"/>
        <v/>
      </c>
      <c r="CG656" s="1111" t="str">
        <f t="shared" si="2293"/>
        <v/>
      </c>
      <c r="CH656" s="1111">
        <f t="shared" si="2293"/>
        <v>1</v>
      </c>
      <c r="CI656" s="1111">
        <f t="shared" si="2293"/>
        <v>1</v>
      </c>
      <c r="CJ656" s="1111">
        <f t="shared" si="2293"/>
        <v>2</v>
      </c>
      <c r="CK656" s="1112">
        <f t="shared" si="2293"/>
        <v>2</v>
      </c>
      <c r="CL656" s="1112">
        <f t="shared" si="2293"/>
        <v>2</v>
      </c>
      <c r="CM656" s="1112">
        <f t="shared" si="2293"/>
        <v>2</v>
      </c>
      <c r="CN656" s="1111">
        <f t="shared" si="2293"/>
        <v>2</v>
      </c>
      <c r="CO656" s="1111">
        <f t="shared" si="2293"/>
        <v>3</v>
      </c>
      <c r="CP656" s="1111">
        <f t="shared" si="2293"/>
        <v>4</v>
      </c>
      <c r="CQ656" s="1111" t="str">
        <f t="shared" si="2293"/>
        <v/>
      </c>
      <c r="CR656" s="1111" t="str">
        <f t="shared" si="2293"/>
        <v/>
      </c>
      <c r="CS656" s="1110" t="str">
        <f t="shared" si="2293"/>
        <v/>
      </c>
      <c r="CT656" s="1113" t="str">
        <f t="shared" ref="CE656:CT660" si="22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2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2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2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2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2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3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3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3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3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3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3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3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3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3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3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3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3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312">COUNT(B656:R656)</f>
        <v>9</v>
      </c>
      <c r="DM656" s="66">
        <f t="shared" ref="DM656:DM663" si="2313">COUNT(T656:AJ656)</f>
        <v>9</v>
      </c>
      <c r="DN656" s="66">
        <f t="shared" ref="DN656:DN663" si="2314">COUNT(AL656:BB656)</f>
        <v>3</v>
      </c>
      <c r="DO656" s="66">
        <f t="shared" ref="DO656:DO663" si="2315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289"/>
        <v>5.7142857142857144</v>
      </c>
      <c r="CA657" s="373">
        <f t="shared" si="2290"/>
        <v>3.1428571428571428</v>
      </c>
      <c r="CB657" s="373">
        <f t="shared" si="2291"/>
        <v>4</v>
      </c>
      <c r="CC657" s="462" t="str">
        <f t="shared" si="2292"/>
        <v/>
      </c>
      <c r="CD657" s="110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294"/>
        <v/>
      </c>
      <c r="CF657" s="1111" t="str">
        <f t="shared" si="2294"/>
        <v/>
      </c>
      <c r="CG657" s="1111" t="str">
        <f t="shared" si="2294"/>
        <v/>
      </c>
      <c r="CH657" s="1111">
        <f t="shared" si="2294"/>
        <v>2</v>
      </c>
      <c r="CI657" s="1111">
        <f t="shared" si="2294"/>
        <v>4</v>
      </c>
      <c r="CJ657" s="1111">
        <f t="shared" si="2294"/>
        <v>5</v>
      </c>
      <c r="CK657" s="1112">
        <f t="shared" si="2294"/>
        <v>5</v>
      </c>
      <c r="CL657" s="1112">
        <f t="shared" si="2294"/>
        <v>6</v>
      </c>
      <c r="CM657" s="1112">
        <f t="shared" si="2294"/>
        <v>6</v>
      </c>
      <c r="CN657" s="1111">
        <f t="shared" si="2294"/>
        <v>6</v>
      </c>
      <c r="CO657" s="1111">
        <f t="shared" si="2294"/>
        <v>8</v>
      </c>
      <c r="CP657" s="1111">
        <f t="shared" si="2294"/>
        <v>10</v>
      </c>
      <c r="CQ657" s="1111" t="str">
        <f t="shared" si="2294"/>
        <v/>
      </c>
      <c r="CR657" s="1111" t="str">
        <f t="shared" si="2294"/>
        <v/>
      </c>
      <c r="CS657" s="1110" t="str">
        <f t="shared" si="2294"/>
        <v/>
      </c>
      <c r="CT657" s="1113" t="str">
        <f t="shared" si="2294"/>
        <v/>
      </c>
      <c r="CU657" s="324" t="str">
        <f t="shared" si="2295"/>
        <v/>
      </c>
      <c r="CV657" s="325" t="str">
        <f t="shared" si="2296"/>
        <v/>
      </c>
      <c r="CW657" s="326" t="str">
        <f t="shared" si="2297"/>
        <v/>
      </c>
      <c r="CX657" s="326" t="str">
        <f t="shared" si="2298"/>
        <v/>
      </c>
      <c r="CY657" s="326">
        <f t="shared" si="2299"/>
        <v>1</v>
      </c>
      <c r="CZ657" s="326">
        <f t="shared" si="2300"/>
        <v>1</v>
      </c>
      <c r="DA657" s="326">
        <f t="shared" si="2301"/>
        <v>2</v>
      </c>
      <c r="DB657" s="327">
        <f t="shared" si="2302"/>
        <v>3</v>
      </c>
      <c r="DC657" s="327">
        <f t="shared" si="2303"/>
        <v>3</v>
      </c>
      <c r="DD657" s="327">
        <f t="shared" si="2304"/>
        <v>4</v>
      </c>
      <c r="DE657" s="326">
        <f t="shared" si="2305"/>
        <v>4</v>
      </c>
      <c r="DF657" s="326">
        <f t="shared" si="2306"/>
        <v>5</v>
      </c>
      <c r="DG657" s="326">
        <f t="shared" si="2307"/>
        <v>10</v>
      </c>
      <c r="DH657" s="326" t="str">
        <f t="shared" si="2308"/>
        <v/>
      </c>
      <c r="DI657" s="326" t="str">
        <f t="shared" si="2309"/>
        <v/>
      </c>
      <c r="DJ657" s="325" t="str">
        <f t="shared" si="2310"/>
        <v/>
      </c>
      <c r="DK657" s="324" t="str">
        <f t="shared" si="2311"/>
        <v/>
      </c>
      <c r="DL657" s="428">
        <f t="shared" si="2312"/>
        <v>9</v>
      </c>
      <c r="DM657" s="66">
        <f t="shared" si="2313"/>
        <v>9</v>
      </c>
      <c r="DN657" s="66">
        <f t="shared" si="2314"/>
        <v>3</v>
      </c>
      <c r="DO657" s="66">
        <f t="shared" si="2315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289"/>
        <v>1.8571428571428572</v>
      </c>
      <c r="CA658" s="373">
        <f t="shared" si="2290"/>
        <v>2.1428571428571428</v>
      </c>
      <c r="CB658" s="373">
        <f t="shared" si="2291"/>
        <v>2</v>
      </c>
      <c r="CC658" s="462" t="str">
        <f t="shared" si="2292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si="2294"/>
        <v/>
      </c>
      <c r="CF658" s="1111" t="str">
        <f t="shared" si="2294"/>
        <v/>
      </c>
      <c r="CG658" s="1111" t="str">
        <f t="shared" si="2294"/>
        <v/>
      </c>
      <c r="CH658" s="1111">
        <f t="shared" si="2294"/>
        <v>1</v>
      </c>
      <c r="CI658" s="1111">
        <f t="shared" si="2294"/>
        <v>1</v>
      </c>
      <c r="CJ658" s="1111">
        <f t="shared" si="2294"/>
        <v>1</v>
      </c>
      <c r="CK658" s="1112">
        <f t="shared" si="2294"/>
        <v>2</v>
      </c>
      <c r="CL658" s="1112">
        <f t="shared" si="2294"/>
        <v>2</v>
      </c>
      <c r="CM658" s="1112">
        <f t="shared" si="2294"/>
        <v>2</v>
      </c>
      <c r="CN658" s="1111">
        <f t="shared" si="2294"/>
        <v>2</v>
      </c>
      <c r="CO658" s="1111">
        <f t="shared" si="2294"/>
        <v>3</v>
      </c>
      <c r="CP658" s="1111">
        <f t="shared" si="2294"/>
        <v>3</v>
      </c>
      <c r="CQ658" s="1111" t="str">
        <f t="shared" si="2294"/>
        <v/>
      </c>
      <c r="CR658" s="1111" t="str">
        <f t="shared" si="2294"/>
        <v/>
      </c>
      <c r="CS658" s="1110" t="str">
        <f t="shared" si="2294"/>
        <v/>
      </c>
      <c r="CT658" s="1113" t="str">
        <f t="shared" si="2294"/>
        <v/>
      </c>
      <c r="CU658" s="324" t="str">
        <f t="shared" si="2295"/>
        <v/>
      </c>
      <c r="CV658" s="325" t="str">
        <f t="shared" si="2296"/>
        <v/>
      </c>
      <c r="CW658" s="326" t="str">
        <f t="shared" si="2297"/>
        <v/>
      </c>
      <c r="CX658" s="326" t="str">
        <f t="shared" si="2298"/>
        <v/>
      </c>
      <c r="CY658" s="326">
        <f t="shared" si="2299"/>
        <v>2</v>
      </c>
      <c r="CZ658" s="326">
        <f t="shared" si="2300"/>
        <v>2</v>
      </c>
      <c r="DA658" s="326">
        <f t="shared" si="2301"/>
        <v>2</v>
      </c>
      <c r="DB658" s="327">
        <f t="shared" si="2302"/>
        <v>2</v>
      </c>
      <c r="DC658" s="327">
        <f t="shared" si="2303"/>
        <v>2</v>
      </c>
      <c r="DD658" s="327">
        <f t="shared" si="2304"/>
        <v>2</v>
      </c>
      <c r="DE658" s="326">
        <f t="shared" si="2305"/>
        <v>2</v>
      </c>
      <c r="DF658" s="326">
        <f t="shared" si="2306"/>
        <v>3</v>
      </c>
      <c r="DG658" s="326">
        <f t="shared" si="2307"/>
        <v>3</v>
      </c>
      <c r="DH658" s="326" t="str">
        <f t="shared" si="2308"/>
        <v/>
      </c>
      <c r="DI658" s="326" t="str">
        <f t="shared" si="2309"/>
        <v/>
      </c>
      <c r="DJ658" s="325" t="str">
        <f t="shared" si="2310"/>
        <v/>
      </c>
      <c r="DK658" s="324" t="str">
        <f t="shared" si="2311"/>
        <v/>
      </c>
      <c r="DL658" s="428">
        <f t="shared" si="2312"/>
        <v>9</v>
      </c>
      <c r="DM658" s="66">
        <f t="shared" si="2313"/>
        <v>9</v>
      </c>
      <c r="DN658" s="66">
        <f t="shared" si="2314"/>
        <v>3</v>
      </c>
      <c r="DO658" s="66">
        <f t="shared" si="2315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289"/>
        <v>9.2857142857142865</v>
      </c>
      <c r="CA659" s="373">
        <f t="shared" si="2290"/>
        <v>15</v>
      </c>
      <c r="CB659" s="373">
        <f t="shared" si="2291"/>
        <v>5</v>
      </c>
      <c r="CC659" s="462" t="str">
        <f t="shared" si="2292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294"/>
        <v/>
      </c>
      <c r="CF659" s="1111" t="str">
        <f t="shared" si="2294"/>
        <v/>
      </c>
      <c r="CG659" s="1111" t="str">
        <f t="shared" si="2294"/>
        <v/>
      </c>
      <c r="CH659" s="1111">
        <f t="shared" si="2294"/>
        <v>5</v>
      </c>
      <c r="CI659" s="1111">
        <f t="shared" si="2294"/>
        <v>5</v>
      </c>
      <c r="CJ659" s="1111">
        <f t="shared" si="2294"/>
        <v>5</v>
      </c>
      <c r="CK659" s="1112">
        <f t="shared" si="2294"/>
        <v>5</v>
      </c>
      <c r="CL659" s="1112">
        <f t="shared" si="2294"/>
        <v>5</v>
      </c>
      <c r="CM659" s="1112">
        <f t="shared" si="2294"/>
        <v>5</v>
      </c>
      <c r="CN659" s="1111">
        <f t="shared" si="2294"/>
        <v>20</v>
      </c>
      <c r="CO659" s="1111">
        <f t="shared" si="2294"/>
        <v>20</v>
      </c>
      <c r="CP659" s="1111">
        <f t="shared" si="2294"/>
        <v>40</v>
      </c>
      <c r="CQ659" s="1111" t="str">
        <f t="shared" si="2294"/>
        <v/>
      </c>
      <c r="CR659" s="1111" t="str">
        <f t="shared" si="2294"/>
        <v/>
      </c>
      <c r="CS659" s="1110" t="str">
        <f t="shared" si="2294"/>
        <v/>
      </c>
      <c r="CT659" s="1113" t="str">
        <f t="shared" si="2294"/>
        <v/>
      </c>
      <c r="CU659" s="324" t="str">
        <f t="shared" si="2295"/>
        <v/>
      </c>
      <c r="CV659" s="325" t="str">
        <f t="shared" si="2296"/>
        <v/>
      </c>
      <c r="CW659" s="326" t="str">
        <f t="shared" si="2297"/>
        <v/>
      </c>
      <c r="CX659" s="326" t="str">
        <f t="shared" si="2298"/>
        <v/>
      </c>
      <c r="CY659" s="326">
        <f t="shared" si="2299"/>
        <v>5</v>
      </c>
      <c r="CZ659" s="326">
        <f t="shared" si="2300"/>
        <v>5</v>
      </c>
      <c r="DA659" s="326">
        <f t="shared" si="2301"/>
        <v>5</v>
      </c>
      <c r="DB659" s="327">
        <f t="shared" si="2302"/>
        <v>5</v>
      </c>
      <c r="DC659" s="327">
        <f t="shared" si="2303"/>
        <v>10</v>
      </c>
      <c r="DD659" s="327">
        <f t="shared" si="2304"/>
        <v>20</v>
      </c>
      <c r="DE659" s="326">
        <f t="shared" si="2305"/>
        <v>20</v>
      </c>
      <c r="DF659" s="326">
        <f t="shared" si="2306"/>
        <v>40</v>
      </c>
      <c r="DG659" s="326">
        <f t="shared" si="2307"/>
        <v>50</v>
      </c>
      <c r="DH659" s="326" t="str">
        <f t="shared" si="2308"/>
        <v/>
      </c>
      <c r="DI659" s="326" t="str">
        <f t="shared" si="2309"/>
        <v/>
      </c>
      <c r="DJ659" s="325" t="str">
        <f t="shared" si="2310"/>
        <v/>
      </c>
      <c r="DK659" s="324" t="str">
        <f t="shared" si="2311"/>
        <v/>
      </c>
      <c r="DL659" s="428">
        <f t="shared" si="2312"/>
        <v>9</v>
      </c>
      <c r="DM659" s="66">
        <f t="shared" si="2313"/>
        <v>9</v>
      </c>
      <c r="DN659" s="66">
        <f t="shared" si="2314"/>
        <v>3</v>
      </c>
      <c r="DO659" s="66">
        <f t="shared" si="2315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316">IF(B657="","",((B656*B657*B658*B659)*3630*$K$1)/B$46/365/$G$1)</f>
        <v>7.5772994129158514E-2</v>
      </c>
      <c r="C660" s="408">
        <f t="shared" si="2316"/>
        <v>6.7654459043891529E-2</v>
      </c>
      <c r="D660" s="408">
        <f t="shared" si="2316"/>
        <v>0.18943248532289628</v>
      </c>
      <c r="E660" s="408">
        <f t="shared" si="2316"/>
        <v>7.1037181996086107E-2</v>
      </c>
      <c r="F660" s="408">
        <f t="shared" si="2316"/>
        <v>0.12628832354859754</v>
      </c>
      <c r="G660" s="408">
        <f t="shared" si="2316"/>
        <v>0.11839530332681018</v>
      </c>
      <c r="H660" s="408">
        <f t="shared" si="2316"/>
        <v>9.4716242661448138E-2</v>
      </c>
      <c r="I660" s="408">
        <f t="shared" si="2316"/>
        <v>0.14207436399217221</v>
      </c>
      <c r="J660" s="408">
        <f t="shared" si="2316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317">IF(T657="","",((T656*T657*T658*T659)*3630*$K$1)/T$46/365/$G$1)</f>
        <v>8.8796477495107634E-2</v>
      </c>
      <c r="U660" s="408">
        <f t="shared" si="2317"/>
        <v>9.6868884540117411E-2</v>
      </c>
      <c r="V660" s="408">
        <f t="shared" si="2317"/>
        <v>3.1572080887149384E-2</v>
      </c>
      <c r="W660" s="408">
        <f t="shared" si="2317"/>
        <v>4.7358121330724069E-2</v>
      </c>
      <c r="X660" s="408">
        <f t="shared" si="2317"/>
        <v>0.21311154598825832</v>
      </c>
      <c r="Y660" s="408">
        <f t="shared" si="2317"/>
        <v>0.10824713447022644</v>
      </c>
      <c r="Z660" s="408">
        <f t="shared" si="2317"/>
        <v>7.1037181996086107E-2</v>
      </c>
      <c r="AA660" s="408">
        <f t="shared" si="2317"/>
        <v>0.14207436399217221</v>
      </c>
      <c r="AB660" s="408">
        <f t="shared" si="2317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318">IF(AL657="","",((AL656*AL657*AL658*AL659)*3630*$K$1)/AL$46/365/$G$1)</f>
        <v>2.1526418786692762E-2</v>
      </c>
      <c r="AM660" s="408" t="str">
        <f t="shared" si="2318"/>
        <v/>
      </c>
      <c r="AN660" s="408">
        <f t="shared" si="2318"/>
        <v>7.1037181996086107E-2</v>
      </c>
      <c r="AO660" s="408">
        <f t="shared" si="2318"/>
        <v>9.4716242661448138E-2</v>
      </c>
      <c r="AP660" s="408" t="str">
        <f t="shared" si="2318"/>
        <v/>
      </c>
      <c r="AQ660" s="408" t="str">
        <f t="shared" si="2318"/>
        <v/>
      </c>
      <c r="AR660" s="408" t="str">
        <f t="shared" si="2318"/>
        <v/>
      </c>
      <c r="AS660" s="408" t="str">
        <f t="shared" si="2318"/>
        <v/>
      </c>
      <c r="AT660" s="408" t="str">
        <f t="shared" si="2318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319">IF(BD657="","",((BD656*BD657*BD658*BD659)*3630*$K$1)/BD$46/365/$G$1)</f>
        <v/>
      </c>
      <c r="BE660" s="408" t="str">
        <f t="shared" si="2319"/>
        <v/>
      </c>
      <c r="BF660" s="408" t="str">
        <f t="shared" si="2319"/>
        <v/>
      </c>
      <c r="BG660" s="408" t="str">
        <f t="shared" si="2319"/>
        <v/>
      </c>
      <c r="BH660" s="408" t="str">
        <f t="shared" si="2319"/>
        <v/>
      </c>
      <c r="BI660" s="408" t="str">
        <f t="shared" si="2319"/>
        <v/>
      </c>
      <c r="BJ660" s="408" t="str">
        <f t="shared" si="2319"/>
        <v/>
      </c>
      <c r="BK660" s="408" t="str">
        <f t="shared" si="2319"/>
        <v/>
      </c>
      <c r="BL660" s="408" t="str">
        <f t="shared" si="2319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289"/>
        <v>0.10908476110600795</v>
      </c>
      <c r="CA660" s="398">
        <f t="shared" si="2290"/>
        <v>8.6929390151363889E-2</v>
      </c>
      <c r="CB660" s="398">
        <f t="shared" si="2291"/>
        <v>7.1037181996086093E-2</v>
      </c>
      <c r="CC660" s="465" t="str">
        <f t="shared" si="2292"/>
        <v/>
      </c>
      <c r="CD660" s="111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5" t="str">
        <f t="shared" si="2294"/>
        <v/>
      </c>
      <c r="CF660" s="1116" t="str">
        <f t="shared" si="2294"/>
        <v/>
      </c>
      <c r="CG660" s="1116" t="str">
        <f t="shared" si="2294"/>
        <v/>
      </c>
      <c r="CH660" s="1116">
        <f t="shared" si="2294"/>
        <v>6.7654459043891529E-2</v>
      </c>
      <c r="CI660" s="1116">
        <f t="shared" si="2294"/>
        <v>7.1037181996086107E-2</v>
      </c>
      <c r="CJ660" s="1116">
        <f t="shared" si="2294"/>
        <v>7.5772994129158514E-2</v>
      </c>
      <c r="CK660" s="1117">
        <f t="shared" si="2294"/>
        <v>9.4716242661448138E-2</v>
      </c>
      <c r="CL660" s="1117">
        <f t="shared" si="2294"/>
        <v>0.11839530332681018</v>
      </c>
      <c r="CM660" s="1117">
        <f t="shared" si="2294"/>
        <v>0.12628832354859754</v>
      </c>
      <c r="CN660" s="1116">
        <f t="shared" si="2294"/>
        <v>0.13530891808778306</v>
      </c>
      <c r="CO660" s="1116">
        <f t="shared" si="2294"/>
        <v>0.14207436399217221</v>
      </c>
      <c r="CP660" s="1116">
        <f t="shared" si="2294"/>
        <v>0.18943248532289628</v>
      </c>
      <c r="CQ660" s="1116" t="str">
        <f t="shared" si="2294"/>
        <v/>
      </c>
      <c r="CR660" s="1116" t="str">
        <f t="shared" si="2294"/>
        <v/>
      </c>
      <c r="CS660" s="1115" t="str">
        <f t="shared" si="2294"/>
        <v/>
      </c>
      <c r="CT660" s="1118" t="str">
        <f t="shared" si="2294"/>
        <v/>
      </c>
      <c r="CU660" s="312" t="str">
        <f t="shared" si="2295"/>
        <v/>
      </c>
      <c r="CV660" s="313" t="str">
        <f t="shared" si="2296"/>
        <v/>
      </c>
      <c r="CW660" s="314" t="str">
        <f t="shared" si="2297"/>
        <v/>
      </c>
      <c r="CX660" s="314" t="str">
        <f t="shared" si="2298"/>
        <v/>
      </c>
      <c r="CY660" s="314">
        <f t="shared" si="2299"/>
        <v>3.1572080887149384E-2</v>
      </c>
      <c r="CZ660" s="314">
        <f t="shared" si="2300"/>
        <v>4.7358121330724069E-2</v>
      </c>
      <c r="DA660" s="314">
        <f t="shared" si="2301"/>
        <v>5.4123567235113218E-2</v>
      </c>
      <c r="DB660" s="315">
        <f t="shared" si="2302"/>
        <v>7.1037181996086107E-2</v>
      </c>
      <c r="DC660" s="315">
        <f t="shared" si="2303"/>
        <v>8.8796477495107634E-2</v>
      </c>
      <c r="DD660" s="315">
        <f t="shared" si="2304"/>
        <v>9.6868884540117411E-2</v>
      </c>
      <c r="DE660" s="314">
        <f t="shared" si="2305"/>
        <v>0.10824713447022644</v>
      </c>
      <c r="DF660" s="314">
        <f t="shared" si="2306"/>
        <v>0.14207436399217221</v>
      </c>
      <c r="DG660" s="314">
        <f t="shared" si="2307"/>
        <v>0.21311154598825832</v>
      </c>
      <c r="DH660" s="314" t="str">
        <f t="shared" si="2308"/>
        <v/>
      </c>
      <c r="DI660" s="314" t="str">
        <f t="shared" si="2309"/>
        <v/>
      </c>
      <c r="DJ660" s="313" t="str">
        <f t="shared" si="2310"/>
        <v/>
      </c>
      <c r="DK660" s="312" t="str">
        <f t="shared" si="2311"/>
        <v/>
      </c>
      <c r="DL660" s="428">
        <f t="shared" si="2312"/>
        <v>9</v>
      </c>
      <c r="DM660" s="66">
        <f t="shared" si="2313"/>
        <v>9</v>
      </c>
      <c r="DN660" s="66">
        <f t="shared" si="2314"/>
        <v>3</v>
      </c>
      <c r="DO660" s="66">
        <f t="shared" si="2315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289"/>
        <v/>
      </c>
      <c r="CA661" s="373" t="str">
        <f t="shared" si="2290"/>
        <v/>
      </c>
      <c r="CB661" s="373" t="str">
        <f t="shared" si="2291"/>
        <v/>
      </c>
      <c r="CC661" s="462" t="str">
        <f t="shared" si="2292"/>
        <v/>
      </c>
      <c r="CD661" s="1109" t="str">
        <f t="shared" ref="CD661:CS662" si="23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0" t="str">
        <f t="shared" si="2320"/>
        <v/>
      </c>
      <c r="CF661" s="1111" t="str">
        <f t="shared" si="2320"/>
        <v/>
      </c>
      <c r="CG661" s="1111" t="str">
        <f t="shared" si="2320"/>
        <v/>
      </c>
      <c r="CH661" s="1111" t="str">
        <f t="shared" si="2320"/>
        <v/>
      </c>
      <c r="CI661" s="1111" t="str">
        <f t="shared" si="2320"/>
        <v/>
      </c>
      <c r="CJ661" s="1111" t="str">
        <f t="shared" si="2320"/>
        <v/>
      </c>
      <c r="CK661" s="1112" t="str">
        <f t="shared" si="2320"/>
        <v/>
      </c>
      <c r="CL661" s="1112" t="str">
        <f t="shared" si="2320"/>
        <v/>
      </c>
      <c r="CM661" s="1112" t="str">
        <f t="shared" si="2320"/>
        <v/>
      </c>
      <c r="CN661" s="1111" t="str">
        <f t="shared" si="2320"/>
        <v/>
      </c>
      <c r="CO661" s="1111" t="str">
        <f t="shared" si="2320"/>
        <v/>
      </c>
      <c r="CP661" s="1111" t="str">
        <f t="shared" si="2320"/>
        <v/>
      </c>
      <c r="CQ661" s="1111" t="str">
        <f t="shared" si="2320"/>
        <v/>
      </c>
      <c r="CR661" s="1111" t="str">
        <f t="shared" si="2320"/>
        <v/>
      </c>
      <c r="CS661" s="1110" t="str">
        <f t="shared" si="2320"/>
        <v/>
      </c>
      <c r="CT661" s="1113" t="str">
        <f t="shared" ref="CE661:CT675" si="23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295"/>
        <v/>
      </c>
      <c r="CV661" s="325" t="str">
        <f t="shared" si="2296"/>
        <v/>
      </c>
      <c r="CW661" s="326" t="str">
        <f t="shared" si="2297"/>
        <v/>
      </c>
      <c r="CX661" s="326" t="str">
        <f t="shared" si="2298"/>
        <v/>
      </c>
      <c r="CY661" s="326" t="str">
        <f t="shared" si="2299"/>
        <v/>
      </c>
      <c r="CZ661" s="326" t="str">
        <f t="shared" si="2300"/>
        <v/>
      </c>
      <c r="DA661" s="326" t="str">
        <f t="shared" si="2301"/>
        <v/>
      </c>
      <c r="DB661" s="327" t="str">
        <f t="shared" si="2302"/>
        <v/>
      </c>
      <c r="DC661" s="327" t="str">
        <f t="shared" si="2303"/>
        <v/>
      </c>
      <c r="DD661" s="327" t="str">
        <f t="shared" si="2304"/>
        <v/>
      </c>
      <c r="DE661" s="326" t="str">
        <f t="shared" si="2305"/>
        <v/>
      </c>
      <c r="DF661" s="326" t="str">
        <f t="shared" si="2306"/>
        <v/>
      </c>
      <c r="DG661" s="326" t="str">
        <f t="shared" si="2307"/>
        <v/>
      </c>
      <c r="DH661" s="326" t="str">
        <f t="shared" si="2308"/>
        <v/>
      </c>
      <c r="DI661" s="326" t="str">
        <f t="shared" si="2309"/>
        <v/>
      </c>
      <c r="DJ661" s="325" t="str">
        <f t="shared" si="2310"/>
        <v/>
      </c>
      <c r="DK661" s="324" t="str">
        <f t="shared" si="2311"/>
        <v/>
      </c>
      <c r="DL661" s="428">
        <f t="shared" si="2312"/>
        <v>0</v>
      </c>
      <c r="DM661" s="66">
        <f t="shared" si="2313"/>
        <v>0</v>
      </c>
      <c r="DN661" s="66">
        <f t="shared" si="2314"/>
        <v>0</v>
      </c>
      <c r="DO661" s="66">
        <f t="shared" si="2315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289"/>
        <v/>
      </c>
      <c r="CA662" s="373" t="str">
        <f t="shared" si="2290"/>
        <v/>
      </c>
      <c r="CB662" s="373" t="str">
        <f t="shared" si="2291"/>
        <v/>
      </c>
      <c r="CC662" s="462" t="str">
        <f t="shared" si="2292"/>
        <v/>
      </c>
      <c r="CD662" s="1109" t="str">
        <f t="shared" si="2320"/>
        <v/>
      </c>
      <c r="CE662" s="1110" t="str">
        <f t="shared" si="2321"/>
        <v/>
      </c>
      <c r="CF662" s="1111" t="str">
        <f t="shared" si="2321"/>
        <v/>
      </c>
      <c r="CG662" s="1111" t="str">
        <f t="shared" si="2321"/>
        <v/>
      </c>
      <c r="CH662" s="1111" t="str">
        <f t="shared" si="2321"/>
        <v/>
      </c>
      <c r="CI662" s="1111" t="str">
        <f t="shared" si="2321"/>
        <v/>
      </c>
      <c r="CJ662" s="1111" t="str">
        <f t="shared" si="2321"/>
        <v/>
      </c>
      <c r="CK662" s="1112" t="str">
        <f t="shared" si="2321"/>
        <v/>
      </c>
      <c r="CL662" s="1112" t="str">
        <f t="shared" si="2321"/>
        <v/>
      </c>
      <c r="CM662" s="1112" t="str">
        <f t="shared" si="2321"/>
        <v/>
      </c>
      <c r="CN662" s="1111" t="str">
        <f t="shared" si="2321"/>
        <v/>
      </c>
      <c r="CO662" s="1111" t="str">
        <f t="shared" si="2321"/>
        <v/>
      </c>
      <c r="CP662" s="1111" t="str">
        <f t="shared" si="2321"/>
        <v/>
      </c>
      <c r="CQ662" s="1111" t="str">
        <f t="shared" si="2321"/>
        <v/>
      </c>
      <c r="CR662" s="1111" t="str">
        <f t="shared" si="2321"/>
        <v/>
      </c>
      <c r="CS662" s="1110" t="str">
        <f t="shared" si="2321"/>
        <v/>
      </c>
      <c r="CT662" s="1113" t="str">
        <f t="shared" si="2321"/>
        <v/>
      </c>
      <c r="CU662" s="324" t="str">
        <f t="shared" si="2295"/>
        <v/>
      </c>
      <c r="CV662" s="325" t="str">
        <f t="shared" si="2296"/>
        <v/>
      </c>
      <c r="CW662" s="326" t="str">
        <f t="shared" si="2297"/>
        <v/>
      </c>
      <c r="CX662" s="326" t="str">
        <f t="shared" si="2298"/>
        <v/>
      </c>
      <c r="CY662" s="326" t="str">
        <f t="shared" si="2299"/>
        <v/>
      </c>
      <c r="CZ662" s="326" t="str">
        <f t="shared" si="2300"/>
        <v/>
      </c>
      <c r="DA662" s="326" t="str">
        <f t="shared" si="2301"/>
        <v/>
      </c>
      <c r="DB662" s="327" t="str">
        <f t="shared" si="2302"/>
        <v/>
      </c>
      <c r="DC662" s="327" t="str">
        <f t="shared" si="2303"/>
        <v/>
      </c>
      <c r="DD662" s="327" t="str">
        <f t="shared" si="2304"/>
        <v/>
      </c>
      <c r="DE662" s="326" t="str">
        <f t="shared" si="2305"/>
        <v/>
      </c>
      <c r="DF662" s="326" t="str">
        <f t="shared" si="2306"/>
        <v/>
      </c>
      <c r="DG662" s="326" t="str">
        <f t="shared" si="2307"/>
        <v/>
      </c>
      <c r="DH662" s="326" t="str">
        <f t="shared" si="2308"/>
        <v/>
      </c>
      <c r="DI662" s="326" t="str">
        <f t="shared" si="2309"/>
        <v/>
      </c>
      <c r="DJ662" s="325" t="str">
        <f t="shared" si="2310"/>
        <v/>
      </c>
      <c r="DK662" s="324" t="str">
        <f t="shared" si="2311"/>
        <v/>
      </c>
      <c r="DL662" s="428">
        <f t="shared" si="2312"/>
        <v>0</v>
      </c>
      <c r="DM662" s="66">
        <f t="shared" si="2313"/>
        <v>0</v>
      </c>
      <c r="DN662" s="66">
        <f t="shared" si="2314"/>
        <v>0</v>
      </c>
      <c r="DO662" s="66">
        <f t="shared" si="2315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322">IF(B661="","",B661/B$46*B662/12)</f>
        <v/>
      </c>
      <c r="C663" s="531" t="str">
        <f t="shared" si="2322"/>
        <v/>
      </c>
      <c r="D663" s="531" t="str">
        <f t="shared" si="2322"/>
        <v/>
      </c>
      <c r="E663" s="531" t="str">
        <f t="shared" si="2322"/>
        <v/>
      </c>
      <c r="F663" s="531" t="str">
        <f t="shared" si="2322"/>
        <v/>
      </c>
      <c r="G663" s="531" t="str">
        <f t="shared" si="2322"/>
        <v/>
      </c>
      <c r="H663" s="531" t="str">
        <f t="shared" si="2322"/>
        <v/>
      </c>
      <c r="I663" s="531" t="str">
        <f t="shared" si="2322"/>
        <v/>
      </c>
      <c r="J663" s="531" t="str">
        <f t="shared" si="2322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323">IF(T661="","",T661/T$46*T662/12)</f>
        <v/>
      </c>
      <c r="U663" s="531" t="str">
        <f t="shared" si="2323"/>
        <v/>
      </c>
      <c r="V663" s="531" t="str">
        <f t="shared" si="2323"/>
        <v/>
      </c>
      <c r="W663" s="531" t="str">
        <f t="shared" si="2323"/>
        <v/>
      </c>
      <c r="X663" s="531" t="str">
        <f t="shared" si="2323"/>
        <v/>
      </c>
      <c r="Y663" s="531" t="str">
        <f t="shared" si="2323"/>
        <v/>
      </c>
      <c r="Z663" s="531" t="str">
        <f t="shared" si="2323"/>
        <v/>
      </c>
      <c r="AA663" s="531" t="str">
        <f t="shared" si="2323"/>
        <v/>
      </c>
      <c r="AB663" s="531" t="str">
        <f t="shared" si="2323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324">IF(AL661="","",AL661/AL$46*AL662/12)</f>
        <v/>
      </c>
      <c r="AM663" s="531" t="str">
        <f t="shared" si="2324"/>
        <v/>
      </c>
      <c r="AN663" s="531" t="str">
        <f t="shared" si="2324"/>
        <v/>
      </c>
      <c r="AO663" s="531" t="str">
        <f t="shared" si="2324"/>
        <v/>
      </c>
      <c r="AP663" s="531" t="str">
        <f t="shared" si="2324"/>
        <v/>
      </c>
      <c r="AQ663" s="531" t="str">
        <f t="shared" si="2324"/>
        <v/>
      </c>
      <c r="AR663" s="531" t="str">
        <f t="shared" si="2324"/>
        <v/>
      </c>
      <c r="AS663" s="531" t="str">
        <f t="shared" si="2324"/>
        <v/>
      </c>
      <c r="AT663" s="531" t="str">
        <f t="shared" si="2324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325">IF(BJ661="","",BJ661/BJ$46*BJ662/12)</f>
        <v/>
      </c>
      <c r="BK663" s="531" t="str">
        <f t="shared" si="2325"/>
        <v/>
      </c>
      <c r="BL663" s="531" t="str">
        <f t="shared" si="2325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289"/>
        <v/>
      </c>
      <c r="CA663" s="398" t="str">
        <f t="shared" si="2290"/>
        <v/>
      </c>
      <c r="CB663" s="398" t="str">
        <f t="shared" si="2291"/>
        <v/>
      </c>
      <c r="CC663" s="465" t="str">
        <f t="shared" si="2292"/>
        <v/>
      </c>
      <c r="CD663" s="111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5" t="str">
        <f t="shared" si="2321"/>
        <v/>
      </c>
      <c r="CF663" s="1116" t="str">
        <f t="shared" si="2321"/>
        <v/>
      </c>
      <c r="CG663" s="1116" t="str">
        <f t="shared" si="2321"/>
        <v/>
      </c>
      <c r="CH663" s="1116" t="str">
        <f t="shared" si="2321"/>
        <v/>
      </c>
      <c r="CI663" s="1116" t="str">
        <f t="shared" si="2321"/>
        <v/>
      </c>
      <c r="CJ663" s="1116" t="str">
        <f t="shared" si="2321"/>
        <v/>
      </c>
      <c r="CK663" s="1117" t="str">
        <f t="shared" si="2321"/>
        <v/>
      </c>
      <c r="CL663" s="1117" t="str">
        <f t="shared" si="2321"/>
        <v/>
      </c>
      <c r="CM663" s="1117" t="str">
        <f t="shared" si="2321"/>
        <v/>
      </c>
      <c r="CN663" s="1116" t="str">
        <f t="shared" si="2321"/>
        <v/>
      </c>
      <c r="CO663" s="1116" t="str">
        <f t="shared" si="2321"/>
        <v/>
      </c>
      <c r="CP663" s="1116" t="str">
        <f t="shared" si="2321"/>
        <v/>
      </c>
      <c r="CQ663" s="1116" t="str">
        <f t="shared" si="2321"/>
        <v/>
      </c>
      <c r="CR663" s="1116" t="str">
        <f t="shared" si="2321"/>
        <v/>
      </c>
      <c r="CS663" s="1115" t="str">
        <f t="shared" si="2321"/>
        <v/>
      </c>
      <c r="CT663" s="1118" t="str">
        <f t="shared" si="2321"/>
        <v/>
      </c>
      <c r="CU663" s="312" t="str">
        <f t="shared" si="2295"/>
        <v/>
      </c>
      <c r="CV663" s="313" t="str">
        <f t="shared" si="2296"/>
        <v/>
      </c>
      <c r="CW663" s="314" t="str">
        <f t="shared" si="2297"/>
        <v/>
      </c>
      <c r="CX663" s="314" t="str">
        <f t="shared" si="2298"/>
        <v/>
      </c>
      <c r="CY663" s="314" t="str">
        <f t="shared" si="2299"/>
        <v/>
      </c>
      <c r="CZ663" s="314" t="str">
        <f t="shared" si="2300"/>
        <v/>
      </c>
      <c r="DA663" s="314" t="str">
        <f t="shared" si="2301"/>
        <v/>
      </c>
      <c r="DB663" s="315" t="str">
        <f t="shared" si="2302"/>
        <v/>
      </c>
      <c r="DC663" s="315" t="str">
        <f t="shared" si="2303"/>
        <v/>
      </c>
      <c r="DD663" s="315" t="str">
        <f t="shared" si="2304"/>
        <v/>
      </c>
      <c r="DE663" s="314" t="str">
        <f t="shared" si="2305"/>
        <v/>
      </c>
      <c r="DF663" s="314" t="str">
        <f t="shared" si="2306"/>
        <v/>
      </c>
      <c r="DG663" s="314" t="str">
        <f t="shared" si="2307"/>
        <v/>
      </c>
      <c r="DH663" s="314" t="str">
        <f t="shared" si="2308"/>
        <v/>
      </c>
      <c r="DI663" s="314" t="str">
        <f t="shared" si="2309"/>
        <v/>
      </c>
      <c r="DJ663" s="313" t="str">
        <f t="shared" si="2310"/>
        <v/>
      </c>
      <c r="DK663" s="312" t="str">
        <f t="shared" si="2311"/>
        <v/>
      </c>
      <c r="DL663" s="428">
        <f t="shared" si="2312"/>
        <v>0</v>
      </c>
      <c r="DM663" s="66">
        <f t="shared" si="2313"/>
        <v>0</v>
      </c>
      <c r="DN663" s="66">
        <f t="shared" si="2314"/>
        <v>0</v>
      </c>
      <c r="DO663" s="66">
        <f t="shared" si="2315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0"/>
      <c r="CE664" s="1120"/>
      <c r="CF664" s="1120"/>
      <c r="CG664" s="1120"/>
      <c r="CH664" s="1120"/>
      <c r="CI664" s="1120"/>
      <c r="CJ664" s="1120"/>
      <c r="CK664" s="1120"/>
      <c r="CL664" s="1120"/>
      <c r="CM664" s="1120"/>
      <c r="CN664" s="1120"/>
      <c r="CO664" s="1120"/>
      <c r="CP664" s="1120"/>
      <c r="CQ664" s="1120"/>
      <c r="CR664" s="1120"/>
      <c r="CS664" s="1120"/>
      <c r="CT664" s="1121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326">IF(DL665&lt;3,"",(SUM(B665:R665)-MIN(B665:R665)-MAX(B665:R665))/(DL665-2))</f>
        <v/>
      </c>
      <c r="CA665" s="373" t="str">
        <f t="shared" ref="CA665:CA680" si="2327">IF(DM665&lt;3,"",(SUM(T665:AJ665)-MIN(T665:AJ665)-MAX(T665:AJ665))/(DM665-2))</f>
        <v/>
      </c>
      <c r="CB665" s="373" t="str">
        <f t="shared" ref="CB665:CB680" si="2328">IF(DN665&lt;3,"",(SUM(AL665:BB665)-MIN(AL665:BB665)-MAX(AL665:BB665))/(DN665-2))</f>
        <v/>
      </c>
      <c r="CC665" s="462" t="str">
        <f t="shared" ref="CC665:CC680" si="2329">IF(DO665&lt;3,"",(SUM(BD665:BT665)-MIN(BD665:BT665)-MAX(BD665:BT665))/(DO665-2))</f>
        <v/>
      </c>
      <c r="CD665" s="1109" t="str">
        <f t="shared" ref="CD665:CD675" si="233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0" t="str">
        <f t="shared" si="2321"/>
        <v/>
      </c>
      <c r="CF665" s="1111" t="str">
        <f t="shared" si="2321"/>
        <v/>
      </c>
      <c r="CG665" s="1111" t="str">
        <f t="shared" si="2321"/>
        <v/>
      </c>
      <c r="CH665" s="1111" t="str">
        <f t="shared" si="2321"/>
        <v/>
      </c>
      <c r="CI665" s="1111" t="str">
        <f t="shared" si="2321"/>
        <v/>
      </c>
      <c r="CJ665" s="1111" t="str">
        <f t="shared" si="2321"/>
        <v/>
      </c>
      <c r="CK665" s="1112" t="str">
        <f t="shared" si="2321"/>
        <v/>
      </c>
      <c r="CL665" s="1112" t="str">
        <f t="shared" si="2321"/>
        <v/>
      </c>
      <c r="CM665" s="1112" t="str">
        <f t="shared" si="2321"/>
        <v/>
      </c>
      <c r="CN665" s="1111" t="str">
        <f t="shared" si="2321"/>
        <v/>
      </c>
      <c r="CO665" s="1111" t="str">
        <f t="shared" si="2321"/>
        <v/>
      </c>
      <c r="CP665" s="1111" t="str">
        <f t="shared" si="2321"/>
        <v/>
      </c>
      <c r="CQ665" s="1111" t="str">
        <f t="shared" si="2321"/>
        <v/>
      </c>
      <c r="CR665" s="1111" t="str">
        <f t="shared" si="2321"/>
        <v/>
      </c>
      <c r="CS665" s="1110" t="str">
        <f t="shared" si="2321"/>
        <v/>
      </c>
      <c r="CT665" s="1113" t="str">
        <f t="shared" si="2321"/>
        <v/>
      </c>
      <c r="CU665" s="324" t="str">
        <f t="shared" ref="CU665:CU675" si="233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33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33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33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33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33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33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33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33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34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34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34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34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34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34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34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34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348">COUNT(B665:R665)</f>
        <v>0</v>
      </c>
      <c r="DM665" s="66">
        <f t="shared" ref="DM665:DM675" si="2349">COUNT(T665:AJ665)</f>
        <v>0</v>
      </c>
      <c r="DN665" s="66">
        <f t="shared" ref="DN665:DN675" si="2350">COUNT(AL665:BB665)</f>
        <v>0</v>
      </c>
      <c r="DO665" s="66">
        <f t="shared" ref="DO665:DO675" si="2351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352">IF(B665="","",B665/B$46*8/12*5/7*0.5)</f>
        <v/>
      </c>
      <c r="C666" s="408" t="str">
        <f t="shared" si="2352"/>
        <v/>
      </c>
      <c r="D666" s="408" t="str">
        <f t="shared" si="2352"/>
        <v/>
      </c>
      <c r="E666" s="408" t="str">
        <f t="shared" si="2352"/>
        <v/>
      </c>
      <c r="F666" s="408" t="str">
        <f t="shared" si="2352"/>
        <v/>
      </c>
      <c r="G666" s="408" t="str">
        <f t="shared" si="2352"/>
        <v/>
      </c>
      <c r="H666" s="408" t="str">
        <f t="shared" si="2352"/>
        <v/>
      </c>
      <c r="I666" s="408" t="str">
        <f t="shared" si="2352"/>
        <v/>
      </c>
      <c r="J666" s="408" t="str">
        <f t="shared" si="2352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353">IF(T665="","",T665/T$46*8/12*5/7*0.5)</f>
        <v/>
      </c>
      <c r="U666" s="408" t="str">
        <f t="shared" si="2353"/>
        <v/>
      </c>
      <c r="V666" s="408" t="str">
        <f t="shared" si="2353"/>
        <v/>
      </c>
      <c r="W666" s="408" t="str">
        <f t="shared" si="2353"/>
        <v/>
      </c>
      <c r="X666" s="408" t="str">
        <f t="shared" si="2353"/>
        <v/>
      </c>
      <c r="Y666" s="408" t="str">
        <f t="shared" si="2353"/>
        <v/>
      </c>
      <c r="Z666" s="408" t="str">
        <f t="shared" si="2353"/>
        <v/>
      </c>
      <c r="AA666" s="408" t="str">
        <f t="shared" si="2353"/>
        <v/>
      </c>
      <c r="AB666" s="408" t="str">
        <f t="shared" si="2353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354">IF(AL665="","",AL665/AL$46*8/12*5/7*0.5)</f>
        <v/>
      </c>
      <c r="AM666" s="408" t="str">
        <f t="shared" si="2354"/>
        <v/>
      </c>
      <c r="AN666" s="408" t="str">
        <f t="shared" si="2354"/>
        <v/>
      </c>
      <c r="AO666" s="408" t="str">
        <f t="shared" si="2354"/>
        <v/>
      </c>
      <c r="AP666" s="408" t="str">
        <f t="shared" si="2354"/>
        <v/>
      </c>
      <c r="AQ666" s="408" t="str">
        <f t="shared" si="2354"/>
        <v/>
      </c>
      <c r="AR666" s="408" t="str">
        <f t="shared" si="2354"/>
        <v/>
      </c>
      <c r="AS666" s="408" t="str">
        <f t="shared" si="2354"/>
        <v/>
      </c>
      <c r="AT666" s="408" t="str">
        <f t="shared" si="2354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355">IF(BD665="","",BD665/BD$46*8/12*5/7*0.5)</f>
        <v/>
      </c>
      <c r="BE666" s="408" t="str">
        <f t="shared" si="2355"/>
        <v/>
      </c>
      <c r="BF666" s="408" t="str">
        <f t="shared" si="2355"/>
        <v/>
      </c>
      <c r="BG666" s="408" t="str">
        <f t="shared" si="2355"/>
        <v/>
      </c>
      <c r="BH666" s="408" t="str">
        <f t="shared" si="2355"/>
        <v/>
      </c>
      <c r="BI666" s="408" t="str">
        <f t="shared" si="2355"/>
        <v/>
      </c>
      <c r="BJ666" s="408" t="str">
        <f t="shared" si="2355"/>
        <v/>
      </c>
      <c r="BK666" s="408" t="str">
        <f t="shared" si="2355"/>
        <v/>
      </c>
      <c r="BL666" s="408" t="str">
        <f t="shared" si="2355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326"/>
        <v/>
      </c>
      <c r="CA666" s="398" t="str">
        <f t="shared" si="2327"/>
        <v/>
      </c>
      <c r="CB666" s="398" t="str">
        <f t="shared" si="2328"/>
        <v/>
      </c>
      <c r="CC666" s="465" t="str">
        <f t="shared" si="2329"/>
        <v/>
      </c>
      <c r="CD666" s="1114" t="str">
        <f t="shared" si="2330"/>
        <v/>
      </c>
      <c r="CE666" s="1115" t="str">
        <f t="shared" si="2321"/>
        <v/>
      </c>
      <c r="CF666" s="1116" t="str">
        <f t="shared" si="2321"/>
        <v/>
      </c>
      <c r="CG666" s="1116" t="str">
        <f t="shared" si="2321"/>
        <v/>
      </c>
      <c r="CH666" s="1116" t="str">
        <f t="shared" si="2321"/>
        <v/>
      </c>
      <c r="CI666" s="1116" t="str">
        <f t="shared" si="2321"/>
        <v/>
      </c>
      <c r="CJ666" s="1116" t="str">
        <f t="shared" si="2321"/>
        <v/>
      </c>
      <c r="CK666" s="1117" t="str">
        <f t="shared" si="2321"/>
        <v/>
      </c>
      <c r="CL666" s="1117" t="str">
        <f t="shared" si="2321"/>
        <v/>
      </c>
      <c r="CM666" s="1117" t="str">
        <f t="shared" si="2321"/>
        <v/>
      </c>
      <c r="CN666" s="1116" t="str">
        <f t="shared" si="2321"/>
        <v/>
      </c>
      <c r="CO666" s="1116" t="str">
        <f t="shared" si="2321"/>
        <v/>
      </c>
      <c r="CP666" s="1116" t="str">
        <f t="shared" si="2321"/>
        <v/>
      </c>
      <c r="CQ666" s="1116" t="str">
        <f t="shared" si="2321"/>
        <v/>
      </c>
      <c r="CR666" s="1116" t="str">
        <f t="shared" si="2321"/>
        <v/>
      </c>
      <c r="CS666" s="1115" t="str">
        <f t="shared" si="2321"/>
        <v/>
      </c>
      <c r="CT666" s="1118" t="str">
        <f t="shared" si="2321"/>
        <v/>
      </c>
      <c r="CU666" s="312" t="str">
        <f t="shared" si="2331"/>
        <v/>
      </c>
      <c r="CV666" s="313" t="str">
        <f t="shared" si="2332"/>
        <v/>
      </c>
      <c r="CW666" s="314" t="str">
        <f t="shared" si="2333"/>
        <v/>
      </c>
      <c r="CX666" s="314" t="str">
        <f t="shared" si="2334"/>
        <v/>
      </c>
      <c r="CY666" s="314" t="str">
        <f t="shared" si="2335"/>
        <v/>
      </c>
      <c r="CZ666" s="314" t="str">
        <f t="shared" si="2336"/>
        <v/>
      </c>
      <c r="DA666" s="314" t="str">
        <f t="shared" si="2337"/>
        <v/>
      </c>
      <c r="DB666" s="315" t="str">
        <f t="shared" si="2338"/>
        <v/>
      </c>
      <c r="DC666" s="315" t="str">
        <f t="shared" si="2339"/>
        <v/>
      </c>
      <c r="DD666" s="315" t="str">
        <f t="shared" si="2340"/>
        <v/>
      </c>
      <c r="DE666" s="314" t="str">
        <f t="shared" si="2341"/>
        <v/>
      </c>
      <c r="DF666" s="314" t="str">
        <f t="shared" si="2342"/>
        <v/>
      </c>
      <c r="DG666" s="314" t="str">
        <f t="shared" si="2343"/>
        <v/>
      </c>
      <c r="DH666" s="314" t="str">
        <f t="shared" si="2344"/>
        <v/>
      </c>
      <c r="DI666" s="314" t="str">
        <f t="shared" si="2345"/>
        <v/>
      </c>
      <c r="DJ666" s="313" t="str">
        <f t="shared" si="2346"/>
        <v/>
      </c>
      <c r="DK666" s="312" t="str">
        <f t="shared" si="2347"/>
        <v/>
      </c>
      <c r="DL666" s="428">
        <f t="shared" si="2348"/>
        <v>0</v>
      </c>
      <c r="DM666" s="66">
        <f t="shared" si="2349"/>
        <v>0</v>
      </c>
      <c r="DN666" s="66">
        <f t="shared" si="2350"/>
        <v>0</v>
      </c>
      <c r="DO666" s="66">
        <f t="shared" si="2351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326"/>
        <v/>
      </c>
      <c r="CA667" s="373" t="str">
        <f t="shared" si="2327"/>
        <v/>
      </c>
      <c r="CB667" s="373" t="str">
        <f t="shared" si="2328"/>
        <v/>
      </c>
      <c r="CC667" s="462" t="str">
        <f t="shared" si="2329"/>
        <v/>
      </c>
      <c r="CD667" s="1109" t="str">
        <f t="shared" si="2330"/>
        <v/>
      </c>
      <c r="CE667" s="1110" t="str">
        <f t="shared" si="2321"/>
        <v/>
      </c>
      <c r="CF667" s="1111" t="str">
        <f t="shared" si="2321"/>
        <v/>
      </c>
      <c r="CG667" s="1111" t="str">
        <f t="shared" si="2321"/>
        <v/>
      </c>
      <c r="CH667" s="1111" t="str">
        <f t="shared" si="2321"/>
        <v/>
      </c>
      <c r="CI667" s="1111" t="str">
        <f t="shared" si="2321"/>
        <v/>
      </c>
      <c r="CJ667" s="1111" t="str">
        <f t="shared" si="2321"/>
        <v/>
      </c>
      <c r="CK667" s="1112" t="str">
        <f t="shared" si="2321"/>
        <v/>
      </c>
      <c r="CL667" s="1112" t="str">
        <f t="shared" si="2321"/>
        <v/>
      </c>
      <c r="CM667" s="1112" t="str">
        <f t="shared" si="2321"/>
        <v/>
      </c>
      <c r="CN667" s="1111" t="str">
        <f t="shared" si="2321"/>
        <v/>
      </c>
      <c r="CO667" s="1111" t="str">
        <f t="shared" si="2321"/>
        <v/>
      </c>
      <c r="CP667" s="1111" t="str">
        <f t="shared" si="2321"/>
        <v/>
      </c>
      <c r="CQ667" s="1111" t="str">
        <f t="shared" si="2321"/>
        <v/>
      </c>
      <c r="CR667" s="1111" t="str">
        <f t="shared" si="2321"/>
        <v/>
      </c>
      <c r="CS667" s="1110" t="str">
        <f t="shared" si="2321"/>
        <v/>
      </c>
      <c r="CT667" s="1113" t="str">
        <f t="shared" si="2321"/>
        <v/>
      </c>
      <c r="CU667" s="324" t="str">
        <f t="shared" si="2331"/>
        <v/>
      </c>
      <c r="CV667" s="325" t="str">
        <f t="shared" si="2332"/>
        <v/>
      </c>
      <c r="CW667" s="326" t="str">
        <f t="shared" si="2333"/>
        <v/>
      </c>
      <c r="CX667" s="326" t="str">
        <f t="shared" si="2334"/>
        <v/>
      </c>
      <c r="CY667" s="326" t="str">
        <f t="shared" si="2335"/>
        <v/>
      </c>
      <c r="CZ667" s="326" t="str">
        <f t="shared" si="2336"/>
        <v/>
      </c>
      <c r="DA667" s="326" t="str">
        <f t="shared" si="2337"/>
        <v/>
      </c>
      <c r="DB667" s="327" t="str">
        <f t="shared" si="2338"/>
        <v/>
      </c>
      <c r="DC667" s="327" t="str">
        <f t="shared" si="2339"/>
        <v/>
      </c>
      <c r="DD667" s="327" t="str">
        <f t="shared" si="2340"/>
        <v/>
      </c>
      <c r="DE667" s="326" t="str">
        <f t="shared" si="2341"/>
        <v/>
      </c>
      <c r="DF667" s="326" t="str">
        <f t="shared" si="2342"/>
        <v/>
      </c>
      <c r="DG667" s="326" t="str">
        <f t="shared" si="2343"/>
        <v/>
      </c>
      <c r="DH667" s="326" t="str">
        <f t="shared" si="2344"/>
        <v/>
      </c>
      <c r="DI667" s="326" t="str">
        <f t="shared" si="2345"/>
        <v/>
      </c>
      <c r="DJ667" s="325" t="str">
        <f t="shared" si="2346"/>
        <v/>
      </c>
      <c r="DK667" s="324" t="str">
        <f t="shared" si="2347"/>
        <v/>
      </c>
      <c r="DL667" s="428">
        <f t="shared" si="2348"/>
        <v>0</v>
      </c>
      <c r="DM667" s="66">
        <f t="shared" si="2349"/>
        <v>0</v>
      </c>
      <c r="DN667" s="66">
        <f t="shared" si="2350"/>
        <v>0</v>
      </c>
      <c r="DO667" s="66">
        <f t="shared" si="2351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326"/>
        <v/>
      </c>
      <c r="CA668" s="373" t="str">
        <f t="shared" si="2327"/>
        <v/>
      </c>
      <c r="CB668" s="373" t="str">
        <f t="shared" si="2328"/>
        <v/>
      </c>
      <c r="CC668" s="462" t="str">
        <f t="shared" si="2329"/>
        <v/>
      </c>
      <c r="CD668" s="1109" t="str">
        <f t="shared" si="2330"/>
        <v/>
      </c>
      <c r="CE668" s="1110" t="str">
        <f t="shared" si="2321"/>
        <v/>
      </c>
      <c r="CF668" s="1111" t="str">
        <f t="shared" si="2321"/>
        <v/>
      </c>
      <c r="CG668" s="1111" t="str">
        <f t="shared" si="2321"/>
        <v/>
      </c>
      <c r="CH668" s="1111" t="str">
        <f t="shared" si="2321"/>
        <v/>
      </c>
      <c r="CI668" s="1111" t="str">
        <f t="shared" si="2321"/>
        <v/>
      </c>
      <c r="CJ668" s="1111" t="str">
        <f t="shared" si="2321"/>
        <v/>
      </c>
      <c r="CK668" s="1112" t="str">
        <f t="shared" si="2321"/>
        <v/>
      </c>
      <c r="CL668" s="1112" t="str">
        <f t="shared" si="2321"/>
        <v/>
      </c>
      <c r="CM668" s="1112" t="str">
        <f t="shared" si="2321"/>
        <v/>
      </c>
      <c r="CN668" s="1111" t="str">
        <f t="shared" si="2321"/>
        <v/>
      </c>
      <c r="CO668" s="1111" t="str">
        <f t="shared" si="2321"/>
        <v/>
      </c>
      <c r="CP668" s="1111" t="str">
        <f t="shared" si="2321"/>
        <v/>
      </c>
      <c r="CQ668" s="1111" t="str">
        <f t="shared" si="2321"/>
        <v/>
      </c>
      <c r="CR668" s="1111" t="str">
        <f t="shared" si="2321"/>
        <v/>
      </c>
      <c r="CS668" s="1110" t="str">
        <f t="shared" si="2321"/>
        <v/>
      </c>
      <c r="CT668" s="1113" t="str">
        <f t="shared" si="2321"/>
        <v/>
      </c>
      <c r="CU668" s="324" t="str">
        <f t="shared" si="2331"/>
        <v/>
      </c>
      <c r="CV668" s="325" t="str">
        <f t="shared" si="2332"/>
        <v/>
      </c>
      <c r="CW668" s="326" t="str">
        <f t="shared" si="2333"/>
        <v/>
      </c>
      <c r="CX668" s="326" t="str">
        <f t="shared" si="2334"/>
        <v/>
      </c>
      <c r="CY668" s="326" t="str">
        <f t="shared" si="2335"/>
        <v/>
      </c>
      <c r="CZ668" s="326" t="str">
        <f t="shared" si="2336"/>
        <v/>
      </c>
      <c r="DA668" s="326" t="str">
        <f t="shared" si="2337"/>
        <v/>
      </c>
      <c r="DB668" s="327" t="str">
        <f t="shared" si="2338"/>
        <v/>
      </c>
      <c r="DC668" s="327" t="str">
        <f t="shared" si="2339"/>
        <v/>
      </c>
      <c r="DD668" s="327" t="str">
        <f t="shared" si="2340"/>
        <v/>
      </c>
      <c r="DE668" s="326" t="str">
        <f t="shared" si="2341"/>
        <v/>
      </c>
      <c r="DF668" s="326" t="str">
        <f t="shared" si="2342"/>
        <v/>
      </c>
      <c r="DG668" s="326" t="str">
        <f t="shared" si="2343"/>
        <v/>
      </c>
      <c r="DH668" s="326" t="str">
        <f t="shared" si="2344"/>
        <v/>
      </c>
      <c r="DI668" s="326" t="str">
        <f t="shared" si="2345"/>
        <v/>
      </c>
      <c r="DJ668" s="325" t="str">
        <f t="shared" si="2346"/>
        <v/>
      </c>
      <c r="DK668" s="324" t="str">
        <f t="shared" si="2347"/>
        <v/>
      </c>
      <c r="DL668" s="428">
        <f t="shared" si="2348"/>
        <v>0</v>
      </c>
      <c r="DM668" s="66">
        <f t="shared" si="2349"/>
        <v>0</v>
      </c>
      <c r="DN668" s="66">
        <f t="shared" si="2350"/>
        <v>0</v>
      </c>
      <c r="DO668" s="66">
        <f t="shared" si="2351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356">IF(B667="","",B667*B668/0.6/B$46/365)</f>
        <v/>
      </c>
      <c r="C669" s="408" t="str">
        <f t="shared" si="2356"/>
        <v/>
      </c>
      <c r="D669" s="408" t="str">
        <f t="shared" si="2356"/>
        <v/>
      </c>
      <c r="E669" s="408" t="str">
        <f t="shared" si="2356"/>
        <v/>
      </c>
      <c r="F669" s="408" t="str">
        <f t="shared" si="2356"/>
        <v/>
      </c>
      <c r="G669" s="408" t="str">
        <f t="shared" si="2356"/>
        <v/>
      </c>
      <c r="H669" s="408" t="str">
        <f t="shared" si="2356"/>
        <v/>
      </c>
      <c r="I669" s="408" t="str">
        <f t="shared" si="2356"/>
        <v/>
      </c>
      <c r="J669" s="408" t="str">
        <f t="shared" si="2356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357">IF(T667="","",T667*T668/0.6/T$46/365)</f>
        <v/>
      </c>
      <c r="U669" s="408" t="str">
        <f t="shared" si="2357"/>
        <v/>
      </c>
      <c r="V669" s="408" t="str">
        <f t="shared" si="2357"/>
        <v/>
      </c>
      <c r="W669" s="408" t="str">
        <f t="shared" si="2357"/>
        <v/>
      </c>
      <c r="X669" s="408" t="str">
        <f t="shared" si="2357"/>
        <v/>
      </c>
      <c r="Y669" s="408" t="str">
        <f t="shared" si="2357"/>
        <v/>
      </c>
      <c r="Z669" s="408" t="str">
        <f t="shared" si="2357"/>
        <v/>
      </c>
      <c r="AA669" s="408" t="str">
        <f t="shared" si="2357"/>
        <v/>
      </c>
      <c r="AB669" s="408" t="str">
        <f t="shared" si="2357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358">IF(AL667="","",AL667*AL668/0.6/AL$46/365)</f>
        <v/>
      </c>
      <c r="AM669" s="408" t="str">
        <f t="shared" si="2358"/>
        <v/>
      </c>
      <c r="AN669" s="408" t="str">
        <f t="shared" si="2358"/>
        <v/>
      </c>
      <c r="AO669" s="408" t="str">
        <f t="shared" si="2358"/>
        <v/>
      </c>
      <c r="AP669" s="408" t="str">
        <f t="shared" si="2358"/>
        <v/>
      </c>
      <c r="AQ669" s="408" t="str">
        <f t="shared" si="2358"/>
        <v/>
      </c>
      <c r="AR669" s="408" t="str">
        <f t="shared" si="2358"/>
        <v/>
      </c>
      <c r="AS669" s="408" t="str">
        <f t="shared" si="2358"/>
        <v/>
      </c>
      <c r="AT669" s="408" t="str">
        <f t="shared" si="2358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359">IF(BD667="","",BD667*BD668/0.6/BD$46/365)</f>
        <v/>
      </c>
      <c r="BE669" s="408" t="str">
        <f t="shared" si="2359"/>
        <v/>
      </c>
      <c r="BF669" s="408" t="str">
        <f t="shared" si="2359"/>
        <v/>
      </c>
      <c r="BG669" s="408" t="str">
        <f t="shared" si="2359"/>
        <v/>
      </c>
      <c r="BH669" s="408" t="str">
        <f t="shared" si="2359"/>
        <v/>
      </c>
      <c r="BI669" s="408" t="str">
        <f t="shared" si="2359"/>
        <v/>
      </c>
      <c r="BJ669" s="408" t="str">
        <f t="shared" si="2359"/>
        <v/>
      </c>
      <c r="BK669" s="408" t="str">
        <f t="shared" si="2359"/>
        <v/>
      </c>
      <c r="BL669" s="408" t="str">
        <f t="shared" si="2359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326"/>
        <v/>
      </c>
      <c r="CA669" s="398" t="str">
        <f t="shared" si="2327"/>
        <v/>
      </c>
      <c r="CB669" s="398" t="str">
        <f t="shared" si="2328"/>
        <v/>
      </c>
      <c r="CC669" s="465" t="str">
        <f t="shared" si="2329"/>
        <v/>
      </c>
      <c r="CD669" s="1114" t="str">
        <f t="shared" si="2330"/>
        <v/>
      </c>
      <c r="CE669" s="1115" t="str">
        <f t="shared" si="2321"/>
        <v/>
      </c>
      <c r="CF669" s="1116" t="str">
        <f t="shared" si="2321"/>
        <v/>
      </c>
      <c r="CG669" s="1116" t="str">
        <f t="shared" si="2321"/>
        <v/>
      </c>
      <c r="CH669" s="1116" t="str">
        <f t="shared" si="2321"/>
        <v/>
      </c>
      <c r="CI669" s="1116" t="str">
        <f t="shared" si="2321"/>
        <v/>
      </c>
      <c r="CJ669" s="1116" t="str">
        <f t="shared" si="2321"/>
        <v/>
      </c>
      <c r="CK669" s="1117" t="str">
        <f t="shared" si="2321"/>
        <v/>
      </c>
      <c r="CL669" s="1117" t="str">
        <f t="shared" si="2321"/>
        <v/>
      </c>
      <c r="CM669" s="1117" t="str">
        <f t="shared" si="2321"/>
        <v/>
      </c>
      <c r="CN669" s="1116" t="str">
        <f t="shared" si="2321"/>
        <v/>
      </c>
      <c r="CO669" s="1116" t="str">
        <f t="shared" si="2321"/>
        <v/>
      </c>
      <c r="CP669" s="1116" t="str">
        <f t="shared" si="2321"/>
        <v/>
      </c>
      <c r="CQ669" s="1116" t="str">
        <f t="shared" si="2321"/>
        <v/>
      </c>
      <c r="CR669" s="1116" t="str">
        <f t="shared" si="2321"/>
        <v/>
      </c>
      <c r="CS669" s="1115" t="str">
        <f t="shared" si="2321"/>
        <v/>
      </c>
      <c r="CT669" s="1118" t="str">
        <f t="shared" si="2321"/>
        <v/>
      </c>
      <c r="CU669" s="312" t="str">
        <f t="shared" si="2331"/>
        <v/>
      </c>
      <c r="CV669" s="313" t="str">
        <f t="shared" si="2332"/>
        <v/>
      </c>
      <c r="CW669" s="314" t="str">
        <f t="shared" si="2333"/>
        <v/>
      </c>
      <c r="CX669" s="314" t="str">
        <f t="shared" si="2334"/>
        <v/>
      </c>
      <c r="CY669" s="314" t="str">
        <f t="shared" si="2335"/>
        <v/>
      </c>
      <c r="CZ669" s="314" t="str">
        <f t="shared" si="2336"/>
        <v/>
      </c>
      <c r="DA669" s="314" t="str">
        <f t="shared" si="2337"/>
        <v/>
      </c>
      <c r="DB669" s="315" t="str">
        <f t="shared" si="2338"/>
        <v/>
      </c>
      <c r="DC669" s="315" t="str">
        <f t="shared" si="2339"/>
        <v/>
      </c>
      <c r="DD669" s="315" t="str">
        <f t="shared" si="2340"/>
        <v/>
      </c>
      <c r="DE669" s="314" t="str">
        <f t="shared" si="2341"/>
        <v/>
      </c>
      <c r="DF669" s="314" t="str">
        <f t="shared" si="2342"/>
        <v/>
      </c>
      <c r="DG669" s="314" t="str">
        <f t="shared" si="2343"/>
        <v/>
      </c>
      <c r="DH669" s="314" t="str">
        <f t="shared" si="2344"/>
        <v/>
      </c>
      <c r="DI669" s="314" t="str">
        <f t="shared" si="2345"/>
        <v/>
      </c>
      <c r="DJ669" s="313" t="str">
        <f t="shared" si="2346"/>
        <v/>
      </c>
      <c r="DK669" s="312" t="str">
        <f t="shared" si="2347"/>
        <v/>
      </c>
      <c r="DL669" s="428">
        <f t="shared" si="2348"/>
        <v>0</v>
      </c>
      <c r="DM669" s="66">
        <f t="shared" si="2349"/>
        <v>0</v>
      </c>
      <c r="DN669" s="66">
        <f t="shared" si="2350"/>
        <v>0</v>
      </c>
      <c r="DO669" s="66">
        <f t="shared" si="2351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326"/>
        <v/>
      </c>
      <c r="CA670" s="373" t="str">
        <f t="shared" si="2327"/>
        <v/>
      </c>
      <c r="CB670" s="373" t="str">
        <f t="shared" si="2328"/>
        <v/>
      </c>
      <c r="CC670" s="462" t="str">
        <f t="shared" si="2329"/>
        <v/>
      </c>
      <c r="CD670" s="1109" t="str">
        <f t="shared" si="2330"/>
        <v/>
      </c>
      <c r="CE670" s="1110" t="str">
        <f t="shared" si="2321"/>
        <v/>
      </c>
      <c r="CF670" s="1111" t="str">
        <f t="shared" si="2321"/>
        <v/>
      </c>
      <c r="CG670" s="1111" t="str">
        <f t="shared" si="2321"/>
        <v/>
      </c>
      <c r="CH670" s="1111" t="str">
        <f t="shared" si="2321"/>
        <v/>
      </c>
      <c r="CI670" s="1111" t="str">
        <f t="shared" si="2321"/>
        <v/>
      </c>
      <c r="CJ670" s="1111" t="str">
        <f t="shared" si="2321"/>
        <v/>
      </c>
      <c r="CK670" s="1112" t="str">
        <f t="shared" si="2321"/>
        <v/>
      </c>
      <c r="CL670" s="1112" t="str">
        <f t="shared" si="2321"/>
        <v/>
      </c>
      <c r="CM670" s="1112" t="str">
        <f t="shared" si="2321"/>
        <v/>
      </c>
      <c r="CN670" s="1111" t="str">
        <f t="shared" si="2321"/>
        <v/>
      </c>
      <c r="CO670" s="1111" t="str">
        <f t="shared" si="2321"/>
        <v/>
      </c>
      <c r="CP670" s="1111" t="str">
        <f t="shared" si="2321"/>
        <v/>
      </c>
      <c r="CQ670" s="1111" t="str">
        <f t="shared" si="2321"/>
        <v/>
      </c>
      <c r="CR670" s="1111" t="str">
        <f t="shared" si="2321"/>
        <v/>
      </c>
      <c r="CS670" s="1110" t="str">
        <f t="shared" si="2321"/>
        <v/>
      </c>
      <c r="CT670" s="1113" t="str">
        <f t="shared" si="2321"/>
        <v/>
      </c>
      <c r="CU670" s="324" t="str">
        <f t="shared" si="2331"/>
        <v/>
      </c>
      <c r="CV670" s="325" t="str">
        <f t="shared" si="2332"/>
        <v/>
      </c>
      <c r="CW670" s="326" t="str">
        <f t="shared" si="2333"/>
        <v/>
      </c>
      <c r="CX670" s="326" t="str">
        <f t="shared" si="2334"/>
        <v/>
      </c>
      <c r="CY670" s="326" t="str">
        <f t="shared" si="2335"/>
        <v/>
      </c>
      <c r="CZ670" s="326" t="str">
        <f t="shared" si="2336"/>
        <v/>
      </c>
      <c r="DA670" s="326" t="str">
        <f t="shared" si="2337"/>
        <v/>
      </c>
      <c r="DB670" s="327" t="str">
        <f t="shared" si="2338"/>
        <v/>
      </c>
      <c r="DC670" s="327" t="str">
        <f t="shared" si="2339"/>
        <v/>
      </c>
      <c r="DD670" s="327" t="str">
        <f t="shared" si="2340"/>
        <v/>
      </c>
      <c r="DE670" s="326" t="str">
        <f t="shared" si="2341"/>
        <v/>
      </c>
      <c r="DF670" s="326" t="str">
        <f t="shared" si="2342"/>
        <v/>
      </c>
      <c r="DG670" s="326" t="str">
        <f t="shared" si="2343"/>
        <v/>
      </c>
      <c r="DH670" s="326" t="str">
        <f t="shared" si="2344"/>
        <v/>
      </c>
      <c r="DI670" s="326" t="str">
        <f t="shared" si="2345"/>
        <v/>
      </c>
      <c r="DJ670" s="325" t="str">
        <f t="shared" si="2346"/>
        <v/>
      </c>
      <c r="DK670" s="324" t="str">
        <f t="shared" si="2347"/>
        <v/>
      </c>
      <c r="DL670" s="428">
        <f t="shared" si="2348"/>
        <v>0</v>
      </c>
      <c r="DM670" s="66">
        <f t="shared" si="2349"/>
        <v>0</v>
      </c>
      <c r="DN670" s="66">
        <f t="shared" si="2350"/>
        <v>0</v>
      </c>
      <c r="DO670" s="66">
        <f t="shared" si="2351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326"/>
        <v/>
      </c>
      <c r="CA671" s="373" t="str">
        <f t="shared" si="2327"/>
        <v/>
      </c>
      <c r="CB671" s="373" t="str">
        <f t="shared" si="2328"/>
        <v/>
      </c>
      <c r="CC671" s="462" t="str">
        <f t="shared" si="2329"/>
        <v/>
      </c>
      <c r="CD671" s="1109" t="str">
        <f t="shared" si="2330"/>
        <v/>
      </c>
      <c r="CE671" s="1110" t="str">
        <f t="shared" si="2321"/>
        <v/>
      </c>
      <c r="CF671" s="1111" t="str">
        <f t="shared" si="2321"/>
        <v/>
      </c>
      <c r="CG671" s="1111" t="str">
        <f t="shared" si="2321"/>
        <v/>
      </c>
      <c r="CH671" s="1111" t="str">
        <f t="shared" si="2321"/>
        <v/>
      </c>
      <c r="CI671" s="1111" t="str">
        <f t="shared" si="2321"/>
        <v/>
      </c>
      <c r="CJ671" s="1111" t="str">
        <f t="shared" si="2321"/>
        <v/>
      </c>
      <c r="CK671" s="1112" t="str">
        <f t="shared" si="2321"/>
        <v/>
      </c>
      <c r="CL671" s="1112" t="str">
        <f t="shared" si="2321"/>
        <v/>
      </c>
      <c r="CM671" s="1112" t="str">
        <f t="shared" si="2321"/>
        <v/>
      </c>
      <c r="CN671" s="1111" t="str">
        <f t="shared" si="2321"/>
        <v/>
      </c>
      <c r="CO671" s="1111" t="str">
        <f t="shared" si="2321"/>
        <v/>
      </c>
      <c r="CP671" s="1111" t="str">
        <f t="shared" si="2321"/>
        <v/>
      </c>
      <c r="CQ671" s="1111" t="str">
        <f t="shared" si="2321"/>
        <v/>
      </c>
      <c r="CR671" s="1111" t="str">
        <f t="shared" si="2321"/>
        <v/>
      </c>
      <c r="CS671" s="1110" t="str">
        <f t="shared" si="2321"/>
        <v/>
      </c>
      <c r="CT671" s="1113" t="str">
        <f t="shared" si="2321"/>
        <v/>
      </c>
      <c r="CU671" s="324" t="str">
        <f t="shared" si="2331"/>
        <v/>
      </c>
      <c r="CV671" s="325" t="str">
        <f t="shared" si="2332"/>
        <v/>
      </c>
      <c r="CW671" s="326" t="str">
        <f t="shared" si="2333"/>
        <v/>
      </c>
      <c r="CX671" s="326" t="str">
        <f t="shared" si="2334"/>
        <v/>
      </c>
      <c r="CY671" s="326" t="str">
        <f t="shared" si="2335"/>
        <v/>
      </c>
      <c r="CZ671" s="326" t="str">
        <f t="shared" si="2336"/>
        <v/>
      </c>
      <c r="DA671" s="326" t="str">
        <f t="shared" si="2337"/>
        <v/>
      </c>
      <c r="DB671" s="327" t="str">
        <f t="shared" si="2338"/>
        <v/>
      </c>
      <c r="DC671" s="327" t="str">
        <f t="shared" si="2339"/>
        <v/>
      </c>
      <c r="DD671" s="327" t="str">
        <f t="shared" si="2340"/>
        <v/>
      </c>
      <c r="DE671" s="326" t="str">
        <f t="shared" si="2341"/>
        <v/>
      </c>
      <c r="DF671" s="326" t="str">
        <f t="shared" si="2342"/>
        <v/>
      </c>
      <c r="DG671" s="326" t="str">
        <f t="shared" si="2343"/>
        <v/>
      </c>
      <c r="DH671" s="326" t="str">
        <f t="shared" si="2344"/>
        <v/>
      </c>
      <c r="DI671" s="326" t="str">
        <f t="shared" si="2345"/>
        <v/>
      </c>
      <c r="DJ671" s="325" t="str">
        <f t="shared" si="2346"/>
        <v/>
      </c>
      <c r="DK671" s="324" t="str">
        <f t="shared" si="2347"/>
        <v/>
      </c>
      <c r="DL671" s="428">
        <f t="shared" si="2348"/>
        <v>0</v>
      </c>
      <c r="DM671" s="66">
        <f t="shared" si="2349"/>
        <v>0</v>
      </c>
      <c r="DN671" s="66">
        <f t="shared" si="2350"/>
        <v>0</v>
      </c>
      <c r="DO671" s="66">
        <f t="shared" si="2351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360">IF(B670="","",B670*B671/0.62/B$46/365)</f>
        <v/>
      </c>
      <c r="C672" s="408" t="str">
        <f t="shared" si="2360"/>
        <v/>
      </c>
      <c r="D672" s="408" t="str">
        <f t="shared" si="2360"/>
        <v/>
      </c>
      <c r="E672" s="408" t="str">
        <f t="shared" si="2360"/>
        <v/>
      </c>
      <c r="F672" s="408" t="str">
        <f t="shared" si="2360"/>
        <v/>
      </c>
      <c r="G672" s="408" t="str">
        <f t="shared" si="2360"/>
        <v/>
      </c>
      <c r="H672" s="408" t="str">
        <f t="shared" si="2360"/>
        <v/>
      </c>
      <c r="I672" s="408" t="str">
        <f t="shared" si="2360"/>
        <v/>
      </c>
      <c r="J672" s="408" t="str">
        <f t="shared" si="2360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361">IF(T670="","",T670*T671/0.62/T$46/365)</f>
        <v/>
      </c>
      <c r="U672" s="408" t="str">
        <f t="shared" si="2361"/>
        <v/>
      </c>
      <c r="V672" s="408" t="str">
        <f t="shared" si="2361"/>
        <v/>
      </c>
      <c r="W672" s="408" t="str">
        <f t="shared" si="2361"/>
        <v/>
      </c>
      <c r="X672" s="408" t="str">
        <f t="shared" si="2361"/>
        <v/>
      </c>
      <c r="Y672" s="408" t="str">
        <f t="shared" si="2361"/>
        <v/>
      </c>
      <c r="Z672" s="408" t="str">
        <f t="shared" si="2361"/>
        <v/>
      </c>
      <c r="AA672" s="408" t="str">
        <f t="shared" si="2361"/>
        <v/>
      </c>
      <c r="AB672" s="408" t="str">
        <f t="shared" si="2361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362">IF(AL670="","",AL670*AL671/0.62/AL$46/365)</f>
        <v/>
      </c>
      <c r="AM672" s="408" t="str">
        <f t="shared" si="2362"/>
        <v/>
      </c>
      <c r="AN672" s="408" t="str">
        <f t="shared" si="2362"/>
        <v/>
      </c>
      <c r="AO672" s="408" t="str">
        <f t="shared" si="2362"/>
        <v/>
      </c>
      <c r="AP672" s="408" t="str">
        <f t="shared" si="2362"/>
        <v/>
      </c>
      <c r="AQ672" s="408" t="str">
        <f t="shared" si="2362"/>
        <v/>
      </c>
      <c r="AR672" s="408" t="str">
        <f t="shared" si="2362"/>
        <v/>
      </c>
      <c r="AS672" s="408" t="str">
        <f t="shared" si="2362"/>
        <v/>
      </c>
      <c r="AT672" s="408" t="str">
        <f t="shared" si="2362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363">IF(BD670="","",BD670*BD671/0.62/BD$46/365)</f>
        <v/>
      </c>
      <c r="BE672" s="408" t="str">
        <f t="shared" si="2363"/>
        <v/>
      </c>
      <c r="BF672" s="408" t="str">
        <f t="shared" si="2363"/>
        <v/>
      </c>
      <c r="BG672" s="408" t="str">
        <f t="shared" si="2363"/>
        <v/>
      </c>
      <c r="BH672" s="408" t="str">
        <f t="shared" si="2363"/>
        <v/>
      </c>
      <c r="BI672" s="408" t="str">
        <f t="shared" si="2363"/>
        <v/>
      </c>
      <c r="BJ672" s="408" t="str">
        <f t="shared" si="2363"/>
        <v/>
      </c>
      <c r="BK672" s="408" t="str">
        <f t="shared" si="2363"/>
        <v/>
      </c>
      <c r="BL672" s="408" t="str">
        <f t="shared" si="2363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326"/>
        <v/>
      </c>
      <c r="CA672" s="398" t="str">
        <f t="shared" si="2327"/>
        <v/>
      </c>
      <c r="CB672" s="398" t="str">
        <f t="shared" si="2328"/>
        <v/>
      </c>
      <c r="CC672" s="465" t="str">
        <f t="shared" si="2329"/>
        <v/>
      </c>
      <c r="CD672" s="1114" t="str">
        <f t="shared" si="2330"/>
        <v/>
      </c>
      <c r="CE672" s="1115" t="str">
        <f t="shared" si="2321"/>
        <v/>
      </c>
      <c r="CF672" s="1116" t="str">
        <f t="shared" si="2321"/>
        <v/>
      </c>
      <c r="CG672" s="1116" t="str">
        <f t="shared" si="2321"/>
        <v/>
      </c>
      <c r="CH672" s="1116" t="str">
        <f t="shared" si="2321"/>
        <v/>
      </c>
      <c r="CI672" s="1116" t="str">
        <f t="shared" si="2321"/>
        <v/>
      </c>
      <c r="CJ672" s="1116" t="str">
        <f t="shared" si="2321"/>
        <v/>
      </c>
      <c r="CK672" s="1117" t="str">
        <f t="shared" si="2321"/>
        <v/>
      </c>
      <c r="CL672" s="1117" t="str">
        <f t="shared" si="2321"/>
        <v/>
      </c>
      <c r="CM672" s="1117" t="str">
        <f t="shared" si="2321"/>
        <v/>
      </c>
      <c r="CN672" s="1116" t="str">
        <f t="shared" si="2321"/>
        <v/>
      </c>
      <c r="CO672" s="1116" t="str">
        <f t="shared" si="2321"/>
        <v/>
      </c>
      <c r="CP672" s="1116" t="str">
        <f t="shared" si="2321"/>
        <v/>
      </c>
      <c r="CQ672" s="1116" t="str">
        <f t="shared" si="2321"/>
        <v/>
      </c>
      <c r="CR672" s="1116" t="str">
        <f t="shared" si="2321"/>
        <v/>
      </c>
      <c r="CS672" s="1115" t="str">
        <f t="shared" si="2321"/>
        <v/>
      </c>
      <c r="CT672" s="1118" t="str">
        <f t="shared" si="2321"/>
        <v/>
      </c>
      <c r="CU672" s="312" t="str">
        <f t="shared" si="2331"/>
        <v/>
      </c>
      <c r="CV672" s="313" t="str">
        <f t="shared" si="2332"/>
        <v/>
      </c>
      <c r="CW672" s="314" t="str">
        <f t="shared" si="2333"/>
        <v/>
      </c>
      <c r="CX672" s="314" t="str">
        <f t="shared" si="2334"/>
        <v/>
      </c>
      <c r="CY672" s="314" t="str">
        <f t="shared" si="2335"/>
        <v/>
      </c>
      <c r="CZ672" s="314" t="str">
        <f t="shared" si="2336"/>
        <v/>
      </c>
      <c r="DA672" s="314" t="str">
        <f t="shared" si="2337"/>
        <v/>
      </c>
      <c r="DB672" s="315" t="str">
        <f t="shared" si="2338"/>
        <v/>
      </c>
      <c r="DC672" s="315" t="str">
        <f t="shared" si="2339"/>
        <v/>
      </c>
      <c r="DD672" s="315" t="str">
        <f t="shared" si="2340"/>
        <v/>
      </c>
      <c r="DE672" s="314" t="str">
        <f t="shared" si="2341"/>
        <v/>
      </c>
      <c r="DF672" s="314" t="str">
        <f t="shared" si="2342"/>
        <v/>
      </c>
      <c r="DG672" s="314" t="str">
        <f t="shared" si="2343"/>
        <v/>
      </c>
      <c r="DH672" s="314" t="str">
        <f t="shared" si="2344"/>
        <v/>
      </c>
      <c r="DI672" s="314" t="str">
        <f t="shared" si="2345"/>
        <v/>
      </c>
      <c r="DJ672" s="313" t="str">
        <f t="shared" si="2346"/>
        <v/>
      </c>
      <c r="DK672" s="312" t="str">
        <f t="shared" si="2347"/>
        <v/>
      </c>
      <c r="DL672" s="428">
        <f t="shared" si="2348"/>
        <v>0</v>
      </c>
      <c r="DM672" s="66">
        <f t="shared" si="2349"/>
        <v>0</v>
      </c>
      <c r="DN672" s="66">
        <f t="shared" si="2350"/>
        <v>0</v>
      </c>
      <c r="DO672" s="66">
        <f t="shared" si="2351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326"/>
        <v/>
      </c>
      <c r="CA673" s="373" t="str">
        <f t="shared" si="2327"/>
        <v/>
      </c>
      <c r="CB673" s="373" t="str">
        <f t="shared" si="2328"/>
        <v/>
      </c>
      <c r="CC673" s="462" t="str">
        <f t="shared" si="2329"/>
        <v/>
      </c>
      <c r="CD673" s="1109" t="str">
        <f t="shared" si="2330"/>
        <v/>
      </c>
      <c r="CE673" s="1110" t="str">
        <f t="shared" si="2321"/>
        <v/>
      </c>
      <c r="CF673" s="1111" t="str">
        <f t="shared" si="2321"/>
        <v/>
      </c>
      <c r="CG673" s="1111" t="str">
        <f t="shared" si="2321"/>
        <v/>
      </c>
      <c r="CH673" s="1111" t="str">
        <f t="shared" si="2321"/>
        <v/>
      </c>
      <c r="CI673" s="1111" t="str">
        <f t="shared" si="2321"/>
        <v/>
      </c>
      <c r="CJ673" s="1111" t="str">
        <f t="shared" si="2321"/>
        <v/>
      </c>
      <c r="CK673" s="1112" t="str">
        <f t="shared" si="2321"/>
        <v/>
      </c>
      <c r="CL673" s="1112" t="str">
        <f t="shared" si="2321"/>
        <v/>
      </c>
      <c r="CM673" s="1112" t="str">
        <f t="shared" si="2321"/>
        <v/>
      </c>
      <c r="CN673" s="1111" t="str">
        <f t="shared" si="2321"/>
        <v/>
      </c>
      <c r="CO673" s="1111" t="str">
        <f t="shared" si="2321"/>
        <v/>
      </c>
      <c r="CP673" s="1111" t="str">
        <f t="shared" si="2321"/>
        <v/>
      </c>
      <c r="CQ673" s="1111" t="str">
        <f t="shared" si="2321"/>
        <v/>
      </c>
      <c r="CR673" s="1111" t="str">
        <f t="shared" si="2321"/>
        <v/>
      </c>
      <c r="CS673" s="1110" t="str">
        <f t="shared" si="2321"/>
        <v/>
      </c>
      <c r="CT673" s="1113" t="str">
        <f t="shared" si="2321"/>
        <v/>
      </c>
      <c r="CU673" s="324" t="str">
        <f t="shared" si="2331"/>
        <v/>
      </c>
      <c r="CV673" s="325" t="str">
        <f t="shared" si="2332"/>
        <v/>
      </c>
      <c r="CW673" s="326" t="str">
        <f t="shared" si="2333"/>
        <v/>
      </c>
      <c r="CX673" s="326" t="str">
        <f t="shared" si="2334"/>
        <v/>
      </c>
      <c r="CY673" s="326" t="str">
        <f t="shared" si="2335"/>
        <v/>
      </c>
      <c r="CZ673" s="326" t="str">
        <f t="shared" si="2336"/>
        <v/>
      </c>
      <c r="DA673" s="326" t="str">
        <f t="shared" si="2337"/>
        <v/>
      </c>
      <c r="DB673" s="327" t="str">
        <f t="shared" si="2338"/>
        <v/>
      </c>
      <c r="DC673" s="327" t="str">
        <f t="shared" si="2339"/>
        <v/>
      </c>
      <c r="DD673" s="327" t="str">
        <f t="shared" si="2340"/>
        <v/>
      </c>
      <c r="DE673" s="326" t="str">
        <f t="shared" si="2341"/>
        <v/>
      </c>
      <c r="DF673" s="326" t="str">
        <f t="shared" si="2342"/>
        <v/>
      </c>
      <c r="DG673" s="326" t="str">
        <f t="shared" si="2343"/>
        <v/>
      </c>
      <c r="DH673" s="326" t="str">
        <f t="shared" si="2344"/>
        <v/>
      </c>
      <c r="DI673" s="326" t="str">
        <f t="shared" si="2345"/>
        <v/>
      </c>
      <c r="DJ673" s="325" t="str">
        <f t="shared" si="2346"/>
        <v/>
      </c>
      <c r="DK673" s="324" t="str">
        <f t="shared" si="2347"/>
        <v/>
      </c>
      <c r="DL673" s="428">
        <f t="shared" si="2348"/>
        <v>0</v>
      </c>
      <c r="DM673" s="66">
        <f t="shared" si="2349"/>
        <v>0</v>
      </c>
      <c r="DN673" s="66">
        <f t="shared" si="2350"/>
        <v>0</v>
      </c>
      <c r="DO673" s="66">
        <f t="shared" si="2351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326"/>
        <v/>
      </c>
      <c r="CA674" s="373" t="str">
        <f t="shared" si="2327"/>
        <v/>
      </c>
      <c r="CB674" s="373" t="str">
        <f t="shared" si="2328"/>
        <v/>
      </c>
      <c r="CC674" s="462" t="str">
        <f t="shared" si="2329"/>
        <v/>
      </c>
      <c r="CD674" s="1109" t="str">
        <f t="shared" si="2330"/>
        <v/>
      </c>
      <c r="CE674" s="1110" t="str">
        <f t="shared" si="2321"/>
        <v/>
      </c>
      <c r="CF674" s="1111" t="str">
        <f t="shared" si="2321"/>
        <v/>
      </c>
      <c r="CG674" s="1111" t="str">
        <f t="shared" si="2321"/>
        <v/>
      </c>
      <c r="CH674" s="1111" t="str">
        <f t="shared" si="2321"/>
        <v/>
      </c>
      <c r="CI674" s="1111" t="str">
        <f t="shared" si="2321"/>
        <v/>
      </c>
      <c r="CJ674" s="1111" t="str">
        <f t="shared" si="2321"/>
        <v/>
      </c>
      <c r="CK674" s="1112" t="str">
        <f t="shared" si="2321"/>
        <v/>
      </c>
      <c r="CL674" s="1112" t="str">
        <f t="shared" si="2321"/>
        <v/>
      </c>
      <c r="CM674" s="1112" t="str">
        <f t="shared" si="2321"/>
        <v/>
      </c>
      <c r="CN674" s="1111" t="str">
        <f t="shared" si="2321"/>
        <v/>
      </c>
      <c r="CO674" s="1111" t="str">
        <f t="shared" si="2321"/>
        <v/>
      </c>
      <c r="CP674" s="1111" t="str">
        <f t="shared" si="2321"/>
        <v/>
      </c>
      <c r="CQ674" s="1111" t="str">
        <f t="shared" si="2321"/>
        <v/>
      </c>
      <c r="CR674" s="1111" t="str">
        <f t="shared" si="2321"/>
        <v/>
      </c>
      <c r="CS674" s="1110" t="str">
        <f t="shared" si="2321"/>
        <v/>
      </c>
      <c r="CT674" s="1113" t="str">
        <f t="shared" si="2321"/>
        <v/>
      </c>
      <c r="CU674" s="324" t="str">
        <f t="shared" si="2331"/>
        <v/>
      </c>
      <c r="CV674" s="325" t="str">
        <f t="shared" si="2332"/>
        <v/>
      </c>
      <c r="CW674" s="326" t="str">
        <f t="shared" si="2333"/>
        <v/>
      </c>
      <c r="CX674" s="326" t="str">
        <f t="shared" si="2334"/>
        <v/>
      </c>
      <c r="CY674" s="326" t="str">
        <f t="shared" si="2335"/>
        <v/>
      </c>
      <c r="CZ674" s="326" t="str">
        <f t="shared" si="2336"/>
        <v/>
      </c>
      <c r="DA674" s="326" t="str">
        <f t="shared" si="2337"/>
        <v/>
      </c>
      <c r="DB674" s="327" t="str">
        <f t="shared" si="2338"/>
        <v/>
      </c>
      <c r="DC674" s="327" t="str">
        <f t="shared" si="2339"/>
        <v/>
      </c>
      <c r="DD674" s="327" t="str">
        <f t="shared" si="2340"/>
        <v/>
      </c>
      <c r="DE674" s="326" t="str">
        <f t="shared" si="2341"/>
        <v/>
      </c>
      <c r="DF674" s="326" t="str">
        <f t="shared" si="2342"/>
        <v/>
      </c>
      <c r="DG674" s="326" t="str">
        <f t="shared" si="2343"/>
        <v/>
      </c>
      <c r="DH674" s="326" t="str">
        <f t="shared" si="2344"/>
        <v/>
      </c>
      <c r="DI674" s="326" t="str">
        <f t="shared" si="2345"/>
        <v/>
      </c>
      <c r="DJ674" s="325" t="str">
        <f t="shared" si="2346"/>
        <v/>
      </c>
      <c r="DK674" s="324" t="str">
        <f t="shared" si="2347"/>
        <v/>
      </c>
      <c r="DL674" s="428">
        <f t="shared" si="2348"/>
        <v>0</v>
      </c>
      <c r="DM674" s="66">
        <f t="shared" si="2349"/>
        <v>0</v>
      </c>
      <c r="DN674" s="66">
        <f t="shared" si="2350"/>
        <v>0</v>
      </c>
      <c r="DO674" s="66">
        <f t="shared" si="2351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364">IF(B673="","",B673*B674/0.23/B$46/365)</f>
        <v/>
      </c>
      <c r="C675" s="408" t="str">
        <f t="shared" si="2364"/>
        <v/>
      </c>
      <c r="D675" s="408" t="str">
        <f t="shared" si="2364"/>
        <v/>
      </c>
      <c r="E675" s="408" t="str">
        <f t="shared" si="2364"/>
        <v/>
      </c>
      <c r="F675" s="408" t="str">
        <f t="shared" si="2364"/>
        <v/>
      </c>
      <c r="G675" s="408" t="str">
        <f t="shared" si="2364"/>
        <v/>
      </c>
      <c r="H675" s="408" t="str">
        <f t="shared" si="2364"/>
        <v/>
      </c>
      <c r="I675" s="408" t="str">
        <f t="shared" si="2364"/>
        <v/>
      </c>
      <c r="J675" s="408" t="str">
        <f t="shared" si="2364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365">IF(T673="","",T673*T674/0.23/T$46/365)</f>
        <v/>
      </c>
      <c r="U675" s="408" t="str">
        <f t="shared" si="2365"/>
        <v/>
      </c>
      <c r="V675" s="408" t="str">
        <f t="shared" si="2365"/>
        <v/>
      </c>
      <c r="W675" s="408" t="str">
        <f t="shared" si="2365"/>
        <v/>
      </c>
      <c r="X675" s="408" t="str">
        <f t="shared" si="2365"/>
        <v/>
      </c>
      <c r="Y675" s="408" t="str">
        <f t="shared" si="2365"/>
        <v/>
      </c>
      <c r="Z675" s="408" t="str">
        <f t="shared" si="2365"/>
        <v/>
      </c>
      <c r="AA675" s="408" t="str">
        <f t="shared" si="2365"/>
        <v/>
      </c>
      <c r="AB675" s="408" t="str">
        <f t="shared" si="2365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366">IF(AL673="","",AL673*AL674/0.23/AL$46/365)</f>
        <v/>
      </c>
      <c r="AM675" s="408" t="str">
        <f t="shared" si="2366"/>
        <v/>
      </c>
      <c r="AN675" s="408" t="str">
        <f t="shared" si="2366"/>
        <v/>
      </c>
      <c r="AO675" s="408" t="str">
        <f t="shared" si="2366"/>
        <v/>
      </c>
      <c r="AP675" s="408" t="str">
        <f t="shared" si="2366"/>
        <v/>
      </c>
      <c r="AQ675" s="408" t="str">
        <f t="shared" si="2366"/>
        <v/>
      </c>
      <c r="AR675" s="408" t="str">
        <f t="shared" si="2366"/>
        <v/>
      </c>
      <c r="AS675" s="408" t="str">
        <f t="shared" si="2366"/>
        <v/>
      </c>
      <c r="AT675" s="408" t="str">
        <f t="shared" si="2366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367">IF(BD673="","",BD673*BD674/0.23/BD$46/365)</f>
        <v/>
      </c>
      <c r="BE675" s="408" t="str">
        <f t="shared" si="2367"/>
        <v/>
      </c>
      <c r="BF675" s="408" t="str">
        <f t="shared" si="2367"/>
        <v/>
      </c>
      <c r="BG675" s="408" t="str">
        <f t="shared" si="2367"/>
        <v/>
      </c>
      <c r="BH675" s="408" t="str">
        <f t="shared" si="2367"/>
        <v/>
      </c>
      <c r="BI675" s="408" t="str">
        <f t="shared" si="2367"/>
        <v/>
      </c>
      <c r="BJ675" s="408" t="str">
        <f t="shared" si="2367"/>
        <v/>
      </c>
      <c r="BK675" s="408" t="str">
        <f t="shared" si="2367"/>
        <v/>
      </c>
      <c r="BL675" s="408" t="str">
        <f t="shared" si="2367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326"/>
        <v/>
      </c>
      <c r="CA675" s="398" t="str">
        <f t="shared" si="2327"/>
        <v/>
      </c>
      <c r="CB675" s="398" t="str">
        <f t="shared" si="2328"/>
        <v/>
      </c>
      <c r="CC675" s="465" t="str">
        <f t="shared" si="2329"/>
        <v/>
      </c>
      <c r="CD675" s="1114" t="str">
        <f t="shared" si="2330"/>
        <v/>
      </c>
      <c r="CE675" s="1115" t="str">
        <f t="shared" si="2321"/>
        <v/>
      </c>
      <c r="CF675" s="1116" t="str">
        <f t="shared" si="2321"/>
        <v/>
      </c>
      <c r="CG675" s="1116" t="str">
        <f t="shared" si="2321"/>
        <v/>
      </c>
      <c r="CH675" s="1116" t="str">
        <f t="shared" si="2321"/>
        <v/>
      </c>
      <c r="CI675" s="1116" t="str">
        <f t="shared" si="2321"/>
        <v/>
      </c>
      <c r="CJ675" s="1116" t="str">
        <f t="shared" si="2321"/>
        <v/>
      </c>
      <c r="CK675" s="1117" t="str">
        <f t="shared" si="2321"/>
        <v/>
      </c>
      <c r="CL675" s="1117" t="str">
        <f t="shared" si="2321"/>
        <v/>
      </c>
      <c r="CM675" s="1117" t="str">
        <f t="shared" si="2321"/>
        <v/>
      </c>
      <c r="CN675" s="1116" t="str">
        <f t="shared" si="2321"/>
        <v/>
      </c>
      <c r="CO675" s="1116" t="str">
        <f t="shared" si="2321"/>
        <v/>
      </c>
      <c r="CP675" s="1116" t="str">
        <f t="shared" si="2321"/>
        <v/>
      </c>
      <c r="CQ675" s="1116" t="str">
        <f t="shared" si="2321"/>
        <v/>
      </c>
      <c r="CR675" s="1116" t="str">
        <f t="shared" si="2321"/>
        <v/>
      </c>
      <c r="CS675" s="1115" t="str">
        <f t="shared" si="2321"/>
        <v/>
      </c>
      <c r="CT675" s="1118" t="str">
        <f t="shared" si="2321"/>
        <v/>
      </c>
      <c r="CU675" s="312" t="str">
        <f t="shared" si="2331"/>
        <v/>
      </c>
      <c r="CV675" s="313" t="str">
        <f t="shared" si="2332"/>
        <v/>
      </c>
      <c r="CW675" s="314" t="str">
        <f t="shared" si="2333"/>
        <v/>
      </c>
      <c r="CX675" s="314" t="str">
        <f t="shared" si="2334"/>
        <v/>
      </c>
      <c r="CY675" s="314" t="str">
        <f t="shared" si="2335"/>
        <v/>
      </c>
      <c r="CZ675" s="314" t="str">
        <f t="shared" si="2336"/>
        <v/>
      </c>
      <c r="DA675" s="314" t="str">
        <f t="shared" si="2337"/>
        <v/>
      </c>
      <c r="DB675" s="315" t="str">
        <f t="shared" si="2338"/>
        <v/>
      </c>
      <c r="DC675" s="315" t="str">
        <f t="shared" si="2339"/>
        <v/>
      </c>
      <c r="DD675" s="315" t="str">
        <f t="shared" si="2340"/>
        <v/>
      </c>
      <c r="DE675" s="314" t="str">
        <f t="shared" si="2341"/>
        <v/>
      </c>
      <c r="DF675" s="314" t="str">
        <f t="shared" si="2342"/>
        <v/>
      </c>
      <c r="DG675" s="314" t="str">
        <f t="shared" si="2343"/>
        <v/>
      </c>
      <c r="DH675" s="314" t="str">
        <f t="shared" si="2344"/>
        <v/>
      </c>
      <c r="DI675" s="314" t="str">
        <f t="shared" si="2345"/>
        <v/>
      </c>
      <c r="DJ675" s="313" t="str">
        <f t="shared" si="2346"/>
        <v/>
      </c>
      <c r="DK675" s="312" t="str">
        <f t="shared" si="2347"/>
        <v/>
      </c>
      <c r="DL675" s="428">
        <f t="shared" si="2348"/>
        <v>0</v>
      </c>
      <c r="DM675" s="66">
        <f t="shared" si="2349"/>
        <v>0</v>
      </c>
      <c r="DN675" s="66">
        <f t="shared" si="2350"/>
        <v>0</v>
      </c>
      <c r="DO675" s="66">
        <f t="shared" si="2351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326"/>
        <v/>
      </c>
      <c r="CA676" s="365" t="str">
        <f t="shared" si="2327"/>
        <v/>
      </c>
      <c r="CB676" s="365" t="str">
        <f t="shared" si="2328"/>
        <v/>
      </c>
      <c r="CC676" s="461" t="str">
        <f t="shared" si="2329"/>
        <v/>
      </c>
      <c r="CD676" s="1120"/>
      <c r="CE676" s="1120"/>
      <c r="CF676" s="1120"/>
      <c r="CG676" s="1120"/>
      <c r="CH676" s="1120"/>
      <c r="CI676" s="1120"/>
      <c r="CJ676" s="1120"/>
      <c r="CK676" s="1120"/>
      <c r="CL676" s="1120"/>
      <c r="CM676" s="1120"/>
      <c r="CN676" s="1120"/>
      <c r="CO676" s="1120"/>
      <c r="CP676" s="1120"/>
      <c r="CQ676" s="1120"/>
      <c r="CR676" s="1120"/>
      <c r="CS676" s="1120"/>
      <c r="CT676" s="1121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326"/>
        <v/>
      </c>
      <c r="CA677" s="373" t="str">
        <f t="shared" si="2327"/>
        <v/>
      </c>
      <c r="CB677" s="373" t="str">
        <f t="shared" si="2328"/>
        <v/>
      </c>
      <c r="CC677" s="462" t="str">
        <f t="shared" si="2329"/>
        <v/>
      </c>
      <c r="CD677" s="1109" t="str">
        <f t="shared" ref="CD677:CS677" si="236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0" t="str">
        <f t="shared" si="2368"/>
        <v/>
      </c>
      <c r="CF677" s="1111" t="str">
        <f t="shared" si="2368"/>
        <v/>
      </c>
      <c r="CG677" s="1111" t="str">
        <f t="shared" si="2368"/>
        <v/>
      </c>
      <c r="CH677" s="1111" t="str">
        <f t="shared" si="2368"/>
        <v/>
      </c>
      <c r="CI677" s="1111" t="str">
        <f t="shared" si="2368"/>
        <v/>
      </c>
      <c r="CJ677" s="1111" t="str">
        <f t="shared" si="2368"/>
        <v/>
      </c>
      <c r="CK677" s="1112" t="str">
        <f t="shared" si="2368"/>
        <v/>
      </c>
      <c r="CL677" s="1112" t="str">
        <f t="shared" si="2368"/>
        <v/>
      </c>
      <c r="CM677" s="1112" t="str">
        <f t="shared" si="2368"/>
        <v/>
      </c>
      <c r="CN677" s="1111" t="str">
        <f t="shared" si="2368"/>
        <v/>
      </c>
      <c r="CO677" s="1111" t="str">
        <f t="shared" si="2368"/>
        <v/>
      </c>
      <c r="CP677" s="1111" t="str">
        <f t="shared" si="2368"/>
        <v/>
      </c>
      <c r="CQ677" s="1111" t="str">
        <f t="shared" si="2368"/>
        <v/>
      </c>
      <c r="CR677" s="1111" t="str">
        <f t="shared" si="2368"/>
        <v/>
      </c>
      <c r="CS677" s="1110" t="str">
        <f t="shared" si="2368"/>
        <v/>
      </c>
      <c r="CT677" s="1113" t="str">
        <f t="shared" ref="CE677:CT680" si="236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37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370"/>
        <v/>
      </c>
      <c r="CW677" s="326" t="str">
        <f t="shared" si="2370"/>
        <v/>
      </c>
      <c r="CX677" s="326" t="str">
        <f t="shared" si="2370"/>
        <v/>
      </c>
      <c r="CY677" s="326" t="str">
        <f t="shared" si="2370"/>
        <v/>
      </c>
      <c r="CZ677" s="326" t="str">
        <f t="shared" si="2370"/>
        <v/>
      </c>
      <c r="DA677" s="326" t="str">
        <f t="shared" si="2370"/>
        <v/>
      </c>
      <c r="DB677" s="327" t="str">
        <f t="shared" si="2370"/>
        <v/>
      </c>
      <c r="DC677" s="327" t="str">
        <f t="shared" si="2370"/>
        <v/>
      </c>
      <c r="DD677" s="327" t="str">
        <f t="shared" si="2370"/>
        <v/>
      </c>
      <c r="DE677" s="326" t="str">
        <f t="shared" ref="DE677:DK680" si="237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371"/>
        <v/>
      </c>
      <c r="DG677" s="326" t="str">
        <f t="shared" si="2371"/>
        <v/>
      </c>
      <c r="DH677" s="326" t="str">
        <f t="shared" si="2371"/>
        <v/>
      </c>
      <c r="DI677" s="326" t="str">
        <f t="shared" si="2371"/>
        <v/>
      </c>
      <c r="DJ677" s="325" t="str">
        <f t="shared" si="2371"/>
        <v/>
      </c>
      <c r="DK677" s="324" t="str">
        <f t="shared" si="2371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326"/>
        <v/>
      </c>
      <c r="CA678" s="373" t="str">
        <f t="shared" si="2327"/>
        <v/>
      </c>
      <c r="CB678" s="373" t="str">
        <f t="shared" si="2328"/>
        <v/>
      </c>
      <c r="CC678" s="462" t="str">
        <f t="shared" si="2329"/>
        <v/>
      </c>
      <c r="CD678" s="110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369"/>
        <v/>
      </c>
      <c r="CF678" s="1111" t="str">
        <f t="shared" si="2369"/>
        <v/>
      </c>
      <c r="CG678" s="1111" t="str">
        <f t="shared" si="2369"/>
        <v/>
      </c>
      <c r="CH678" s="1111" t="str">
        <f t="shared" si="2369"/>
        <v/>
      </c>
      <c r="CI678" s="1111" t="str">
        <f t="shared" si="2369"/>
        <v/>
      </c>
      <c r="CJ678" s="1111" t="str">
        <f t="shared" si="2369"/>
        <v/>
      </c>
      <c r="CK678" s="1112" t="str">
        <f t="shared" si="2369"/>
        <v/>
      </c>
      <c r="CL678" s="1112" t="str">
        <f t="shared" si="2369"/>
        <v/>
      </c>
      <c r="CM678" s="1112" t="str">
        <f t="shared" si="2369"/>
        <v/>
      </c>
      <c r="CN678" s="1111" t="str">
        <f t="shared" si="2369"/>
        <v/>
      </c>
      <c r="CO678" s="1111" t="str">
        <f t="shared" si="2369"/>
        <v/>
      </c>
      <c r="CP678" s="1111" t="str">
        <f t="shared" si="2369"/>
        <v/>
      </c>
      <c r="CQ678" s="1111" t="str">
        <f t="shared" si="2369"/>
        <v/>
      </c>
      <c r="CR678" s="1111" t="str">
        <f t="shared" si="2369"/>
        <v/>
      </c>
      <c r="CS678" s="1110" t="str">
        <f t="shared" si="2369"/>
        <v/>
      </c>
      <c r="CT678" s="1113" t="str">
        <f t="shared" si="2369"/>
        <v/>
      </c>
      <c r="CU678" s="324" t="str">
        <f t="shared" si="2370"/>
        <v/>
      </c>
      <c r="CV678" s="325" t="str">
        <f t="shared" si="2370"/>
        <v/>
      </c>
      <c r="CW678" s="326" t="str">
        <f t="shared" si="2370"/>
        <v/>
      </c>
      <c r="CX678" s="326" t="str">
        <f t="shared" si="2370"/>
        <v/>
      </c>
      <c r="CY678" s="326" t="str">
        <f t="shared" si="2370"/>
        <v/>
      </c>
      <c r="CZ678" s="326" t="str">
        <f t="shared" si="2370"/>
        <v/>
      </c>
      <c r="DA678" s="326" t="str">
        <f t="shared" si="2370"/>
        <v/>
      </c>
      <c r="DB678" s="327" t="str">
        <f t="shared" si="2370"/>
        <v/>
      </c>
      <c r="DC678" s="327" t="str">
        <f t="shared" si="2370"/>
        <v/>
      </c>
      <c r="DD678" s="327" t="str">
        <f t="shared" si="2370"/>
        <v/>
      </c>
      <c r="DE678" s="326" t="str">
        <f t="shared" si="2371"/>
        <v/>
      </c>
      <c r="DF678" s="326" t="str">
        <f t="shared" si="2371"/>
        <v/>
      </c>
      <c r="DG678" s="326" t="str">
        <f t="shared" si="2371"/>
        <v/>
      </c>
      <c r="DH678" s="326" t="str">
        <f t="shared" si="2371"/>
        <v/>
      </c>
      <c r="DI678" s="326" t="str">
        <f t="shared" si="2371"/>
        <v/>
      </c>
      <c r="DJ678" s="325" t="str">
        <f t="shared" si="2371"/>
        <v/>
      </c>
      <c r="DK678" s="324" t="str">
        <f t="shared" si="2371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372">4000*$K$1</f>
        <v>4000</v>
      </c>
      <c r="C679" s="536">
        <f t="shared" si="2372"/>
        <v>4000</v>
      </c>
      <c r="D679" s="536">
        <f t="shared" si="2372"/>
        <v>4000</v>
      </c>
      <c r="E679" s="536">
        <f t="shared" si="2372"/>
        <v>4000</v>
      </c>
      <c r="F679" s="536">
        <f t="shared" si="2372"/>
        <v>4000</v>
      </c>
      <c r="G679" s="536">
        <f t="shared" si="2372"/>
        <v>4000</v>
      </c>
      <c r="H679" s="536">
        <f t="shared" si="2372"/>
        <v>4000</v>
      </c>
      <c r="I679" s="536">
        <f t="shared" si="2372"/>
        <v>4000</v>
      </c>
      <c r="J679" s="536">
        <f t="shared" si="2372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373">4000*$K$1</f>
        <v>4000</v>
      </c>
      <c r="U679" s="536">
        <f t="shared" si="2373"/>
        <v>4000</v>
      </c>
      <c r="V679" s="536">
        <f t="shared" si="2373"/>
        <v>4000</v>
      </c>
      <c r="W679" s="536">
        <f t="shared" si="2373"/>
        <v>4000</v>
      </c>
      <c r="X679" s="536">
        <f t="shared" si="2373"/>
        <v>4000</v>
      </c>
      <c r="Y679" s="536">
        <f t="shared" si="2373"/>
        <v>4000</v>
      </c>
      <c r="Z679" s="536">
        <f t="shared" si="2373"/>
        <v>4000</v>
      </c>
      <c r="AA679" s="536">
        <f t="shared" si="2373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373"/>
        <v>4000</v>
      </c>
      <c r="AM679" s="536">
        <f t="shared" si="2373"/>
        <v>4000</v>
      </c>
      <c r="AN679" s="536">
        <f t="shared" si="2373"/>
        <v>4000</v>
      </c>
      <c r="AO679" s="536">
        <f t="shared" si="2373"/>
        <v>4000</v>
      </c>
      <c r="AP679" s="536">
        <f t="shared" si="2373"/>
        <v>4000</v>
      </c>
      <c r="AQ679" s="536">
        <f t="shared" si="2373"/>
        <v>4000</v>
      </c>
      <c r="AR679" s="536">
        <f t="shared" si="2373"/>
        <v>4000</v>
      </c>
      <c r="AS679" s="536">
        <f t="shared" si="2373"/>
        <v>4000</v>
      </c>
      <c r="AT679" s="536">
        <f t="shared" si="2373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326"/>
        <v>4000</v>
      </c>
      <c r="CA679" s="373">
        <f t="shared" si="2327"/>
        <v>4000</v>
      </c>
      <c r="CB679" s="373">
        <f t="shared" si="2328"/>
        <v>4000</v>
      </c>
      <c r="CC679" s="462">
        <f t="shared" si="2329"/>
        <v>16747</v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si="2369"/>
        <v/>
      </c>
      <c r="CF679" s="1111" t="str">
        <f t="shared" si="2369"/>
        <v/>
      </c>
      <c r="CG679" s="1111" t="str">
        <f t="shared" si="2369"/>
        <v/>
      </c>
      <c r="CH679" s="1111">
        <f t="shared" si="2369"/>
        <v>4000</v>
      </c>
      <c r="CI679" s="1111">
        <f t="shared" si="2369"/>
        <v>4000</v>
      </c>
      <c r="CJ679" s="1111">
        <f t="shared" si="2369"/>
        <v>4000</v>
      </c>
      <c r="CK679" s="1112">
        <f t="shared" si="2369"/>
        <v>4000</v>
      </c>
      <c r="CL679" s="1112">
        <f t="shared" si="2369"/>
        <v>4000</v>
      </c>
      <c r="CM679" s="1112">
        <f t="shared" si="2369"/>
        <v>4000</v>
      </c>
      <c r="CN679" s="1111">
        <f t="shared" si="2369"/>
        <v>4000</v>
      </c>
      <c r="CO679" s="1111">
        <f t="shared" si="2369"/>
        <v>4000</v>
      </c>
      <c r="CP679" s="1111">
        <f t="shared" si="2369"/>
        <v>4000</v>
      </c>
      <c r="CQ679" s="1111" t="str">
        <f t="shared" si="2369"/>
        <v/>
      </c>
      <c r="CR679" s="1111" t="str">
        <f t="shared" si="2369"/>
        <v/>
      </c>
      <c r="CS679" s="1110" t="str">
        <f t="shared" si="2369"/>
        <v/>
      </c>
      <c r="CT679" s="1113" t="str">
        <f t="shared" si="2369"/>
        <v/>
      </c>
      <c r="CU679" s="324" t="str">
        <f t="shared" si="2370"/>
        <v/>
      </c>
      <c r="CV679" s="325" t="str">
        <f t="shared" si="2370"/>
        <v/>
      </c>
      <c r="CW679" s="326" t="str">
        <f t="shared" si="2370"/>
        <v/>
      </c>
      <c r="CX679" s="326" t="str">
        <f t="shared" si="2370"/>
        <v/>
      </c>
      <c r="CY679" s="326">
        <f t="shared" si="2370"/>
        <v>4000</v>
      </c>
      <c r="CZ679" s="326">
        <f t="shared" si="2370"/>
        <v>4000</v>
      </c>
      <c r="DA679" s="326">
        <f t="shared" si="2370"/>
        <v>4000</v>
      </c>
      <c r="DB679" s="327">
        <f t="shared" si="2370"/>
        <v>4000</v>
      </c>
      <c r="DC679" s="327">
        <f t="shared" si="2370"/>
        <v>4000</v>
      </c>
      <c r="DD679" s="327">
        <f t="shared" si="2370"/>
        <v>4000</v>
      </c>
      <c r="DE679" s="326">
        <f t="shared" si="2371"/>
        <v>4000</v>
      </c>
      <c r="DF679" s="326">
        <f t="shared" si="2371"/>
        <v>4000</v>
      </c>
      <c r="DG679" s="326">
        <f t="shared" si="2371"/>
        <v>4000</v>
      </c>
      <c r="DH679" s="326" t="str">
        <f t="shared" si="2371"/>
        <v/>
      </c>
      <c r="DI679" s="326" t="str">
        <f t="shared" si="2371"/>
        <v/>
      </c>
      <c r="DJ679" s="325" t="str">
        <f t="shared" si="2371"/>
        <v/>
      </c>
      <c r="DK679" s="324" t="str">
        <f t="shared" si="2371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374">IF(B677="","",B677*B678*B679/B$46/365/$G$1)</f>
        <v/>
      </c>
      <c r="C680" s="408" t="str">
        <f t="shared" si="2374"/>
        <v/>
      </c>
      <c r="D680" s="408" t="str">
        <f t="shared" si="2374"/>
        <v/>
      </c>
      <c r="E680" s="408" t="str">
        <f t="shared" si="2374"/>
        <v/>
      </c>
      <c r="F680" s="408" t="str">
        <f t="shared" si="2374"/>
        <v/>
      </c>
      <c r="G680" s="408" t="str">
        <f t="shared" si="2374"/>
        <v/>
      </c>
      <c r="H680" s="408" t="str">
        <f t="shared" si="2374"/>
        <v/>
      </c>
      <c r="I680" s="408" t="str">
        <f t="shared" si="2374"/>
        <v/>
      </c>
      <c r="J680" s="408" t="str">
        <f t="shared" si="2374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375">IF(T677="","",T677*T678*T679/T$46/365/$G$1)</f>
        <v/>
      </c>
      <c r="U680" s="408" t="str">
        <f t="shared" si="2375"/>
        <v/>
      </c>
      <c r="V680" s="408" t="str">
        <f t="shared" si="2375"/>
        <v/>
      </c>
      <c r="W680" s="408" t="str">
        <f t="shared" si="2375"/>
        <v/>
      </c>
      <c r="X680" s="408" t="str">
        <f t="shared" si="2375"/>
        <v/>
      </c>
      <c r="Y680" s="408" t="str">
        <f t="shared" si="2375"/>
        <v/>
      </c>
      <c r="Z680" s="408" t="str">
        <f t="shared" si="2375"/>
        <v/>
      </c>
      <c r="AA680" s="408" t="str">
        <f t="shared" si="2375"/>
        <v/>
      </c>
      <c r="AB680" s="408" t="str">
        <f t="shared" si="2375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376">IF(AL677="","",AL677*AL678*AL679/AL$46/365/$G$1)</f>
        <v/>
      </c>
      <c r="AM680" s="408" t="str">
        <f t="shared" si="2376"/>
        <v/>
      </c>
      <c r="AN680" s="408" t="str">
        <f t="shared" si="2376"/>
        <v/>
      </c>
      <c r="AO680" s="408" t="str">
        <f t="shared" si="2376"/>
        <v/>
      </c>
      <c r="AP680" s="408" t="str">
        <f t="shared" si="2376"/>
        <v/>
      </c>
      <c r="AQ680" s="408" t="str">
        <f t="shared" si="2376"/>
        <v/>
      </c>
      <c r="AR680" s="408" t="str">
        <f t="shared" si="2376"/>
        <v/>
      </c>
      <c r="AS680" s="408" t="str">
        <f t="shared" si="2376"/>
        <v/>
      </c>
      <c r="AT680" s="408" t="str">
        <f t="shared" si="2376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377">IF(BD677="","",BD677*BD678*BD679/BD$46/365/$G$1)</f>
        <v/>
      </c>
      <c r="BE680" s="408" t="str">
        <f t="shared" si="2377"/>
        <v/>
      </c>
      <c r="BF680" s="408" t="str">
        <f t="shared" si="2377"/>
        <v/>
      </c>
      <c r="BG680" s="408" t="str">
        <f t="shared" si="2377"/>
        <v/>
      </c>
      <c r="BH680" s="408" t="str">
        <f t="shared" si="2377"/>
        <v/>
      </c>
      <c r="BI680" s="408" t="str">
        <f t="shared" si="2377"/>
        <v/>
      </c>
      <c r="BJ680" s="408" t="str">
        <f t="shared" si="2377"/>
        <v/>
      </c>
      <c r="BK680" s="408" t="str">
        <f t="shared" si="2377"/>
        <v/>
      </c>
      <c r="BL680" s="408" t="str">
        <f t="shared" si="2377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326"/>
        <v/>
      </c>
      <c r="CA680" s="398" t="str">
        <f t="shared" si="2327"/>
        <v/>
      </c>
      <c r="CB680" s="398" t="str">
        <f t="shared" si="2328"/>
        <v/>
      </c>
      <c r="CC680" s="465" t="str">
        <f t="shared" si="2329"/>
        <v/>
      </c>
      <c r="CD680" s="111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5" t="str">
        <f t="shared" si="2369"/>
        <v/>
      </c>
      <c r="CF680" s="1116" t="str">
        <f t="shared" si="2369"/>
        <v/>
      </c>
      <c r="CG680" s="1116" t="str">
        <f t="shared" si="2369"/>
        <v/>
      </c>
      <c r="CH680" s="1116" t="str">
        <f t="shared" si="2369"/>
        <v/>
      </c>
      <c r="CI680" s="1116" t="str">
        <f t="shared" si="2369"/>
        <v/>
      </c>
      <c r="CJ680" s="1116" t="str">
        <f t="shared" si="2369"/>
        <v/>
      </c>
      <c r="CK680" s="1117" t="str">
        <f t="shared" si="2369"/>
        <v/>
      </c>
      <c r="CL680" s="1117" t="str">
        <f t="shared" si="2369"/>
        <v/>
      </c>
      <c r="CM680" s="1117" t="str">
        <f t="shared" si="2369"/>
        <v/>
      </c>
      <c r="CN680" s="1116" t="str">
        <f t="shared" si="2369"/>
        <v/>
      </c>
      <c r="CO680" s="1116" t="str">
        <f t="shared" si="2369"/>
        <v/>
      </c>
      <c r="CP680" s="1116" t="str">
        <f t="shared" si="2369"/>
        <v/>
      </c>
      <c r="CQ680" s="1116" t="str">
        <f t="shared" si="2369"/>
        <v/>
      </c>
      <c r="CR680" s="1116" t="str">
        <f t="shared" si="2369"/>
        <v/>
      </c>
      <c r="CS680" s="1115" t="str">
        <f t="shared" si="2369"/>
        <v/>
      </c>
      <c r="CT680" s="1118" t="str">
        <f t="shared" si="2369"/>
        <v/>
      </c>
      <c r="CU680" s="312" t="str">
        <f t="shared" si="2370"/>
        <v/>
      </c>
      <c r="CV680" s="313" t="str">
        <f t="shared" si="2370"/>
        <v/>
      </c>
      <c r="CW680" s="314" t="str">
        <f t="shared" si="2370"/>
        <v/>
      </c>
      <c r="CX680" s="314" t="str">
        <f t="shared" si="2370"/>
        <v/>
      </c>
      <c r="CY680" s="314" t="str">
        <f t="shared" si="2370"/>
        <v/>
      </c>
      <c r="CZ680" s="314" t="str">
        <f t="shared" si="2370"/>
        <v/>
      </c>
      <c r="DA680" s="314" t="str">
        <f t="shared" si="2370"/>
        <v/>
      </c>
      <c r="DB680" s="315" t="str">
        <f t="shared" si="2370"/>
        <v/>
      </c>
      <c r="DC680" s="315" t="str">
        <f t="shared" si="2370"/>
        <v/>
      </c>
      <c r="DD680" s="315" t="str">
        <f t="shared" si="2370"/>
        <v/>
      </c>
      <c r="DE680" s="314" t="str">
        <f t="shared" si="2371"/>
        <v/>
      </c>
      <c r="DF680" s="314" t="str">
        <f t="shared" si="2371"/>
        <v/>
      </c>
      <c r="DG680" s="314" t="str">
        <f t="shared" si="2371"/>
        <v/>
      </c>
      <c r="DH680" s="314" t="str">
        <f t="shared" si="2371"/>
        <v/>
      </c>
      <c r="DI680" s="314" t="str">
        <f t="shared" si="2371"/>
        <v/>
      </c>
      <c r="DJ680" s="313" t="str">
        <f t="shared" si="2371"/>
        <v/>
      </c>
      <c r="DK680" s="312" t="str">
        <f t="shared" si="2371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0"/>
      <c r="CE681" s="1120"/>
      <c r="CF681" s="1120"/>
      <c r="CG681" s="1120"/>
      <c r="CH681" s="1120"/>
      <c r="CI681" s="1120"/>
      <c r="CJ681" s="1120"/>
      <c r="CK681" s="1120"/>
      <c r="CL681" s="1120"/>
      <c r="CM681" s="1120"/>
      <c r="CN681" s="1120"/>
      <c r="CO681" s="1120"/>
      <c r="CP681" s="1120"/>
      <c r="CQ681" s="1120"/>
      <c r="CR681" s="1120"/>
      <c r="CS681" s="1120"/>
      <c r="CT681" s="1121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9" t="str">
        <f t="shared" ref="CD682:CS682" si="237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0" t="str">
        <f t="shared" si="2378"/>
        <v/>
      </c>
      <c r="CF682" s="1111" t="str">
        <f t="shared" si="2378"/>
        <v/>
      </c>
      <c r="CG682" s="1111" t="str">
        <f t="shared" si="2378"/>
        <v/>
      </c>
      <c r="CH682" s="1111" t="str">
        <f t="shared" si="2378"/>
        <v/>
      </c>
      <c r="CI682" s="1111" t="str">
        <f t="shared" si="2378"/>
        <v/>
      </c>
      <c r="CJ682" s="1111" t="str">
        <f t="shared" si="2378"/>
        <v/>
      </c>
      <c r="CK682" s="1112" t="str">
        <f t="shared" si="2378"/>
        <v/>
      </c>
      <c r="CL682" s="1112" t="str">
        <f t="shared" si="2378"/>
        <v/>
      </c>
      <c r="CM682" s="1112" t="str">
        <f t="shared" si="2378"/>
        <v/>
      </c>
      <c r="CN682" s="1111" t="str">
        <f t="shared" si="2378"/>
        <v/>
      </c>
      <c r="CO682" s="1111" t="str">
        <f t="shared" si="2378"/>
        <v/>
      </c>
      <c r="CP682" s="1111" t="str">
        <f t="shared" si="2378"/>
        <v/>
      </c>
      <c r="CQ682" s="1111" t="str">
        <f t="shared" si="2378"/>
        <v/>
      </c>
      <c r="CR682" s="1111" t="str">
        <f t="shared" si="2378"/>
        <v/>
      </c>
      <c r="CS682" s="1110" t="str">
        <f t="shared" si="2378"/>
        <v/>
      </c>
      <c r="CT682" s="1113" t="str">
        <f t="shared" ref="CE682:CT685" si="237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38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380"/>
        <v/>
      </c>
      <c r="CW682" s="326" t="str">
        <f t="shared" si="2380"/>
        <v/>
      </c>
      <c r="CX682" s="326" t="str">
        <f t="shared" si="2380"/>
        <v/>
      </c>
      <c r="CY682" s="326" t="str">
        <f t="shared" si="2380"/>
        <v/>
      </c>
      <c r="CZ682" s="326" t="str">
        <f t="shared" si="2380"/>
        <v/>
      </c>
      <c r="DA682" s="326" t="str">
        <f t="shared" si="2380"/>
        <v/>
      </c>
      <c r="DB682" s="327" t="str">
        <f t="shared" si="2380"/>
        <v/>
      </c>
      <c r="DC682" s="327" t="str">
        <f t="shared" si="2380"/>
        <v/>
      </c>
      <c r="DD682" s="327" t="str">
        <f t="shared" si="2380"/>
        <v/>
      </c>
      <c r="DE682" s="326" t="str">
        <f t="shared" ref="DE682:DK685" si="238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381"/>
        <v/>
      </c>
      <c r="DG682" s="326" t="str">
        <f t="shared" si="2381"/>
        <v/>
      </c>
      <c r="DH682" s="326" t="str">
        <f t="shared" si="2381"/>
        <v/>
      </c>
      <c r="DI682" s="326" t="str">
        <f t="shared" si="2381"/>
        <v/>
      </c>
      <c r="DJ682" s="325" t="str">
        <f t="shared" si="2381"/>
        <v/>
      </c>
      <c r="DK682" s="324" t="str">
        <f t="shared" si="2381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379"/>
        <v/>
      </c>
      <c r="CF683" s="1111" t="str">
        <f t="shared" si="2379"/>
        <v/>
      </c>
      <c r="CG683" s="1111" t="str">
        <f t="shared" si="2379"/>
        <v/>
      </c>
      <c r="CH683" s="1111" t="str">
        <f t="shared" si="2379"/>
        <v/>
      </c>
      <c r="CI683" s="1111" t="str">
        <f t="shared" si="2379"/>
        <v/>
      </c>
      <c r="CJ683" s="1111" t="str">
        <f t="shared" si="2379"/>
        <v/>
      </c>
      <c r="CK683" s="1112" t="str">
        <f t="shared" si="2379"/>
        <v/>
      </c>
      <c r="CL683" s="1112" t="str">
        <f t="shared" si="2379"/>
        <v/>
      </c>
      <c r="CM683" s="1112" t="str">
        <f t="shared" si="2379"/>
        <v/>
      </c>
      <c r="CN683" s="1111" t="str">
        <f t="shared" si="2379"/>
        <v/>
      </c>
      <c r="CO683" s="1111" t="str">
        <f t="shared" si="2379"/>
        <v/>
      </c>
      <c r="CP683" s="1111" t="str">
        <f t="shared" si="2379"/>
        <v/>
      </c>
      <c r="CQ683" s="1111" t="str">
        <f t="shared" si="2379"/>
        <v/>
      </c>
      <c r="CR683" s="1111" t="str">
        <f t="shared" si="2379"/>
        <v/>
      </c>
      <c r="CS683" s="1110" t="str">
        <f t="shared" si="2379"/>
        <v/>
      </c>
      <c r="CT683" s="1113" t="str">
        <f t="shared" si="2379"/>
        <v/>
      </c>
      <c r="CU683" s="324" t="str">
        <f t="shared" si="2380"/>
        <v/>
      </c>
      <c r="CV683" s="325" t="str">
        <f t="shared" si="2380"/>
        <v/>
      </c>
      <c r="CW683" s="326" t="str">
        <f t="shared" si="2380"/>
        <v/>
      </c>
      <c r="CX683" s="326" t="str">
        <f t="shared" si="2380"/>
        <v/>
      </c>
      <c r="CY683" s="326" t="str">
        <f t="shared" si="2380"/>
        <v/>
      </c>
      <c r="CZ683" s="326" t="str">
        <f t="shared" si="2380"/>
        <v/>
      </c>
      <c r="DA683" s="326" t="str">
        <f t="shared" si="2380"/>
        <v/>
      </c>
      <c r="DB683" s="327" t="str">
        <f t="shared" si="2380"/>
        <v/>
      </c>
      <c r="DC683" s="327" t="str">
        <f t="shared" si="2380"/>
        <v/>
      </c>
      <c r="DD683" s="327" t="str">
        <f t="shared" si="2380"/>
        <v/>
      </c>
      <c r="DE683" s="326" t="str">
        <f t="shared" si="2381"/>
        <v/>
      </c>
      <c r="DF683" s="326" t="str">
        <f t="shared" si="2381"/>
        <v/>
      </c>
      <c r="DG683" s="326" t="str">
        <f t="shared" si="2381"/>
        <v/>
      </c>
      <c r="DH683" s="326" t="str">
        <f t="shared" si="2381"/>
        <v/>
      </c>
      <c r="DI683" s="326" t="str">
        <f t="shared" si="2381"/>
        <v/>
      </c>
      <c r="DJ683" s="325" t="str">
        <f t="shared" si="2381"/>
        <v/>
      </c>
      <c r="DK683" s="324" t="str">
        <f t="shared" si="2381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382">2020*$K$1</f>
        <v>2020</v>
      </c>
      <c r="C684" s="536">
        <f t="shared" si="2382"/>
        <v>2020</v>
      </c>
      <c r="D684" s="536">
        <f t="shared" si="2382"/>
        <v>2020</v>
      </c>
      <c r="E684" s="536">
        <f t="shared" si="2382"/>
        <v>2020</v>
      </c>
      <c r="F684" s="536">
        <f t="shared" si="2382"/>
        <v>2020</v>
      </c>
      <c r="G684" s="536">
        <f t="shared" si="2382"/>
        <v>2020</v>
      </c>
      <c r="H684" s="536">
        <f t="shared" si="2382"/>
        <v>2020</v>
      </c>
      <c r="I684" s="536">
        <f t="shared" si="2382"/>
        <v>2020</v>
      </c>
      <c r="J684" s="536">
        <f t="shared" si="2382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383">2020*$K$1</f>
        <v>2020</v>
      </c>
      <c r="U684" s="536">
        <f t="shared" si="2383"/>
        <v>2020</v>
      </c>
      <c r="V684" s="536">
        <f t="shared" si="2383"/>
        <v>2020</v>
      </c>
      <c r="W684" s="536">
        <f t="shared" si="2383"/>
        <v>2020</v>
      </c>
      <c r="X684" s="536">
        <f t="shared" si="2383"/>
        <v>2020</v>
      </c>
      <c r="Y684" s="536">
        <f t="shared" si="2383"/>
        <v>2020</v>
      </c>
      <c r="Z684" s="536">
        <f t="shared" si="2383"/>
        <v>2020</v>
      </c>
      <c r="AA684" s="536">
        <f t="shared" si="2383"/>
        <v>2020</v>
      </c>
      <c r="AB684" s="536">
        <f t="shared" si="2383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384">2020*$K$1</f>
        <v>2020</v>
      </c>
      <c r="AM684" s="536">
        <f t="shared" si="2384"/>
        <v>2020</v>
      </c>
      <c r="AN684" s="536">
        <f t="shared" si="2384"/>
        <v>2020</v>
      </c>
      <c r="AO684" s="536">
        <f t="shared" si="2384"/>
        <v>2020</v>
      </c>
      <c r="AP684" s="536">
        <f t="shared" si="2384"/>
        <v>2020</v>
      </c>
      <c r="AQ684" s="536">
        <f t="shared" si="2384"/>
        <v>2020</v>
      </c>
      <c r="AR684" s="536">
        <f t="shared" si="2384"/>
        <v>2020</v>
      </c>
      <c r="AS684" s="536">
        <f t="shared" si="2384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385">2020*$K$1</f>
        <v>2020</v>
      </c>
      <c r="BE684" s="536">
        <f t="shared" si="2385"/>
        <v>2020</v>
      </c>
      <c r="BF684" s="536">
        <f t="shared" si="2385"/>
        <v>2020</v>
      </c>
      <c r="BG684" s="536">
        <f t="shared" si="2385"/>
        <v>2020</v>
      </c>
      <c r="BH684" s="536">
        <f t="shared" si="2385"/>
        <v>2020</v>
      </c>
      <c r="BI684" s="536">
        <f t="shared" si="2385"/>
        <v>2020</v>
      </c>
      <c r="BJ684" s="536">
        <f t="shared" si="2385"/>
        <v>2020</v>
      </c>
      <c r="BK684" s="536">
        <f t="shared" si="2385"/>
        <v>2020</v>
      </c>
      <c r="BL684" s="536">
        <f t="shared" si="2385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si="2379"/>
        <v/>
      </c>
      <c r="CF684" s="1111" t="str">
        <f t="shared" si="2379"/>
        <v/>
      </c>
      <c r="CG684" s="1111" t="str">
        <f t="shared" si="2379"/>
        <v/>
      </c>
      <c r="CH684" s="1111">
        <f t="shared" si="2379"/>
        <v>2020</v>
      </c>
      <c r="CI684" s="1111">
        <f t="shared" si="2379"/>
        <v>2020</v>
      </c>
      <c r="CJ684" s="1111">
        <f t="shared" si="2379"/>
        <v>2020</v>
      </c>
      <c r="CK684" s="1112">
        <f t="shared" si="2379"/>
        <v>2020</v>
      </c>
      <c r="CL684" s="1112">
        <f t="shared" si="2379"/>
        <v>2020</v>
      </c>
      <c r="CM684" s="1112">
        <f t="shared" si="2379"/>
        <v>2020</v>
      </c>
      <c r="CN684" s="1111">
        <f t="shared" si="2379"/>
        <v>2020</v>
      </c>
      <c r="CO684" s="1111">
        <f t="shared" si="2379"/>
        <v>2020</v>
      </c>
      <c r="CP684" s="1111">
        <f t="shared" si="2379"/>
        <v>2020</v>
      </c>
      <c r="CQ684" s="1111" t="str">
        <f t="shared" si="2379"/>
        <v/>
      </c>
      <c r="CR684" s="1111" t="str">
        <f t="shared" si="2379"/>
        <v/>
      </c>
      <c r="CS684" s="1110" t="str">
        <f t="shared" si="2379"/>
        <v/>
      </c>
      <c r="CT684" s="1113" t="str">
        <f t="shared" si="2379"/>
        <v/>
      </c>
      <c r="CU684" s="324" t="str">
        <f t="shared" si="2380"/>
        <v/>
      </c>
      <c r="CV684" s="325" t="str">
        <f t="shared" si="2380"/>
        <v/>
      </c>
      <c r="CW684" s="326" t="str">
        <f t="shared" si="2380"/>
        <v/>
      </c>
      <c r="CX684" s="326" t="str">
        <f t="shared" si="2380"/>
        <v/>
      </c>
      <c r="CY684" s="326">
        <f t="shared" si="2380"/>
        <v>2020</v>
      </c>
      <c r="CZ684" s="326">
        <f t="shared" si="2380"/>
        <v>2020</v>
      </c>
      <c r="DA684" s="326">
        <f t="shared" si="2380"/>
        <v>2020</v>
      </c>
      <c r="DB684" s="327">
        <f t="shared" si="2380"/>
        <v>2020</v>
      </c>
      <c r="DC684" s="327">
        <f t="shared" si="2380"/>
        <v>2020</v>
      </c>
      <c r="DD684" s="327">
        <f t="shared" si="2380"/>
        <v>2020</v>
      </c>
      <c r="DE684" s="326">
        <f t="shared" si="2381"/>
        <v>2020</v>
      </c>
      <c r="DF684" s="326">
        <f t="shared" si="2381"/>
        <v>2020</v>
      </c>
      <c r="DG684" s="326">
        <f t="shared" si="2381"/>
        <v>2020</v>
      </c>
      <c r="DH684" s="326" t="str">
        <f t="shared" si="2381"/>
        <v/>
      </c>
      <c r="DI684" s="326" t="str">
        <f t="shared" si="2381"/>
        <v/>
      </c>
      <c r="DJ684" s="325" t="str">
        <f t="shared" si="2381"/>
        <v/>
      </c>
      <c r="DK684" s="324" t="str">
        <f t="shared" si="2381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386">IF(B682="","",B682*B683*B684/B$46/365/$G$1)</f>
        <v/>
      </c>
      <c r="C685" s="408" t="str">
        <f t="shared" si="2386"/>
        <v/>
      </c>
      <c r="D685" s="408" t="str">
        <f t="shared" si="2386"/>
        <v/>
      </c>
      <c r="E685" s="408" t="str">
        <f t="shared" si="2386"/>
        <v/>
      </c>
      <c r="F685" s="408" t="str">
        <f t="shared" si="2386"/>
        <v/>
      </c>
      <c r="G685" s="408" t="str">
        <f t="shared" si="2386"/>
        <v/>
      </c>
      <c r="H685" s="408" t="str">
        <f t="shared" si="2386"/>
        <v/>
      </c>
      <c r="I685" s="408" t="str">
        <f t="shared" si="2386"/>
        <v/>
      </c>
      <c r="J685" s="408" t="str">
        <f t="shared" si="2386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387">IF(T682="","",T682*T683*T684/T$46/365/$G$1)</f>
        <v/>
      </c>
      <c r="U685" s="408" t="str">
        <f t="shared" si="2387"/>
        <v/>
      </c>
      <c r="V685" s="408" t="str">
        <f t="shared" si="2387"/>
        <v/>
      </c>
      <c r="W685" s="408" t="str">
        <f t="shared" si="2387"/>
        <v/>
      </c>
      <c r="X685" s="408" t="str">
        <f t="shared" si="2387"/>
        <v/>
      </c>
      <c r="Y685" s="408" t="str">
        <f t="shared" si="2387"/>
        <v/>
      </c>
      <c r="Z685" s="408" t="str">
        <f t="shared" si="2387"/>
        <v/>
      </c>
      <c r="AA685" s="408" t="str">
        <f t="shared" si="2387"/>
        <v/>
      </c>
      <c r="AB685" s="408" t="str">
        <f t="shared" si="2387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388">IF(AL682="","",AL682*AL683*AL684/AL$46/365/$G$1)</f>
        <v/>
      </c>
      <c r="AM685" s="408" t="str">
        <f t="shared" si="2388"/>
        <v/>
      </c>
      <c r="AN685" s="408" t="str">
        <f t="shared" si="2388"/>
        <v/>
      </c>
      <c r="AO685" s="408" t="str">
        <f t="shared" si="2388"/>
        <v/>
      </c>
      <c r="AP685" s="408" t="str">
        <f t="shared" si="2388"/>
        <v/>
      </c>
      <c r="AQ685" s="408" t="str">
        <f t="shared" si="2388"/>
        <v/>
      </c>
      <c r="AR685" s="408" t="str">
        <f t="shared" si="2388"/>
        <v/>
      </c>
      <c r="AS685" s="408" t="str">
        <f t="shared" si="2388"/>
        <v/>
      </c>
      <c r="AT685" s="408" t="str">
        <f t="shared" si="2388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389">IF(BD682="","",BD682*BD683*BD684/BD$46/365/$G$1)</f>
        <v/>
      </c>
      <c r="BE685" s="408" t="str">
        <f t="shared" si="2389"/>
        <v/>
      </c>
      <c r="BF685" s="408" t="str">
        <f t="shared" si="2389"/>
        <v/>
      </c>
      <c r="BG685" s="408" t="str">
        <f t="shared" si="2389"/>
        <v/>
      </c>
      <c r="BH685" s="408" t="str">
        <f t="shared" si="2389"/>
        <v/>
      </c>
      <c r="BI685" s="408" t="str">
        <f t="shared" si="2389"/>
        <v/>
      </c>
      <c r="BJ685" s="408" t="str">
        <f t="shared" si="2389"/>
        <v/>
      </c>
      <c r="BK685" s="408" t="str">
        <f t="shared" si="2389"/>
        <v/>
      </c>
      <c r="BL685" s="408" t="str">
        <f t="shared" si="2389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5" t="str">
        <f t="shared" si="2379"/>
        <v/>
      </c>
      <c r="CF685" s="1116" t="str">
        <f t="shared" si="2379"/>
        <v/>
      </c>
      <c r="CG685" s="1116" t="str">
        <f t="shared" si="2379"/>
        <v/>
      </c>
      <c r="CH685" s="1116" t="str">
        <f t="shared" si="2379"/>
        <v/>
      </c>
      <c r="CI685" s="1116" t="str">
        <f t="shared" si="2379"/>
        <v/>
      </c>
      <c r="CJ685" s="1116" t="str">
        <f t="shared" si="2379"/>
        <v/>
      </c>
      <c r="CK685" s="1117" t="str">
        <f t="shared" si="2379"/>
        <v/>
      </c>
      <c r="CL685" s="1117" t="str">
        <f t="shared" si="2379"/>
        <v/>
      </c>
      <c r="CM685" s="1117" t="str">
        <f t="shared" si="2379"/>
        <v/>
      </c>
      <c r="CN685" s="1116" t="str">
        <f t="shared" si="2379"/>
        <v/>
      </c>
      <c r="CO685" s="1116" t="str">
        <f t="shared" si="2379"/>
        <v/>
      </c>
      <c r="CP685" s="1116" t="str">
        <f t="shared" si="2379"/>
        <v/>
      </c>
      <c r="CQ685" s="1116" t="str">
        <f t="shared" si="2379"/>
        <v/>
      </c>
      <c r="CR685" s="1116" t="str">
        <f t="shared" si="2379"/>
        <v/>
      </c>
      <c r="CS685" s="1115" t="str">
        <f t="shared" si="2379"/>
        <v/>
      </c>
      <c r="CT685" s="1118" t="str">
        <f t="shared" si="2379"/>
        <v/>
      </c>
      <c r="CU685" s="312" t="str">
        <f t="shared" si="2380"/>
        <v/>
      </c>
      <c r="CV685" s="313" t="str">
        <f t="shared" si="2380"/>
        <v/>
      </c>
      <c r="CW685" s="314" t="str">
        <f t="shared" si="2380"/>
        <v/>
      </c>
      <c r="CX685" s="314" t="str">
        <f t="shared" si="2380"/>
        <v/>
      </c>
      <c r="CY685" s="314" t="str">
        <f t="shared" si="2380"/>
        <v/>
      </c>
      <c r="CZ685" s="314" t="str">
        <f t="shared" si="2380"/>
        <v/>
      </c>
      <c r="DA685" s="314" t="str">
        <f t="shared" si="2380"/>
        <v/>
      </c>
      <c r="DB685" s="315" t="str">
        <f t="shared" si="2380"/>
        <v/>
      </c>
      <c r="DC685" s="315" t="str">
        <f t="shared" si="2380"/>
        <v/>
      </c>
      <c r="DD685" s="315" t="str">
        <f t="shared" si="2380"/>
        <v/>
      </c>
      <c r="DE685" s="314" t="str">
        <f t="shared" si="2381"/>
        <v/>
      </c>
      <c r="DF685" s="314" t="str">
        <f t="shared" si="2381"/>
        <v/>
      </c>
      <c r="DG685" s="314" t="str">
        <f t="shared" si="2381"/>
        <v/>
      </c>
      <c r="DH685" s="314" t="str">
        <f t="shared" si="2381"/>
        <v/>
      </c>
      <c r="DI685" s="314" t="str">
        <f t="shared" si="2381"/>
        <v/>
      </c>
      <c r="DJ685" s="313" t="str">
        <f t="shared" si="2381"/>
        <v/>
      </c>
      <c r="DK685" s="312" t="str">
        <f t="shared" si="2381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6"/>
      <c r="CE686" s="1126"/>
      <c r="CF686" s="1126"/>
      <c r="CG686" s="1126"/>
      <c r="CH686" s="1126"/>
      <c r="CI686" s="1126"/>
      <c r="CJ686" s="1126"/>
      <c r="CK686" s="1126"/>
      <c r="CL686" s="1126"/>
      <c r="CM686" s="1126"/>
      <c r="CN686" s="1126"/>
      <c r="CO686" s="1126"/>
      <c r="CP686" s="1126"/>
      <c r="CQ686" s="1126"/>
      <c r="CR686" s="1126"/>
      <c r="CS686" s="1126"/>
      <c r="CT686" s="1127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9" t="str">
        <f t="shared" ref="CD687:CS687" si="239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0" t="str">
        <f t="shared" si="2390"/>
        <v/>
      </c>
      <c r="CF687" s="1111" t="str">
        <f t="shared" si="2390"/>
        <v/>
      </c>
      <c r="CG687" s="1111" t="str">
        <f t="shared" si="2390"/>
        <v/>
      </c>
      <c r="CH687" s="1111" t="str">
        <f t="shared" si="2390"/>
        <v/>
      </c>
      <c r="CI687" s="1111" t="str">
        <f t="shared" si="2390"/>
        <v/>
      </c>
      <c r="CJ687" s="1111" t="str">
        <f t="shared" si="2390"/>
        <v/>
      </c>
      <c r="CK687" s="1112" t="str">
        <f t="shared" si="2390"/>
        <v/>
      </c>
      <c r="CL687" s="1112" t="str">
        <f t="shared" si="2390"/>
        <v/>
      </c>
      <c r="CM687" s="1112" t="str">
        <f t="shared" si="2390"/>
        <v/>
      </c>
      <c r="CN687" s="1111" t="str">
        <f t="shared" si="2390"/>
        <v/>
      </c>
      <c r="CO687" s="1111" t="str">
        <f t="shared" si="2390"/>
        <v/>
      </c>
      <c r="CP687" s="1111" t="str">
        <f t="shared" si="2390"/>
        <v/>
      </c>
      <c r="CQ687" s="1111" t="str">
        <f t="shared" si="2390"/>
        <v/>
      </c>
      <c r="CR687" s="1111" t="str">
        <f t="shared" si="2390"/>
        <v/>
      </c>
      <c r="CS687" s="1110" t="str">
        <f t="shared" si="2390"/>
        <v/>
      </c>
      <c r="CT687" s="1113" t="str">
        <f t="shared" ref="CE687:CT690" si="239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39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392"/>
        <v/>
      </c>
      <c r="CW687" s="326" t="str">
        <f t="shared" si="2392"/>
        <v/>
      </c>
      <c r="CX687" s="326" t="str">
        <f t="shared" si="2392"/>
        <v/>
      </c>
      <c r="CY687" s="326" t="str">
        <f t="shared" si="2392"/>
        <v/>
      </c>
      <c r="CZ687" s="326" t="str">
        <f t="shared" si="2392"/>
        <v/>
      </c>
      <c r="DA687" s="326" t="str">
        <f t="shared" si="2392"/>
        <v/>
      </c>
      <c r="DB687" s="327" t="str">
        <f t="shared" si="2392"/>
        <v/>
      </c>
      <c r="DC687" s="327" t="str">
        <f t="shared" si="2392"/>
        <v/>
      </c>
      <c r="DD687" s="327" t="str">
        <f t="shared" si="2392"/>
        <v/>
      </c>
      <c r="DE687" s="326" t="str">
        <f t="shared" ref="DE687:DK690" si="239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393"/>
        <v/>
      </c>
      <c r="DG687" s="326" t="str">
        <f t="shared" si="2393"/>
        <v/>
      </c>
      <c r="DH687" s="326" t="str">
        <f t="shared" si="2393"/>
        <v/>
      </c>
      <c r="DI687" s="326" t="str">
        <f t="shared" si="2393"/>
        <v/>
      </c>
      <c r="DJ687" s="325" t="str">
        <f t="shared" si="2393"/>
        <v/>
      </c>
      <c r="DK687" s="324" t="str">
        <f t="shared" si="2393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391"/>
        <v/>
      </c>
      <c r="CF688" s="1111" t="str">
        <f t="shared" si="2391"/>
        <v/>
      </c>
      <c r="CG688" s="1111" t="str">
        <f t="shared" si="2391"/>
        <v/>
      </c>
      <c r="CH688" s="1111" t="str">
        <f t="shared" si="2391"/>
        <v/>
      </c>
      <c r="CI688" s="1111" t="str">
        <f t="shared" si="2391"/>
        <v/>
      </c>
      <c r="CJ688" s="1111" t="str">
        <f t="shared" si="2391"/>
        <v/>
      </c>
      <c r="CK688" s="1112" t="str">
        <f t="shared" si="2391"/>
        <v/>
      </c>
      <c r="CL688" s="1112" t="str">
        <f t="shared" si="2391"/>
        <v/>
      </c>
      <c r="CM688" s="1112" t="str">
        <f t="shared" si="2391"/>
        <v/>
      </c>
      <c r="CN688" s="1111" t="str">
        <f t="shared" si="2391"/>
        <v/>
      </c>
      <c r="CO688" s="1111" t="str">
        <f t="shared" si="2391"/>
        <v/>
      </c>
      <c r="CP688" s="1111" t="str">
        <f t="shared" si="2391"/>
        <v/>
      </c>
      <c r="CQ688" s="1111" t="str">
        <f t="shared" si="2391"/>
        <v/>
      </c>
      <c r="CR688" s="1111" t="str">
        <f t="shared" si="2391"/>
        <v/>
      </c>
      <c r="CS688" s="1110" t="str">
        <f t="shared" si="2391"/>
        <v/>
      </c>
      <c r="CT688" s="1113" t="str">
        <f t="shared" si="2391"/>
        <v/>
      </c>
      <c r="CU688" s="324" t="str">
        <f t="shared" si="2392"/>
        <v/>
      </c>
      <c r="CV688" s="325" t="str">
        <f t="shared" si="2392"/>
        <v/>
      </c>
      <c r="CW688" s="326" t="str">
        <f t="shared" si="2392"/>
        <v/>
      </c>
      <c r="CX688" s="326" t="str">
        <f t="shared" si="2392"/>
        <v/>
      </c>
      <c r="CY688" s="326" t="str">
        <f t="shared" si="2392"/>
        <v/>
      </c>
      <c r="CZ688" s="326" t="str">
        <f t="shared" si="2392"/>
        <v/>
      </c>
      <c r="DA688" s="326" t="str">
        <f t="shared" si="2392"/>
        <v/>
      </c>
      <c r="DB688" s="327" t="str">
        <f t="shared" si="2392"/>
        <v/>
      </c>
      <c r="DC688" s="327" t="str">
        <f t="shared" si="2392"/>
        <v/>
      </c>
      <c r="DD688" s="327" t="str">
        <f t="shared" si="2392"/>
        <v/>
      </c>
      <c r="DE688" s="326" t="str">
        <f t="shared" si="2393"/>
        <v/>
      </c>
      <c r="DF688" s="326" t="str">
        <f t="shared" si="2393"/>
        <v/>
      </c>
      <c r="DG688" s="326" t="str">
        <f t="shared" si="2393"/>
        <v/>
      </c>
      <c r="DH688" s="326" t="str">
        <f t="shared" si="2393"/>
        <v/>
      </c>
      <c r="DI688" s="326" t="str">
        <f t="shared" si="2393"/>
        <v/>
      </c>
      <c r="DJ688" s="325" t="str">
        <f t="shared" si="2393"/>
        <v/>
      </c>
      <c r="DK688" s="324" t="str">
        <f t="shared" si="2393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394">3620*$K$1</f>
        <v>3620</v>
      </c>
      <c r="C689" s="536">
        <f t="shared" si="2394"/>
        <v>3620</v>
      </c>
      <c r="D689" s="536">
        <f t="shared" si="2394"/>
        <v>3620</v>
      </c>
      <c r="E689" s="536">
        <v>3620</v>
      </c>
      <c r="F689" s="536">
        <f t="shared" si="2394"/>
        <v>3620</v>
      </c>
      <c r="G689" s="536">
        <f t="shared" si="2394"/>
        <v>3620</v>
      </c>
      <c r="H689" s="536">
        <f t="shared" si="2394"/>
        <v>3620</v>
      </c>
      <c r="I689" s="536">
        <f t="shared" si="2394"/>
        <v>3620</v>
      </c>
      <c r="J689" s="536">
        <f t="shared" si="2394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395">3620*$K$1</f>
        <v>3620</v>
      </c>
      <c r="U689" s="536">
        <f t="shared" si="2395"/>
        <v>3620</v>
      </c>
      <c r="V689" s="536">
        <f t="shared" si="2395"/>
        <v>3620</v>
      </c>
      <c r="W689" s="536">
        <f t="shared" si="2395"/>
        <v>3620</v>
      </c>
      <c r="X689" s="536">
        <f t="shared" si="2395"/>
        <v>3620</v>
      </c>
      <c r="Y689" s="536">
        <f t="shared" si="2395"/>
        <v>3620</v>
      </c>
      <c r="Z689" s="536">
        <f t="shared" si="2395"/>
        <v>3620</v>
      </c>
      <c r="AA689" s="536">
        <f t="shared" si="2395"/>
        <v>3620</v>
      </c>
      <c r="AB689" s="536">
        <f t="shared" si="2395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396">3620*$K$1</f>
        <v>3620</v>
      </c>
      <c r="AM689" s="536">
        <f t="shared" si="2396"/>
        <v>3620</v>
      </c>
      <c r="AN689" s="536">
        <f t="shared" si="2396"/>
        <v>3620</v>
      </c>
      <c r="AO689" s="536">
        <f t="shared" si="2396"/>
        <v>3620</v>
      </c>
      <c r="AP689" s="536">
        <f t="shared" si="2396"/>
        <v>3620</v>
      </c>
      <c r="AQ689" s="536">
        <f t="shared" si="2396"/>
        <v>3620</v>
      </c>
      <c r="AR689" s="536">
        <f t="shared" si="2396"/>
        <v>3620</v>
      </c>
      <c r="AS689" s="536">
        <f t="shared" si="2396"/>
        <v>3620</v>
      </c>
      <c r="AT689" s="536">
        <f t="shared" si="2396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397">3620*$K$1</f>
        <v>3620</v>
      </c>
      <c r="BE689" s="536">
        <f t="shared" si="2397"/>
        <v>3620</v>
      </c>
      <c r="BF689" s="536">
        <f t="shared" si="2397"/>
        <v>3620</v>
      </c>
      <c r="BG689" s="536">
        <f t="shared" si="2397"/>
        <v>3620</v>
      </c>
      <c r="BH689" s="536">
        <f t="shared" si="2397"/>
        <v>3620</v>
      </c>
      <c r="BI689" s="536">
        <f t="shared" si="2397"/>
        <v>3620</v>
      </c>
      <c r="BJ689" s="536">
        <f t="shared" si="2397"/>
        <v>3620</v>
      </c>
      <c r="BK689" s="536">
        <f t="shared" si="2397"/>
        <v>3620</v>
      </c>
      <c r="BL689" s="536">
        <f t="shared" si="2397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si="2391"/>
        <v/>
      </c>
      <c r="CF689" s="1111" t="str">
        <f t="shared" si="2391"/>
        <v/>
      </c>
      <c r="CG689" s="1111" t="str">
        <f t="shared" si="2391"/>
        <v/>
      </c>
      <c r="CH689" s="1111">
        <f t="shared" si="2391"/>
        <v>3620</v>
      </c>
      <c r="CI689" s="1111">
        <f t="shared" si="2391"/>
        <v>3620</v>
      </c>
      <c r="CJ689" s="1111">
        <f t="shared" si="2391"/>
        <v>3620</v>
      </c>
      <c r="CK689" s="1112">
        <f t="shared" si="2391"/>
        <v>3620</v>
      </c>
      <c r="CL689" s="1112">
        <f t="shared" si="2391"/>
        <v>3620</v>
      </c>
      <c r="CM689" s="1112">
        <f t="shared" si="2391"/>
        <v>3620</v>
      </c>
      <c r="CN689" s="1111">
        <f t="shared" si="2391"/>
        <v>3620</v>
      </c>
      <c r="CO689" s="1111">
        <f t="shared" si="2391"/>
        <v>3620</v>
      </c>
      <c r="CP689" s="1111">
        <f t="shared" si="2391"/>
        <v>3620</v>
      </c>
      <c r="CQ689" s="1111" t="str">
        <f t="shared" si="2391"/>
        <v/>
      </c>
      <c r="CR689" s="1111" t="str">
        <f t="shared" si="2391"/>
        <v/>
      </c>
      <c r="CS689" s="1110" t="str">
        <f t="shared" si="2391"/>
        <v/>
      </c>
      <c r="CT689" s="1113" t="str">
        <f t="shared" si="2391"/>
        <v/>
      </c>
      <c r="CU689" s="324" t="str">
        <f t="shared" si="2392"/>
        <v/>
      </c>
      <c r="CV689" s="325" t="str">
        <f t="shared" si="2392"/>
        <v/>
      </c>
      <c r="CW689" s="326" t="str">
        <f t="shared" si="2392"/>
        <v/>
      </c>
      <c r="CX689" s="326" t="str">
        <f t="shared" si="2392"/>
        <v/>
      </c>
      <c r="CY689" s="326">
        <f t="shared" si="2392"/>
        <v>3620</v>
      </c>
      <c r="CZ689" s="326">
        <f t="shared" si="2392"/>
        <v>3620</v>
      </c>
      <c r="DA689" s="326">
        <f t="shared" si="2392"/>
        <v>3620</v>
      </c>
      <c r="DB689" s="327">
        <f t="shared" si="2392"/>
        <v>3620</v>
      </c>
      <c r="DC689" s="327">
        <f t="shared" si="2392"/>
        <v>3620</v>
      </c>
      <c r="DD689" s="327">
        <f t="shared" si="2392"/>
        <v>3620</v>
      </c>
      <c r="DE689" s="326">
        <f t="shared" si="2393"/>
        <v>3620</v>
      </c>
      <c r="DF689" s="326">
        <f t="shared" si="2393"/>
        <v>3620</v>
      </c>
      <c r="DG689" s="326">
        <f t="shared" si="2393"/>
        <v>3620</v>
      </c>
      <c r="DH689" s="326" t="str">
        <f t="shared" si="2393"/>
        <v/>
      </c>
      <c r="DI689" s="326" t="str">
        <f t="shared" si="2393"/>
        <v/>
      </c>
      <c r="DJ689" s="325" t="str">
        <f t="shared" si="2393"/>
        <v/>
      </c>
      <c r="DK689" s="324" t="str">
        <f t="shared" si="2393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398">IF(B687="","",B687*B688*B689/B$46/365/$G$1)</f>
        <v/>
      </c>
      <c r="C690" s="408" t="str">
        <f t="shared" si="2398"/>
        <v/>
      </c>
      <c r="D690" s="408" t="str">
        <f t="shared" si="2398"/>
        <v/>
      </c>
      <c r="E690" s="408" t="str">
        <f t="shared" si="2398"/>
        <v/>
      </c>
      <c r="F690" s="408" t="str">
        <f t="shared" si="2398"/>
        <v/>
      </c>
      <c r="G690" s="408" t="str">
        <f t="shared" si="2398"/>
        <v/>
      </c>
      <c r="H690" s="408" t="str">
        <f t="shared" si="2398"/>
        <v/>
      </c>
      <c r="I690" s="408" t="str">
        <f t="shared" si="2398"/>
        <v/>
      </c>
      <c r="J690" s="408" t="str">
        <f t="shared" si="2398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399">IF(T687="","",T687*T688*T689/T$46/365/$G$1)</f>
        <v/>
      </c>
      <c r="U690" s="408" t="str">
        <f t="shared" si="2399"/>
        <v/>
      </c>
      <c r="V690" s="408" t="str">
        <f t="shared" si="2399"/>
        <v/>
      </c>
      <c r="W690" s="408" t="str">
        <f t="shared" si="2399"/>
        <v/>
      </c>
      <c r="X690" s="408" t="str">
        <f t="shared" si="2399"/>
        <v/>
      </c>
      <c r="Y690" s="408" t="str">
        <f t="shared" si="2399"/>
        <v/>
      </c>
      <c r="Z690" s="408" t="str">
        <f t="shared" si="2399"/>
        <v/>
      </c>
      <c r="AA690" s="408" t="str">
        <f t="shared" si="2399"/>
        <v/>
      </c>
      <c r="AB690" s="408" t="str">
        <f t="shared" si="2399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400">IF(AL687="","",AL687*AL688*AL689/AL$46/365/$G$1)</f>
        <v/>
      </c>
      <c r="AM690" s="408" t="str">
        <f t="shared" si="2400"/>
        <v/>
      </c>
      <c r="AN690" s="408" t="str">
        <f t="shared" si="2400"/>
        <v/>
      </c>
      <c r="AO690" s="408" t="str">
        <f t="shared" si="2400"/>
        <v/>
      </c>
      <c r="AP690" s="408" t="str">
        <f t="shared" si="2400"/>
        <v/>
      </c>
      <c r="AQ690" s="408" t="str">
        <f t="shared" si="2400"/>
        <v/>
      </c>
      <c r="AR690" s="408" t="str">
        <f t="shared" si="2400"/>
        <v/>
      </c>
      <c r="AS690" s="408" t="str">
        <f t="shared" si="2400"/>
        <v/>
      </c>
      <c r="AT690" s="408" t="str">
        <f t="shared" si="2400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401">IF(BD687="","",BD687*BD688*BD689/BD$46/365/$G$1)</f>
        <v/>
      </c>
      <c r="BE690" s="408" t="str">
        <f t="shared" si="2401"/>
        <v/>
      </c>
      <c r="BF690" s="408" t="str">
        <f t="shared" si="2401"/>
        <v/>
      </c>
      <c r="BG690" s="408" t="str">
        <f t="shared" si="2401"/>
        <v/>
      </c>
      <c r="BH690" s="408" t="str">
        <f t="shared" si="2401"/>
        <v/>
      </c>
      <c r="BI690" s="408" t="str">
        <f t="shared" si="2401"/>
        <v/>
      </c>
      <c r="BJ690" s="408" t="str">
        <f t="shared" si="2401"/>
        <v/>
      </c>
      <c r="BK690" s="408" t="str">
        <f t="shared" si="2401"/>
        <v/>
      </c>
      <c r="BL690" s="408" t="str">
        <f t="shared" si="2401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5" t="str">
        <f t="shared" si="2391"/>
        <v/>
      </c>
      <c r="CF690" s="1116" t="str">
        <f t="shared" si="2391"/>
        <v/>
      </c>
      <c r="CG690" s="1116" t="str">
        <f t="shared" si="2391"/>
        <v/>
      </c>
      <c r="CH690" s="1116" t="str">
        <f t="shared" si="2391"/>
        <v/>
      </c>
      <c r="CI690" s="1116" t="str">
        <f t="shared" si="2391"/>
        <v/>
      </c>
      <c r="CJ690" s="1116" t="str">
        <f t="shared" si="2391"/>
        <v/>
      </c>
      <c r="CK690" s="1117" t="str">
        <f t="shared" si="2391"/>
        <v/>
      </c>
      <c r="CL690" s="1117" t="str">
        <f t="shared" si="2391"/>
        <v/>
      </c>
      <c r="CM690" s="1117" t="str">
        <f t="shared" si="2391"/>
        <v/>
      </c>
      <c r="CN690" s="1116" t="str">
        <f t="shared" si="2391"/>
        <v/>
      </c>
      <c r="CO690" s="1116" t="str">
        <f t="shared" si="2391"/>
        <v/>
      </c>
      <c r="CP690" s="1116" t="str">
        <f t="shared" si="2391"/>
        <v/>
      </c>
      <c r="CQ690" s="1116" t="str">
        <f t="shared" si="2391"/>
        <v/>
      </c>
      <c r="CR690" s="1116" t="str">
        <f t="shared" si="2391"/>
        <v/>
      </c>
      <c r="CS690" s="1115" t="str">
        <f t="shared" si="2391"/>
        <v/>
      </c>
      <c r="CT690" s="1118" t="str">
        <f t="shared" si="2391"/>
        <v/>
      </c>
      <c r="CU690" s="312" t="str">
        <f t="shared" si="2392"/>
        <v/>
      </c>
      <c r="CV690" s="313" t="str">
        <f t="shared" si="2392"/>
        <v/>
      </c>
      <c r="CW690" s="314" t="str">
        <f t="shared" si="2392"/>
        <v/>
      </c>
      <c r="CX690" s="314" t="str">
        <f t="shared" si="2392"/>
        <v/>
      </c>
      <c r="CY690" s="314" t="str">
        <f t="shared" si="2392"/>
        <v/>
      </c>
      <c r="CZ690" s="314" t="str">
        <f t="shared" si="2392"/>
        <v/>
      </c>
      <c r="DA690" s="314" t="str">
        <f t="shared" si="2392"/>
        <v/>
      </c>
      <c r="DB690" s="315" t="str">
        <f t="shared" si="2392"/>
        <v/>
      </c>
      <c r="DC690" s="315" t="str">
        <f t="shared" si="2392"/>
        <v/>
      </c>
      <c r="DD690" s="315" t="str">
        <f t="shared" si="2392"/>
        <v/>
      </c>
      <c r="DE690" s="314" t="str">
        <f t="shared" si="2393"/>
        <v/>
      </c>
      <c r="DF690" s="314" t="str">
        <f t="shared" si="2393"/>
        <v/>
      </c>
      <c r="DG690" s="314" t="str">
        <f t="shared" si="2393"/>
        <v/>
      </c>
      <c r="DH690" s="314" t="str">
        <f t="shared" si="2393"/>
        <v/>
      </c>
      <c r="DI690" s="314" t="str">
        <f t="shared" si="2393"/>
        <v/>
      </c>
      <c r="DJ690" s="313" t="str">
        <f t="shared" si="2393"/>
        <v/>
      </c>
      <c r="DK690" s="312" t="str">
        <f t="shared" si="2393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0"/>
      <c r="CE691" s="1120"/>
      <c r="CF691" s="1120"/>
      <c r="CG691" s="1120"/>
      <c r="CH691" s="1120"/>
      <c r="CI691" s="1120"/>
      <c r="CJ691" s="1120"/>
      <c r="CK691" s="1120"/>
      <c r="CL691" s="1120"/>
      <c r="CM691" s="1120"/>
      <c r="CN691" s="1120"/>
      <c r="CO691" s="1120"/>
      <c r="CP691" s="1120"/>
      <c r="CQ691" s="1120"/>
      <c r="CR691" s="1120"/>
      <c r="CS691" s="1120"/>
      <c r="CT691" s="1121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402">IF(DL692&lt;3,"",(SUM(B692:R692)-MIN(B692:R692)-MAX(B692:R692))/(DL692-2))</f>
        <v/>
      </c>
      <c r="CA692" s="373" t="str">
        <f t="shared" ref="CA692:CA700" si="2403">IF(DM692&lt;3,"",(SUM(T692:AJ692)-MIN(T692:AJ692)-MAX(T692:AJ692))/(DM692-2))</f>
        <v/>
      </c>
      <c r="CB692" s="373" t="str">
        <f t="shared" ref="CB692:CB700" si="2404">IF(DN692&lt;3,"",(SUM(AL692:BB692)-MIN(AL692:BB692)-MAX(AL692:BB692))/(DN692-2))</f>
        <v/>
      </c>
      <c r="CC692" s="462" t="str">
        <f t="shared" ref="CC692:CC700" si="2405">IF(DO692&lt;3,"",(SUM(BD692:BT692)-MIN(BD692:BT692)-MAX(BD692:BT692))/(DO692-2))</f>
        <v/>
      </c>
      <c r="CD692" s="1109" t="str">
        <f t="shared" ref="CD692:CS692" si="240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0" t="str">
        <f t="shared" si="2406"/>
        <v/>
      </c>
      <c r="CF692" s="1111" t="str">
        <f t="shared" si="2406"/>
        <v/>
      </c>
      <c r="CG692" s="1111" t="str">
        <f t="shared" si="2406"/>
        <v/>
      </c>
      <c r="CH692" s="1111" t="str">
        <f t="shared" si="2406"/>
        <v/>
      </c>
      <c r="CI692" s="1111" t="str">
        <f t="shared" si="2406"/>
        <v/>
      </c>
      <c r="CJ692" s="1111" t="str">
        <f t="shared" si="2406"/>
        <v/>
      </c>
      <c r="CK692" s="1112" t="str">
        <f t="shared" si="2406"/>
        <v/>
      </c>
      <c r="CL692" s="1112" t="str">
        <f t="shared" si="2406"/>
        <v/>
      </c>
      <c r="CM692" s="1112" t="str">
        <f t="shared" si="2406"/>
        <v/>
      </c>
      <c r="CN692" s="1111" t="str">
        <f t="shared" si="2406"/>
        <v/>
      </c>
      <c r="CO692" s="1111" t="str">
        <f t="shared" si="2406"/>
        <v/>
      </c>
      <c r="CP692" s="1111" t="str">
        <f t="shared" si="2406"/>
        <v/>
      </c>
      <c r="CQ692" s="1111" t="str">
        <f t="shared" si="2406"/>
        <v/>
      </c>
      <c r="CR692" s="1111" t="str">
        <f t="shared" si="2406"/>
        <v/>
      </c>
      <c r="CS692" s="1110" t="str">
        <f t="shared" si="2406"/>
        <v/>
      </c>
      <c r="CT692" s="1113" t="str">
        <f t="shared" ref="CE692:CT695" si="240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40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408"/>
        <v/>
      </c>
      <c r="CW692" s="326" t="str">
        <f t="shared" si="2408"/>
        <v/>
      </c>
      <c r="CX692" s="326" t="str">
        <f t="shared" si="2408"/>
        <v/>
      </c>
      <c r="CY692" s="326" t="str">
        <f t="shared" si="2408"/>
        <v/>
      </c>
      <c r="CZ692" s="326" t="str">
        <f t="shared" si="2408"/>
        <v/>
      </c>
      <c r="DA692" s="326" t="str">
        <f t="shared" si="2408"/>
        <v/>
      </c>
      <c r="DB692" s="327" t="str">
        <f t="shared" si="2408"/>
        <v/>
      </c>
      <c r="DC692" s="327" t="str">
        <f t="shared" si="2408"/>
        <v/>
      </c>
      <c r="DD692" s="327" t="str">
        <f t="shared" si="2408"/>
        <v/>
      </c>
      <c r="DE692" s="326" t="str">
        <f t="shared" ref="DE692:DK695" si="240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409"/>
        <v/>
      </c>
      <c r="DG692" s="326" t="str">
        <f t="shared" si="2409"/>
        <v/>
      </c>
      <c r="DH692" s="326" t="str">
        <f t="shared" si="2409"/>
        <v/>
      </c>
      <c r="DI692" s="326" t="str">
        <f t="shared" si="2409"/>
        <v/>
      </c>
      <c r="DJ692" s="325" t="str">
        <f t="shared" si="2409"/>
        <v/>
      </c>
      <c r="DK692" s="324" t="str">
        <f t="shared" si="2409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402"/>
        <v/>
      </c>
      <c r="CA693" s="373" t="str">
        <f t="shared" si="2403"/>
        <v/>
      </c>
      <c r="CB693" s="373" t="str">
        <f t="shared" si="2404"/>
        <v/>
      </c>
      <c r="CC693" s="462" t="str">
        <f t="shared" si="2405"/>
        <v/>
      </c>
      <c r="CD693" s="110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407"/>
        <v/>
      </c>
      <c r="CF693" s="1111" t="str">
        <f t="shared" si="2407"/>
        <v/>
      </c>
      <c r="CG693" s="1111" t="str">
        <f t="shared" si="2407"/>
        <v/>
      </c>
      <c r="CH693" s="1111" t="str">
        <f t="shared" si="2407"/>
        <v/>
      </c>
      <c r="CI693" s="1111" t="str">
        <f t="shared" si="2407"/>
        <v/>
      </c>
      <c r="CJ693" s="1111" t="str">
        <f t="shared" si="2407"/>
        <v/>
      </c>
      <c r="CK693" s="1112" t="str">
        <f t="shared" si="2407"/>
        <v/>
      </c>
      <c r="CL693" s="1112" t="str">
        <f t="shared" si="2407"/>
        <v/>
      </c>
      <c r="CM693" s="1112" t="str">
        <f t="shared" si="2407"/>
        <v/>
      </c>
      <c r="CN693" s="1111" t="str">
        <f t="shared" si="2407"/>
        <v/>
      </c>
      <c r="CO693" s="1111" t="str">
        <f t="shared" si="2407"/>
        <v/>
      </c>
      <c r="CP693" s="1111" t="str">
        <f t="shared" si="2407"/>
        <v/>
      </c>
      <c r="CQ693" s="1111" t="str">
        <f t="shared" si="2407"/>
        <v/>
      </c>
      <c r="CR693" s="1111" t="str">
        <f t="shared" si="2407"/>
        <v/>
      </c>
      <c r="CS693" s="1110" t="str">
        <f t="shared" si="2407"/>
        <v/>
      </c>
      <c r="CT693" s="1113" t="str">
        <f t="shared" si="2407"/>
        <v/>
      </c>
      <c r="CU693" s="324" t="str">
        <f t="shared" si="2408"/>
        <v/>
      </c>
      <c r="CV693" s="325" t="str">
        <f t="shared" si="2408"/>
        <v/>
      </c>
      <c r="CW693" s="326" t="str">
        <f t="shared" si="2408"/>
        <v/>
      </c>
      <c r="CX693" s="326" t="str">
        <f t="shared" si="2408"/>
        <v/>
      </c>
      <c r="CY693" s="326" t="str">
        <f t="shared" si="2408"/>
        <v/>
      </c>
      <c r="CZ693" s="326" t="str">
        <f t="shared" si="2408"/>
        <v/>
      </c>
      <c r="DA693" s="326" t="str">
        <f t="shared" si="2408"/>
        <v/>
      </c>
      <c r="DB693" s="327" t="str">
        <f t="shared" si="2408"/>
        <v/>
      </c>
      <c r="DC693" s="327" t="str">
        <f t="shared" si="2408"/>
        <v/>
      </c>
      <c r="DD693" s="327" t="str">
        <f t="shared" si="2408"/>
        <v/>
      </c>
      <c r="DE693" s="326" t="str">
        <f t="shared" si="2409"/>
        <v/>
      </c>
      <c r="DF693" s="326" t="str">
        <f t="shared" si="2409"/>
        <v/>
      </c>
      <c r="DG693" s="326" t="str">
        <f t="shared" si="2409"/>
        <v/>
      </c>
      <c r="DH693" s="326" t="str">
        <f t="shared" si="2409"/>
        <v/>
      </c>
      <c r="DI693" s="326" t="str">
        <f t="shared" si="2409"/>
        <v/>
      </c>
      <c r="DJ693" s="325" t="str">
        <f t="shared" si="2409"/>
        <v/>
      </c>
      <c r="DK693" s="324" t="str">
        <f t="shared" si="2409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410">4000*$K$1</f>
        <v>4000</v>
      </c>
      <c r="C694" s="536">
        <f t="shared" si="2410"/>
        <v>4000</v>
      </c>
      <c r="D694" s="536">
        <f t="shared" si="2410"/>
        <v>4000</v>
      </c>
      <c r="E694" s="536">
        <f t="shared" si="2410"/>
        <v>4000</v>
      </c>
      <c r="F694" s="536">
        <f t="shared" si="2410"/>
        <v>4000</v>
      </c>
      <c r="G694" s="536">
        <f t="shared" si="2410"/>
        <v>4000</v>
      </c>
      <c r="H694" s="536">
        <f t="shared" si="2410"/>
        <v>4000</v>
      </c>
      <c r="I694" s="536">
        <f t="shared" si="2410"/>
        <v>4000</v>
      </c>
      <c r="J694" s="536">
        <f t="shared" si="2410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411">4000*$K$1</f>
        <v>4000</v>
      </c>
      <c r="U694" s="536">
        <f t="shared" si="2411"/>
        <v>4000</v>
      </c>
      <c r="V694" s="536">
        <f t="shared" si="2411"/>
        <v>4000</v>
      </c>
      <c r="W694" s="536">
        <f t="shared" si="2411"/>
        <v>4000</v>
      </c>
      <c r="X694" s="536">
        <f t="shared" si="2411"/>
        <v>4000</v>
      </c>
      <c r="Y694" s="536">
        <f t="shared" si="2411"/>
        <v>4000</v>
      </c>
      <c r="Z694" s="536">
        <f t="shared" si="2411"/>
        <v>4000</v>
      </c>
      <c r="AA694" s="536">
        <f t="shared" si="2411"/>
        <v>4000</v>
      </c>
      <c r="AB694" s="536">
        <f t="shared" si="2411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412">4000*$K$1</f>
        <v>4000</v>
      </c>
      <c r="AM694" s="536">
        <f t="shared" si="2412"/>
        <v>4000</v>
      </c>
      <c r="AN694" s="536">
        <f t="shared" si="2412"/>
        <v>4000</v>
      </c>
      <c r="AO694" s="536">
        <f t="shared" si="2412"/>
        <v>4000</v>
      </c>
      <c r="AP694" s="536">
        <f t="shared" si="2412"/>
        <v>4000</v>
      </c>
      <c r="AQ694" s="536">
        <f t="shared" si="2412"/>
        <v>4000</v>
      </c>
      <c r="AR694" s="536">
        <f t="shared" si="2412"/>
        <v>4000</v>
      </c>
      <c r="AS694" s="536">
        <f t="shared" si="2412"/>
        <v>4000</v>
      </c>
      <c r="AT694" s="536">
        <f t="shared" si="2412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413">4000*$K$1</f>
        <v>4000</v>
      </c>
      <c r="BE694" s="536">
        <f t="shared" si="2413"/>
        <v>4000</v>
      </c>
      <c r="BF694" s="536">
        <f t="shared" si="2413"/>
        <v>4000</v>
      </c>
      <c r="BG694" s="536">
        <f t="shared" si="2413"/>
        <v>4000</v>
      </c>
      <c r="BH694" s="536">
        <f t="shared" si="2413"/>
        <v>4000</v>
      </c>
      <c r="BI694" s="536">
        <f t="shared" si="2413"/>
        <v>4000</v>
      </c>
      <c r="BJ694" s="536">
        <f t="shared" si="2413"/>
        <v>4000</v>
      </c>
      <c r="BK694" s="536">
        <f t="shared" si="2413"/>
        <v>4000</v>
      </c>
      <c r="BL694" s="536">
        <f t="shared" si="2413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402"/>
        <v>4000</v>
      </c>
      <c r="CA694" s="373">
        <f t="shared" si="2403"/>
        <v>4000</v>
      </c>
      <c r="CB694" s="373">
        <f t="shared" si="2404"/>
        <v>4000</v>
      </c>
      <c r="CC694" s="462">
        <f t="shared" si="2405"/>
        <v>4000</v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si="2407"/>
        <v/>
      </c>
      <c r="CF694" s="1111" t="str">
        <f t="shared" si="2407"/>
        <v/>
      </c>
      <c r="CG694" s="1111" t="str">
        <f t="shared" si="2407"/>
        <v/>
      </c>
      <c r="CH694" s="1111">
        <f t="shared" si="2407"/>
        <v>4000</v>
      </c>
      <c r="CI694" s="1111">
        <f t="shared" si="2407"/>
        <v>4000</v>
      </c>
      <c r="CJ694" s="1111">
        <f t="shared" si="2407"/>
        <v>4000</v>
      </c>
      <c r="CK694" s="1112">
        <f t="shared" si="2407"/>
        <v>4000</v>
      </c>
      <c r="CL694" s="1112">
        <f t="shared" si="2407"/>
        <v>4000</v>
      </c>
      <c r="CM694" s="1112">
        <f t="shared" si="2407"/>
        <v>4000</v>
      </c>
      <c r="CN694" s="1111">
        <f t="shared" si="2407"/>
        <v>4000</v>
      </c>
      <c r="CO694" s="1111">
        <f t="shared" si="2407"/>
        <v>4000</v>
      </c>
      <c r="CP694" s="1111">
        <f t="shared" si="2407"/>
        <v>4000</v>
      </c>
      <c r="CQ694" s="1111" t="str">
        <f t="shared" si="2407"/>
        <v/>
      </c>
      <c r="CR694" s="1111" t="str">
        <f t="shared" si="2407"/>
        <v/>
      </c>
      <c r="CS694" s="1110" t="str">
        <f t="shared" si="2407"/>
        <v/>
      </c>
      <c r="CT694" s="1113" t="str">
        <f t="shared" si="2407"/>
        <v/>
      </c>
      <c r="CU694" s="324" t="str">
        <f t="shared" si="2408"/>
        <v/>
      </c>
      <c r="CV694" s="325" t="str">
        <f t="shared" si="2408"/>
        <v/>
      </c>
      <c r="CW694" s="326" t="str">
        <f t="shared" si="2408"/>
        <v/>
      </c>
      <c r="CX694" s="326" t="str">
        <f t="shared" si="2408"/>
        <v/>
      </c>
      <c r="CY694" s="326">
        <f t="shared" si="2408"/>
        <v>4000</v>
      </c>
      <c r="CZ694" s="326">
        <f t="shared" si="2408"/>
        <v>4000</v>
      </c>
      <c r="DA694" s="326">
        <f t="shared" si="2408"/>
        <v>4000</v>
      </c>
      <c r="DB694" s="327">
        <f t="shared" si="2408"/>
        <v>4000</v>
      </c>
      <c r="DC694" s="327">
        <f t="shared" si="2408"/>
        <v>4000</v>
      </c>
      <c r="DD694" s="327">
        <f t="shared" si="2408"/>
        <v>4000</v>
      </c>
      <c r="DE694" s="326">
        <f t="shared" si="2409"/>
        <v>4000</v>
      </c>
      <c r="DF694" s="326">
        <f t="shared" si="2409"/>
        <v>4000</v>
      </c>
      <c r="DG694" s="326">
        <f t="shared" si="2409"/>
        <v>4000</v>
      </c>
      <c r="DH694" s="326" t="str">
        <f t="shared" si="2409"/>
        <v/>
      </c>
      <c r="DI694" s="326" t="str">
        <f t="shared" si="2409"/>
        <v/>
      </c>
      <c r="DJ694" s="325" t="str">
        <f t="shared" si="2409"/>
        <v/>
      </c>
      <c r="DK694" s="324" t="str">
        <f t="shared" si="2409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414">IF(B692="","",B692*B693*B694/B$46/365/$G$1)</f>
        <v/>
      </c>
      <c r="C695" s="408" t="str">
        <f t="shared" si="2414"/>
        <v/>
      </c>
      <c r="D695" s="408" t="str">
        <f t="shared" si="2414"/>
        <v/>
      </c>
      <c r="E695" s="408" t="str">
        <f t="shared" si="2414"/>
        <v/>
      </c>
      <c r="F695" s="408" t="str">
        <f t="shared" si="2414"/>
        <v/>
      </c>
      <c r="G695" s="408" t="str">
        <f t="shared" si="2414"/>
        <v/>
      </c>
      <c r="H695" s="408" t="str">
        <f t="shared" si="2414"/>
        <v/>
      </c>
      <c r="I695" s="408" t="str">
        <f t="shared" si="2414"/>
        <v/>
      </c>
      <c r="J695" s="408" t="str">
        <f t="shared" si="2414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415">IF(T692="","",T692*T693*T694/T$46/365/$G$1)</f>
        <v/>
      </c>
      <c r="U695" s="408" t="str">
        <f t="shared" si="2415"/>
        <v/>
      </c>
      <c r="V695" s="408" t="str">
        <f t="shared" si="2415"/>
        <v/>
      </c>
      <c r="W695" s="408" t="str">
        <f t="shared" si="2415"/>
        <v/>
      </c>
      <c r="X695" s="408" t="str">
        <f t="shared" si="2415"/>
        <v/>
      </c>
      <c r="Y695" s="408" t="str">
        <f t="shared" si="2415"/>
        <v/>
      </c>
      <c r="Z695" s="408" t="str">
        <f t="shared" si="2415"/>
        <v/>
      </c>
      <c r="AA695" s="408" t="str">
        <f t="shared" si="2415"/>
        <v/>
      </c>
      <c r="AB695" s="408" t="str">
        <f t="shared" si="2415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416">IF(AL692="","",AL692*AL693*AL694/AL$46/365/$G$1)</f>
        <v/>
      </c>
      <c r="AM695" s="408" t="str">
        <f t="shared" si="2416"/>
        <v/>
      </c>
      <c r="AN695" s="408" t="str">
        <f t="shared" si="2416"/>
        <v/>
      </c>
      <c r="AO695" s="408" t="str">
        <f t="shared" si="2416"/>
        <v/>
      </c>
      <c r="AP695" s="408" t="str">
        <f t="shared" si="2416"/>
        <v/>
      </c>
      <c r="AQ695" s="408" t="str">
        <f t="shared" si="2416"/>
        <v/>
      </c>
      <c r="AR695" s="408" t="str">
        <f t="shared" si="2416"/>
        <v/>
      </c>
      <c r="AS695" s="408" t="str">
        <f t="shared" si="2416"/>
        <v/>
      </c>
      <c r="AT695" s="408" t="str">
        <f t="shared" si="2416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417">IF(BD692="","",BD692*BD693*BD694/BD$46/365/$G$1)</f>
        <v/>
      </c>
      <c r="BE695" s="408" t="str">
        <f t="shared" si="2417"/>
        <v/>
      </c>
      <c r="BF695" s="408" t="str">
        <f t="shared" si="2417"/>
        <v/>
      </c>
      <c r="BG695" s="408" t="str">
        <f t="shared" si="2417"/>
        <v/>
      </c>
      <c r="BH695" s="408" t="str">
        <f t="shared" si="2417"/>
        <v/>
      </c>
      <c r="BI695" s="408" t="str">
        <f t="shared" si="2417"/>
        <v/>
      </c>
      <c r="BJ695" s="408" t="str">
        <f t="shared" si="2417"/>
        <v/>
      </c>
      <c r="BK695" s="408" t="str">
        <f t="shared" si="2417"/>
        <v/>
      </c>
      <c r="BL695" s="408" t="str">
        <f t="shared" si="2417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402"/>
        <v/>
      </c>
      <c r="CA695" s="398" t="str">
        <f t="shared" si="2403"/>
        <v/>
      </c>
      <c r="CB695" s="398" t="str">
        <f t="shared" si="2404"/>
        <v/>
      </c>
      <c r="CC695" s="465" t="str">
        <f t="shared" si="2405"/>
        <v/>
      </c>
      <c r="CD695" s="111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5" t="str">
        <f t="shared" si="2407"/>
        <v/>
      </c>
      <c r="CF695" s="1116" t="str">
        <f t="shared" si="2407"/>
        <v/>
      </c>
      <c r="CG695" s="1116" t="str">
        <f t="shared" si="2407"/>
        <v/>
      </c>
      <c r="CH695" s="1116" t="str">
        <f t="shared" si="2407"/>
        <v/>
      </c>
      <c r="CI695" s="1116" t="str">
        <f t="shared" si="2407"/>
        <v/>
      </c>
      <c r="CJ695" s="1116" t="str">
        <f t="shared" si="2407"/>
        <v/>
      </c>
      <c r="CK695" s="1117" t="str">
        <f t="shared" si="2407"/>
        <v/>
      </c>
      <c r="CL695" s="1117" t="str">
        <f t="shared" si="2407"/>
        <v/>
      </c>
      <c r="CM695" s="1117" t="str">
        <f t="shared" si="2407"/>
        <v/>
      </c>
      <c r="CN695" s="1116" t="str">
        <f t="shared" si="2407"/>
        <v/>
      </c>
      <c r="CO695" s="1116" t="str">
        <f t="shared" si="2407"/>
        <v/>
      </c>
      <c r="CP695" s="1116" t="str">
        <f t="shared" si="2407"/>
        <v/>
      </c>
      <c r="CQ695" s="1116" t="str">
        <f t="shared" si="2407"/>
        <v/>
      </c>
      <c r="CR695" s="1116" t="str">
        <f t="shared" si="2407"/>
        <v/>
      </c>
      <c r="CS695" s="1115" t="str">
        <f t="shared" si="2407"/>
        <v/>
      </c>
      <c r="CT695" s="1118" t="str">
        <f t="shared" si="2407"/>
        <v/>
      </c>
      <c r="CU695" s="312" t="str">
        <f t="shared" si="2408"/>
        <v/>
      </c>
      <c r="CV695" s="313" t="str">
        <f t="shared" si="2408"/>
        <v/>
      </c>
      <c r="CW695" s="314" t="str">
        <f t="shared" si="2408"/>
        <v/>
      </c>
      <c r="CX695" s="314" t="str">
        <f t="shared" si="2408"/>
        <v/>
      </c>
      <c r="CY695" s="314" t="str">
        <f t="shared" si="2408"/>
        <v/>
      </c>
      <c r="CZ695" s="314" t="str">
        <f t="shared" si="2408"/>
        <v/>
      </c>
      <c r="DA695" s="314" t="str">
        <f t="shared" si="2408"/>
        <v/>
      </c>
      <c r="DB695" s="315" t="str">
        <f t="shared" si="2408"/>
        <v/>
      </c>
      <c r="DC695" s="315" t="str">
        <f t="shared" si="2408"/>
        <v/>
      </c>
      <c r="DD695" s="315" t="str">
        <f t="shared" si="2408"/>
        <v/>
      </c>
      <c r="DE695" s="314" t="str">
        <f t="shared" si="2409"/>
        <v/>
      </c>
      <c r="DF695" s="314" t="str">
        <f t="shared" si="2409"/>
        <v/>
      </c>
      <c r="DG695" s="314" t="str">
        <f t="shared" si="2409"/>
        <v/>
      </c>
      <c r="DH695" s="314" t="str">
        <f t="shared" si="2409"/>
        <v/>
      </c>
      <c r="DI695" s="314" t="str">
        <f t="shared" si="2409"/>
        <v/>
      </c>
      <c r="DJ695" s="313" t="str">
        <f t="shared" si="2409"/>
        <v/>
      </c>
      <c r="DK695" s="312" t="str">
        <f t="shared" si="2409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402"/>
        <v/>
      </c>
      <c r="CA696" s="365" t="str">
        <f t="shared" si="2403"/>
        <v/>
      </c>
      <c r="CB696" s="365" t="str">
        <f t="shared" si="2404"/>
        <v/>
      </c>
      <c r="CC696" s="461" t="str">
        <f t="shared" si="2405"/>
        <v/>
      </c>
      <c r="CD696" s="1120"/>
      <c r="CE696" s="1120"/>
      <c r="CF696" s="1120"/>
      <c r="CG696" s="1120"/>
      <c r="CH696" s="1120"/>
      <c r="CI696" s="1120"/>
      <c r="CJ696" s="1120"/>
      <c r="CK696" s="1120"/>
      <c r="CL696" s="1120"/>
      <c r="CM696" s="1120"/>
      <c r="CN696" s="1120"/>
      <c r="CO696" s="1120"/>
      <c r="CP696" s="1120"/>
      <c r="CQ696" s="1120"/>
      <c r="CR696" s="1120"/>
      <c r="CS696" s="1120"/>
      <c r="CT696" s="1121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402"/>
        <v/>
      </c>
      <c r="CA697" s="373" t="str">
        <f t="shared" si="2403"/>
        <v/>
      </c>
      <c r="CB697" s="373" t="str">
        <f t="shared" si="2404"/>
        <v/>
      </c>
      <c r="CC697" s="462" t="str">
        <f t="shared" si="2405"/>
        <v/>
      </c>
      <c r="CD697" s="1109" t="str">
        <f t="shared" ref="CD697:CS697" si="241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0" t="str">
        <f t="shared" si="2418"/>
        <v/>
      </c>
      <c r="CF697" s="1111" t="str">
        <f t="shared" si="2418"/>
        <v/>
      </c>
      <c r="CG697" s="1111" t="str">
        <f t="shared" si="2418"/>
        <v/>
      </c>
      <c r="CH697" s="1111" t="str">
        <f t="shared" si="2418"/>
        <v/>
      </c>
      <c r="CI697" s="1111" t="str">
        <f t="shared" si="2418"/>
        <v/>
      </c>
      <c r="CJ697" s="1111" t="str">
        <f t="shared" si="2418"/>
        <v/>
      </c>
      <c r="CK697" s="1112" t="str">
        <f t="shared" si="2418"/>
        <v/>
      </c>
      <c r="CL697" s="1112" t="str">
        <f t="shared" si="2418"/>
        <v/>
      </c>
      <c r="CM697" s="1112" t="str">
        <f t="shared" si="2418"/>
        <v/>
      </c>
      <c r="CN697" s="1111" t="str">
        <f t="shared" si="2418"/>
        <v/>
      </c>
      <c r="CO697" s="1111" t="str">
        <f t="shared" si="2418"/>
        <v/>
      </c>
      <c r="CP697" s="1111" t="str">
        <f t="shared" si="2418"/>
        <v/>
      </c>
      <c r="CQ697" s="1111" t="str">
        <f t="shared" si="2418"/>
        <v/>
      </c>
      <c r="CR697" s="1111" t="str">
        <f t="shared" si="2418"/>
        <v/>
      </c>
      <c r="CS697" s="1110" t="str">
        <f t="shared" si="2418"/>
        <v/>
      </c>
      <c r="CT697" s="1113" t="str">
        <f t="shared" ref="CE697:CT700" si="241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42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420"/>
        <v/>
      </c>
      <c r="CW697" s="326" t="str">
        <f t="shared" si="2420"/>
        <v/>
      </c>
      <c r="CX697" s="326" t="str">
        <f t="shared" si="2420"/>
        <v/>
      </c>
      <c r="CY697" s="326" t="str">
        <f t="shared" si="2420"/>
        <v/>
      </c>
      <c r="CZ697" s="326" t="str">
        <f t="shared" si="2420"/>
        <v/>
      </c>
      <c r="DA697" s="326" t="str">
        <f t="shared" si="2420"/>
        <v/>
      </c>
      <c r="DB697" s="327" t="str">
        <f t="shared" si="2420"/>
        <v/>
      </c>
      <c r="DC697" s="327" t="str">
        <f t="shared" si="2420"/>
        <v/>
      </c>
      <c r="DD697" s="327" t="str">
        <f t="shared" si="2420"/>
        <v/>
      </c>
      <c r="DE697" s="326" t="str">
        <f t="shared" ref="DE697:DK700" si="242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421"/>
        <v/>
      </c>
      <c r="DG697" s="326" t="str">
        <f t="shared" si="2421"/>
        <v/>
      </c>
      <c r="DH697" s="326" t="str">
        <f t="shared" si="2421"/>
        <v/>
      </c>
      <c r="DI697" s="326" t="str">
        <f t="shared" si="2421"/>
        <v/>
      </c>
      <c r="DJ697" s="325" t="str">
        <f t="shared" si="2421"/>
        <v/>
      </c>
      <c r="DK697" s="324" t="str">
        <f t="shared" si="2421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402"/>
        <v/>
      </c>
      <c r="CA698" s="373" t="str">
        <f t="shared" si="2403"/>
        <v/>
      </c>
      <c r="CB698" s="373" t="str">
        <f t="shared" si="2404"/>
        <v/>
      </c>
      <c r="CC698" s="462" t="str">
        <f t="shared" si="2405"/>
        <v/>
      </c>
      <c r="CD698" s="110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419"/>
        <v/>
      </c>
      <c r="CF698" s="1111" t="str">
        <f t="shared" si="2419"/>
        <v/>
      </c>
      <c r="CG698" s="1111" t="str">
        <f t="shared" si="2419"/>
        <v/>
      </c>
      <c r="CH698" s="1111" t="str">
        <f t="shared" si="2419"/>
        <v/>
      </c>
      <c r="CI698" s="1111" t="str">
        <f t="shared" si="2419"/>
        <v/>
      </c>
      <c r="CJ698" s="1111" t="str">
        <f t="shared" si="2419"/>
        <v/>
      </c>
      <c r="CK698" s="1112" t="str">
        <f t="shared" si="2419"/>
        <v/>
      </c>
      <c r="CL698" s="1112" t="str">
        <f t="shared" si="2419"/>
        <v/>
      </c>
      <c r="CM698" s="1112" t="str">
        <f t="shared" si="2419"/>
        <v/>
      </c>
      <c r="CN698" s="1111" t="str">
        <f t="shared" si="2419"/>
        <v/>
      </c>
      <c r="CO698" s="1111" t="str">
        <f t="shared" si="2419"/>
        <v/>
      </c>
      <c r="CP698" s="1111" t="str">
        <f t="shared" si="2419"/>
        <v/>
      </c>
      <c r="CQ698" s="1111" t="str">
        <f t="shared" si="2419"/>
        <v/>
      </c>
      <c r="CR698" s="1111" t="str">
        <f t="shared" si="2419"/>
        <v/>
      </c>
      <c r="CS698" s="1110" t="str">
        <f t="shared" si="2419"/>
        <v/>
      </c>
      <c r="CT698" s="1113" t="str">
        <f t="shared" si="2419"/>
        <v/>
      </c>
      <c r="CU698" s="324" t="str">
        <f t="shared" si="2420"/>
        <v/>
      </c>
      <c r="CV698" s="325" t="str">
        <f t="shared" si="2420"/>
        <v/>
      </c>
      <c r="CW698" s="326" t="str">
        <f t="shared" si="2420"/>
        <v/>
      </c>
      <c r="CX698" s="326" t="str">
        <f t="shared" si="2420"/>
        <v/>
      </c>
      <c r="CY698" s="326" t="str">
        <f t="shared" si="2420"/>
        <v/>
      </c>
      <c r="CZ698" s="326" t="str">
        <f t="shared" si="2420"/>
        <v/>
      </c>
      <c r="DA698" s="326" t="str">
        <f t="shared" si="2420"/>
        <v/>
      </c>
      <c r="DB698" s="327" t="str">
        <f t="shared" si="2420"/>
        <v/>
      </c>
      <c r="DC698" s="327" t="str">
        <f t="shared" si="2420"/>
        <v/>
      </c>
      <c r="DD698" s="327" t="str">
        <f t="shared" si="2420"/>
        <v/>
      </c>
      <c r="DE698" s="326" t="str">
        <f t="shared" si="2421"/>
        <v/>
      </c>
      <c r="DF698" s="326" t="str">
        <f t="shared" si="2421"/>
        <v/>
      </c>
      <c r="DG698" s="326" t="str">
        <f t="shared" si="2421"/>
        <v/>
      </c>
      <c r="DH698" s="326" t="str">
        <f t="shared" si="2421"/>
        <v/>
      </c>
      <c r="DI698" s="326" t="str">
        <f t="shared" si="2421"/>
        <v/>
      </c>
      <c r="DJ698" s="325" t="str">
        <f t="shared" si="2421"/>
        <v/>
      </c>
      <c r="DK698" s="324" t="str">
        <f t="shared" si="2421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402"/>
        <v/>
      </c>
      <c r="CA699" s="373" t="str">
        <f t="shared" si="2403"/>
        <v/>
      </c>
      <c r="CB699" s="373" t="str">
        <f t="shared" si="2404"/>
        <v/>
      </c>
      <c r="CC699" s="462" t="str">
        <f t="shared" si="2405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si="2419"/>
        <v/>
      </c>
      <c r="CF699" s="1111" t="str">
        <f t="shared" si="2419"/>
        <v/>
      </c>
      <c r="CG699" s="1111" t="str">
        <f t="shared" si="2419"/>
        <v/>
      </c>
      <c r="CH699" s="1111" t="str">
        <f t="shared" si="2419"/>
        <v/>
      </c>
      <c r="CI699" s="1111" t="str">
        <f t="shared" si="2419"/>
        <v/>
      </c>
      <c r="CJ699" s="1111" t="str">
        <f t="shared" si="2419"/>
        <v/>
      </c>
      <c r="CK699" s="1112" t="str">
        <f t="shared" si="2419"/>
        <v/>
      </c>
      <c r="CL699" s="1112" t="str">
        <f t="shared" si="2419"/>
        <v/>
      </c>
      <c r="CM699" s="1112" t="str">
        <f t="shared" si="2419"/>
        <v/>
      </c>
      <c r="CN699" s="1111" t="str">
        <f t="shared" si="2419"/>
        <v/>
      </c>
      <c r="CO699" s="1111" t="str">
        <f t="shared" si="2419"/>
        <v/>
      </c>
      <c r="CP699" s="1111" t="str">
        <f t="shared" si="2419"/>
        <v/>
      </c>
      <c r="CQ699" s="1111" t="str">
        <f t="shared" si="2419"/>
        <v/>
      </c>
      <c r="CR699" s="1111" t="str">
        <f t="shared" si="2419"/>
        <v/>
      </c>
      <c r="CS699" s="1110" t="str">
        <f t="shared" si="2419"/>
        <v/>
      </c>
      <c r="CT699" s="1113" t="str">
        <f t="shared" si="2419"/>
        <v/>
      </c>
      <c r="CU699" s="324" t="str">
        <f t="shared" si="2420"/>
        <v/>
      </c>
      <c r="CV699" s="325" t="str">
        <f t="shared" si="2420"/>
        <v/>
      </c>
      <c r="CW699" s="326" t="str">
        <f t="shared" si="2420"/>
        <v/>
      </c>
      <c r="CX699" s="326" t="str">
        <f t="shared" si="2420"/>
        <v/>
      </c>
      <c r="CY699" s="326" t="str">
        <f t="shared" si="2420"/>
        <v/>
      </c>
      <c r="CZ699" s="326" t="str">
        <f t="shared" si="2420"/>
        <v/>
      </c>
      <c r="DA699" s="326" t="str">
        <f t="shared" si="2420"/>
        <v/>
      </c>
      <c r="DB699" s="327" t="str">
        <f t="shared" si="2420"/>
        <v/>
      </c>
      <c r="DC699" s="327" t="str">
        <f t="shared" si="2420"/>
        <v/>
      </c>
      <c r="DD699" s="327" t="str">
        <f t="shared" si="2420"/>
        <v/>
      </c>
      <c r="DE699" s="326" t="str">
        <f t="shared" si="2421"/>
        <v/>
      </c>
      <c r="DF699" s="326" t="str">
        <f t="shared" si="2421"/>
        <v/>
      </c>
      <c r="DG699" s="326" t="str">
        <f t="shared" si="2421"/>
        <v/>
      </c>
      <c r="DH699" s="326" t="str">
        <f t="shared" si="2421"/>
        <v/>
      </c>
      <c r="DI699" s="326" t="str">
        <f t="shared" si="2421"/>
        <v/>
      </c>
      <c r="DJ699" s="325" t="str">
        <f t="shared" si="2421"/>
        <v/>
      </c>
      <c r="DK699" s="324" t="str">
        <f t="shared" si="2421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422">IF(B697="","",B697*B698*B699/B$46/365/$G$1)</f>
        <v/>
      </c>
      <c r="C700" s="408" t="str">
        <f t="shared" si="2422"/>
        <v/>
      </c>
      <c r="D700" s="408" t="str">
        <f t="shared" si="2422"/>
        <v/>
      </c>
      <c r="E700" s="408" t="str">
        <f t="shared" si="2422"/>
        <v/>
      </c>
      <c r="F700" s="408" t="str">
        <f t="shared" si="2422"/>
        <v/>
      </c>
      <c r="G700" s="408" t="str">
        <f t="shared" si="2422"/>
        <v/>
      </c>
      <c r="H700" s="408" t="str">
        <f t="shared" si="2422"/>
        <v/>
      </c>
      <c r="I700" s="408" t="str">
        <f t="shared" si="2422"/>
        <v/>
      </c>
      <c r="J700" s="408" t="str">
        <f t="shared" si="2422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423">IF(T697="","",T697*T698*T699/T$46/365/$G$1)</f>
        <v/>
      </c>
      <c r="U700" s="408" t="str">
        <f t="shared" si="2423"/>
        <v/>
      </c>
      <c r="V700" s="408" t="str">
        <f t="shared" si="2423"/>
        <v/>
      </c>
      <c r="W700" s="408" t="str">
        <f t="shared" si="2423"/>
        <v/>
      </c>
      <c r="X700" s="408" t="str">
        <f t="shared" si="2423"/>
        <v/>
      </c>
      <c r="Y700" s="408" t="str">
        <f t="shared" si="2423"/>
        <v/>
      </c>
      <c r="Z700" s="408" t="str">
        <f t="shared" si="2423"/>
        <v/>
      </c>
      <c r="AA700" s="408" t="str">
        <f t="shared" si="2423"/>
        <v/>
      </c>
      <c r="AB700" s="408" t="str">
        <f t="shared" si="2423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424">IF(AL697="","",AL697*AL698*AL699/AL$46/365/$G$1)</f>
        <v/>
      </c>
      <c r="AM700" s="408" t="str">
        <f t="shared" si="2424"/>
        <v/>
      </c>
      <c r="AN700" s="408" t="str">
        <f t="shared" si="2424"/>
        <v/>
      </c>
      <c r="AO700" s="408" t="str">
        <f t="shared" si="2424"/>
        <v/>
      </c>
      <c r="AP700" s="408" t="str">
        <f t="shared" si="2424"/>
        <v/>
      </c>
      <c r="AQ700" s="408" t="str">
        <f t="shared" si="2424"/>
        <v/>
      </c>
      <c r="AR700" s="408" t="str">
        <f t="shared" si="2424"/>
        <v/>
      </c>
      <c r="AS700" s="408" t="str">
        <f t="shared" si="2424"/>
        <v/>
      </c>
      <c r="AT700" s="408" t="str">
        <f t="shared" si="2424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425">IF(BD697="","",BD697*BD698*BD699/BD$46/365/$G$1)</f>
        <v/>
      </c>
      <c r="BE700" s="408" t="str">
        <f t="shared" si="2425"/>
        <v/>
      </c>
      <c r="BF700" s="408" t="str">
        <f t="shared" si="2425"/>
        <v/>
      </c>
      <c r="BG700" s="408" t="str">
        <f t="shared" si="2425"/>
        <v/>
      </c>
      <c r="BH700" s="408" t="str">
        <f t="shared" si="2425"/>
        <v/>
      </c>
      <c r="BI700" s="408" t="str">
        <f t="shared" si="2425"/>
        <v/>
      </c>
      <c r="BJ700" s="408" t="str">
        <f t="shared" si="2425"/>
        <v/>
      </c>
      <c r="BK700" s="408" t="str">
        <f t="shared" si="2425"/>
        <v/>
      </c>
      <c r="BL700" s="408" t="str">
        <f t="shared" si="2425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402"/>
        <v/>
      </c>
      <c r="CA700" s="398" t="str">
        <f t="shared" si="2403"/>
        <v/>
      </c>
      <c r="CB700" s="398" t="str">
        <f t="shared" si="2404"/>
        <v/>
      </c>
      <c r="CC700" s="465" t="str">
        <f t="shared" si="2405"/>
        <v/>
      </c>
      <c r="CD700" s="111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5" t="str">
        <f t="shared" si="2419"/>
        <v/>
      </c>
      <c r="CF700" s="1116" t="str">
        <f t="shared" si="2419"/>
        <v/>
      </c>
      <c r="CG700" s="1116" t="str">
        <f t="shared" si="2419"/>
        <v/>
      </c>
      <c r="CH700" s="1116" t="str">
        <f t="shared" si="2419"/>
        <v/>
      </c>
      <c r="CI700" s="1116" t="str">
        <f t="shared" si="2419"/>
        <v/>
      </c>
      <c r="CJ700" s="1116" t="str">
        <f t="shared" si="2419"/>
        <v/>
      </c>
      <c r="CK700" s="1117" t="str">
        <f t="shared" si="2419"/>
        <v/>
      </c>
      <c r="CL700" s="1117" t="str">
        <f t="shared" si="2419"/>
        <v/>
      </c>
      <c r="CM700" s="1117" t="str">
        <f t="shared" si="2419"/>
        <v/>
      </c>
      <c r="CN700" s="1116" t="str">
        <f t="shared" si="2419"/>
        <v/>
      </c>
      <c r="CO700" s="1116" t="str">
        <f t="shared" si="2419"/>
        <v/>
      </c>
      <c r="CP700" s="1116" t="str">
        <f t="shared" si="2419"/>
        <v/>
      </c>
      <c r="CQ700" s="1116" t="str">
        <f t="shared" si="2419"/>
        <v/>
      </c>
      <c r="CR700" s="1116" t="str">
        <f t="shared" si="2419"/>
        <v/>
      </c>
      <c r="CS700" s="1115" t="str">
        <f t="shared" si="2419"/>
        <v/>
      </c>
      <c r="CT700" s="1118" t="str">
        <f t="shared" si="2419"/>
        <v/>
      </c>
      <c r="CU700" s="312" t="str">
        <f t="shared" si="2420"/>
        <v/>
      </c>
      <c r="CV700" s="313" t="str">
        <f t="shared" si="2420"/>
        <v/>
      </c>
      <c r="CW700" s="314" t="str">
        <f t="shared" si="2420"/>
        <v/>
      </c>
      <c r="CX700" s="314" t="str">
        <f t="shared" si="2420"/>
        <v/>
      </c>
      <c r="CY700" s="314" t="str">
        <f t="shared" si="2420"/>
        <v/>
      </c>
      <c r="CZ700" s="314" t="str">
        <f t="shared" si="2420"/>
        <v/>
      </c>
      <c r="DA700" s="314" t="str">
        <f t="shared" si="2420"/>
        <v/>
      </c>
      <c r="DB700" s="315" t="str">
        <f t="shared" si="2420"/>
        <v/>
      </c>
      <c r="DC700" s="315" t="str">
        <f t="shared" si="2420"/>
        <v/>
      </c>
      <c r="DD700" s="315" t="str">
        <f t="shared" si="2420"/>
        <v/>
      </c>
      <c r="DE700" s="314" t="str">
        <f t="shared" si="2421"/>
        <v/>
      </c>
      <c r="DF700" s="314" t="str">
        <f t="shared" si="2421"/>
        <v/>
      </c>
      <c r="DG700" s="314" t="str">
        <f t="shared" si="2421"/>
        <v/>
      </c>
      <c r="DH700" s="314" t="str">
        <f t="shared" si="2421"/>
        <v/>
      </c>
      <c r="DI700" s="314" t="str">
        <f t="shared" si="2421"/>
        <v/>
      </c>
      <c r="DJ700" s="313" t="str">
        <f t="shared" si="2421"/>
        <v/>
      </c>
      <c r="DK700" s="312" t="str">
        <f t="shared" si="2421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4"/>
      <c r="CE701" s="1134"/>
      <c r="CF701" s="1134"/>
      <c r="CG701" s="1134"/>
      <c r="CH701" s="1134"/>
      <c r="CI701" s="1134"/>
      <c r="CJ701" s="1134"/>
      <c r="CK701" s="1134"/>
      <c r="CL701" s="1134"/>
      <c r="CM701" s="1134"/>
      <c r="CN701" s="1134"/>
      <c r="CO701" s="1134"/>
      <c r="CP701" s="1134"/>
      <c r="CQ701" s="1134"/>
      <c r="CR701" s="1134"/>
      <c r="CS701" s="1134"/>
      <c r="CT701" s="1135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0"/>
      <c r="CE702" s="1120"/>
      <c r="CF702" s="1120"/>
      <c r="CG702" s="1120"/>
      <c r="CH702" s="1120"/>
      <c r="CI702" s="1120"/>
      <c r="CJ702" s="1120"/>
      <c r="CK702" s="1120"/>
      <c r="CL702" s="1120"/>
      <c r="CM702" s="1120"/>
      <c r="CN702" s="1120"/>
      <c r="CO702" s="1120"/>
      <c r="CP702" s="1120"/>
      <c r="CQ702" s="1120"/>
      <c r="CR702" s="1120"/>
      <c r="CS702" s="1120"/>
      <c r="CT702" s="1121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426">IF(DL703&lt;3,"",(SUM(B703:R703)-MIN(B703:R703)-MAX(B703:R703))/(DL703-2))</f>
        <v/>
      </c>
      <c r="CA703" s="373" t="str">
        <f t="shared" ref="CA703:CA731" si="2427">IF(DM703&lt;3,"",(SUM(T703:AJ703)-MIN(T703:AJ703)-MAX(T703:AJ703))/(DM703-2))</f>
        <v/>
      </c>
      <c r="CB703" s="373" t="str">
        <f t="shared" ref="CB703:CB731" si="2428">IF(DN703&lt;3,"",(SUM(AL703:BB703)-MIN(AL703:BB703)-MAX(AL703:BB703))/(DN703-2))</f>
        <v/>
      </c>
      <c r="CC703" s="462" t="str">
        <f t="shared" ref="CC703:CC731" si="2429">IF(DO703&lt;3,"",(SUM(BD703:BT703)-MIN(BD703:BT703)-MAX(BD703:BT703))/(DO703-2))</f>
        <v/>
      </c>
      <c r="CD703" s="1109" t="str">
        <f t="shared" ref="CD703:CM706" si="243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0" t="str">
        <f t="shared" si="2430"/>
        <v/>
      </c>
      <c r="CF703" s="1111" t="str">
        <f t="shared" si="2430"/>
        <v/>
      </c>
      <c r="CG703" s="1111" t="str">
        <f t="shared" si="2430"/>
        <v/>
      </c>
      <c r="CH703" s="1111" t="str">
        <f t="shared" si="2430"/>
        <v/>
      </c>
      <c r="CI703" s="1111" t="str">
        <f t="shared" si="2430"/>
        <v/>
      </c>
      <c r="CJ703" s="1111" t="str">
        <f t="shared" si="2430"/>
        <v/>
      </c>
      <c r="CK703" s="1112" t="str">
        <f t="shared" si="2430"/>
        <v/>
      </c>
      <c r="CL703" s="1112" t="str">
        <f t="shared" si="2430"/>
        <v/>
      </c>
      <c r="CM703" s="1112" t="str">
        <f t="shared" si="2430"/>
        <v/>
      </c>
      <c r="CN703" s="1111" t="str">
        <f t="shared" ref="CN703:CT706" si="243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1" t="str">
        <f t="shared" si="2431"/>
        <v/>
      </c>
      <c r="CP703" s="1111" t="str">
        <f t="shared" si="2431"/>
        <v/>
      </c>
      <c r="CQ703" s="1111" t="str">
        <f t="shared" si="2431"/>
        <v/>
      </c>
      <c r="CR703" s="1111" t="str">
        <f t="shared" si="2431"/>
        <v/>
      </c>
      <c r="CS703" s="1110" t="str">
        <f t="shared" si="2431"/>
        <v/>
      </c>
      <c r="CT703" s="1113" t="str">
        <f t="shared" si="2431"/>
        <v/>
      </c>
      <c r="CU703" s="324" t="str">
        <f t="shared" ref="CU703:DD707" si="243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432"/>
        <v/>
      </c>
      <c r="CW703" s="326" t="str">
        <f t="shared" si="2432"/>
        <v/>
      </c>
      <c r="CX703" s="326" t="str">
        <f t="shared" si="2432"/>
        <v/>
      </c>
      <c r="CY703" s="326" t="str">
        <f t="shared" si="2432"/>
        <v/>
      </c>
      <c r="CZ703" s="326" t="str">
        <f t="shared" si="2432"/>
        <v/>
      </c>
      <c r="DA703" s="326" t="str">
        <f t="shared" si="2432"/>
        <v/>
      </c>
      <c r="DB703" s="327" t="str">
        <f t="shared" si="2432"/>
        <v/>
      </c>
      <c r="DC703" s="327" t="str">
        <f t="shared" si="2432"/>
        <v/>
      </c>
      <c r="DD703" s="327" t="str">
        <f t="shared" si="2432"/>
        <v/>
      </c>
      <c r="DE703" s="326" t="str">
        <f t="shared" ref="DE703:DK707" si="243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433"/>
        <v/>
      </c>
      <c r="DG703" s="326" t="str">
        <f t="shared" si="2433"/>
        <v/>
      </c>
      <c r="DH703" s="326" t="str">
        <f t="shared" si="2433"/>
        <v/>
      </c>
      <c r="DI703" s="326" t="str">
        <f t="shared" si="2433"/>
        <v/>
      </c>
      <c r="DJ703" s="325" t="str">
        <f t="shared" si="2433"/>
        <v/>
      </c>
      <c r="DK703" s="324" t="str">
        <f t="shared" si="2433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426"/>
        <v/>
      </c>
      <c r="CA704" s="373" t="str">
        <f t="shared" si="2427"/>
        <v/>
      </c>
      <c r="CB704" s="373" t="str">
        <f t="shared" si="2428"/>
        <v/>
      </c>
      <c r="CC704" s="462" t="str">
        <f t="shared" si="2429"/>
        <v/>
      </c>
      <c r="CD704" s="1109" t="str">
        <f t="shared" si="2430"/>
        <v/>
      </c>
      <c r="CE704" s="1110" t="str">
        <f t="shared" si="2430"/>
        <v/>
      </c>
      <c r="CF704" s="1111" t="str">
        <f t="shared" si="2430"/>
        <v/>
      </c>
      <c r="CG704" s="1111" t="str">
        <f t="shared" si="2430"/>
        <v/>
      </c>
      <c r="CH704" s="1111" t="str">
        <f t="shared" si="2430"/>
        <v/>
      </c>
      <c r="CI704" s="1111" t="str">
        <f t="shared" si="2430"/>
        <v/>
      </c>
      <c r="CJ704" s="1111" t="str">
        <f t="shared" si="2430"/>
        <v/>
      </c>
      <c r="CK704" s="1112" t="str">
        <f t="shared" si="2430"/>
        <v/>
      </c>
      <c r="CL704" s="1112" t="str">
        <f t="shared" si="2430"/>
        <v/>
      </c>
      <c r="CM704" s="1112" t="str">
        <f t="shared" si="2430"/>
        <v/>
      </c>
      <c r="CN704" s="1111" t="str">
        <f t="shared" si="2431"/>
        <v/>
      </c>
      <c r="CO704" s="1111" t="str">
        <f t="shared" si="2431"/>
        <v/>
      </c>
      <c r="CP704" s="1111" t="str">
        <f t="shared" si="2431"/>
        <v/>
      </c>
      <c r="CQ704" s="1111" t="str">
        <f t="shared" si="2431"/>
        <v/>
      </c>
      <c r="CR704" s="1111" t="str">
        <f t="shared" si="2431"/>
        <v/>
      </c>
      <c r="CS704" s="1110" t="str">
        <f t="shared" si="2431"/>
        <v/>
      </c>
      <c r="CT704" s="1113" t="str">
        <f t="shared" si="2431"/>
        <v/>
      </c>
      <c r="CU704" s="324" t="str">
        <f t="shared" si="2432"/>
        <v/>
      </c>
      <c r="CV704" s="325" t="str">
        <f t="shared" si="2432"/>
        <v/>
      </c>
      <c r="CW704" s="326" t="str">
        <f t="shared" si="2432"/>
        <v/>
      </c>
      <c r="CX704" s="326" t="str">
        <f t="shared" si="2432"/>
        <v/>
      </c>
      <c r="CY704" s="326" t="str">
        <f t="shared" si="2432"/>
        <v/>
      </c>
      <c r="CZ704" s="326" t="str">
        <f t="shared" si="2432"/>
        <v/>
      </c>
      <c r="DA704" s="326" t="str">
        <f t="shared" si="2432"/>
        <v/>
      </c>
      <c r="DB704" s="327" t="str">
        <f t="shared" si="2432"/>
        <v/>
      </c>
      <c r="DC704" s="327" t="str">
        <f t="shared" si="2432"/>
        <v/>
      </c>
      <c r="DD704" s="327" t="str">
        <f t="shared" si="2432"/>
        <v/>
      </c>
      <c r="DE704" s="326" t="str">
        <f t="shared" si="2433"/>
        <v/>
      </c>
      <c r="DF704" s="326" t="str">
        <f t="shared" si="2433"/>
        <v/>
      </c>
      <c r="DG704" s="326" t="str">
        <f t="shared" si="2433"/>
        <v/>
      </c>
      <c r="DH704" s="326" t="str">
        <f t="shared" si="2433"/>
        <v/>
      </c>
      <c r="DI704" s="326" t="str">
        <f t="shared" si="2433"/>
        <v/>
      </c>
      <c r="DJ704" s="325" t="str">
        <f t="shared" si="2433"/>
        <v/>
      </c>
      <c r="DK704" s="324" t="str">
        <f t="shared" si="2433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426"/>
        <v/>
      </c>
      <c r="CA705" s="373" t="str">
        <f t="shared" si="2427"/>
        <v/>
      </c>
      <c r="CB705" s="373" t="str">
        <f t="shared" si="2428"/>
        <v/>
      </c>
      <c r="CC705" s="462" t="str">
        <f t="shared" si="2429"/>
        <v/>
      </c>
      <c r="CD705" s="1109" t="str">
        <f t="shared" si="2430"/>
        <v/>
      </c>
      <c r="CE705" s="1110" t="str">
        <f t="shared" si="2430"/>
        <v/>
      </c>
      <c r="CF705" s="1111" t="str">
        <f t="shared" si="2430"/>
        <v/>
      </c>
      <c r="CG705" s="1111" t="str">
        <f t="shared" si="2430"/>
        <v/>
      </c>
      <c r="CH705" s="1111" t="str">
        <f t="shared" si="2430"/>
        <v/>
      </c>
      <c r="CI705" s="1111" t="str">
        <f t="shared" si="2430"/>
        <v/>
      </c>
      <c r="CJ705" s="1111" t="str">
        <f t="shared" si="2430"/>
        <v/>
      </c>
      <c r="CK705" s="1112" t="str">
        <f t="shared" si="2430"/>
        <v/>
      </c>
      <c r="CL705" s="1112" t="str">
        <f t="shared" si="2430"/>
        <v/>
      </c>
      <c r="CM705" s="1112" t="str">
        <f t="shared" si="2430"/>
        <v/>
      </c>
      <c r="CN705" s="1111" t="str">
        <f t="shared" si="2431"/>
        <v/>
      </c>
      <c r="CO705" s="1111" t="str">
        <f t="shared" si="2431"/>
        <v/>
      </c>
      <c r="CP705" s="1111" t="str">
        <f t="shared" si="2431"/>
        <v/>
      </c>
      <c r="CQ705" s="1111" t="str">
        <f t="shared" si="2431"/>
        <v/>
      </c>
      <c r="CR705" s="1111" t="str">
        <f t="shared" si="2431"/>
        <v/>
      </c>
      <c r="CS705" s="1110" t="str">
        <f t="shared" si="2431"/>
        <v/>
      </c>
      <c r="CT705" s="1113" t="str">
        <f t="shared" si="2431"/>
        <v/>
      </c>
      <c r="CU705" s="324" t="str">
        <f t="shared" si="2432"/>
        <v/>
      </c>
      <c r="CV705" s="325" t="str">
        <f t="shared" si="2432"/>
        <v/>
      </c>
      <c r="CW705" s="326" t="str">
        <f t="shared" si="2432"/>
        <v/>
      </c>
      <c r="CX705" s="326" t="str">
        <f t="shared" si="2432"/>
        <v/>
      </c>
      <c r="CY705" s="326" t="str">
        <f t="shared" si="2432"/>
        <v/>
      </c>
      <c r="CZ705" s="326" t="str">
        <f t="shared" si="2432"/>
        <v/>
      </c>
      <c r="DA705" s="326" t="str">
        <f t="shared" si="2432"/>
        <v/>
      </c>
      <c r="DB705" s="327" t="str">
        <f t="shared" si="2432"/>
        <v/>
      </c>
      <c r="DC705" s="327" t="str">
        <f t="shared" si="2432"/>
        <v/>
      </c>
      <c r="DD705" s="327" t="str">
        <f t="shared" si="2432"/>
        <v/>
      </c>
      <c r="DE705" s="326" t="str">
        <f t="shared" si="2433"/>
        <v/>
      </c>
      <c r="DF705" s="326" t="str">
        <f t="shared" si="2433"/>
        <v/>
      </c>
      <c r="DG705" s="326" t="str">
        <f t="shared" si="2433"/>
        <v/>
      </c>
      <c r="DH705" s="326" t="str">
        <f t="shared" si="2433"/>
        <v/>
      </c>
      <c r="DI705" s="326" t="str">
        <f t="shared" si="2433"/>
        <v/>
      </c>
      <c r="DJ705" s="325" t="str">
        <f t="shared" si="2433"/>
        <v/>
      </c>
      <c r="DK705" s="324" t="str">
        <f t="shared" si="2433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426"/>
        <v/>
      </c>
      <c r="CA706" s="373" t="str">
        <f t="shared" si="2427"/>
        <v/>
      </c>
      <c r="CB706" s="373" t="str">
        <f t="shared" si="2428"/>
        <v/>
      </c>
      <c r="CC706" s="462" t="str">
        <f t="shared" si="2429"/>
        <v/>
      </c>
      <c r="CD706" s="1109" t="str">
        <f t="shared" si="2430"/>
        <v/>
      </c>
      <c r="CE706" s="1110" t="str">
        <f t="shared" si="2430"/>
        <v/>
      </c>
      <c r="CF706" s="1111" t="str">
        <f t="shared" si="2430"/>
        <v/>
      </c>
      <c r="CG706" s="1111" t="str">
        <f t="shared" si="2430"/>
        <v/>
      </c>
      <c r="CH706" s="1111" t="str">
        <f t="shared" si="2430"/>
        <v/>
      </c>
      <c r="CI706" s="1111" t="str">
        <f t="shared" si="2430"/>
        <v/>
      </c>
      <c r="CJ706" s="1111" t="str">
        <f t="shared" si="2430"/>
        <v/>
      </c>
      <c r="CK706" s="1112" t="str">
        <f t="shared" si="2430"/>
        <v/>
      </c>
      <c r="CL706" s="1112" t="str">
        <f t="shared" si="2430"/>
        <v/>
      </c>
      <c r="CM706" s="1112" t="str">
        <f t="shared" si="2430"/>
        <v/>
      </c>
      <c r="CN706" s="1111" t="str">
        <f t="shared" si="2431"/>
        <v/>
      </c>
      <c r="CO706" s="1111" t="str">
        <f t="shared" si="2431"/>
        <v/>
      </c>
      <c r="CP706" s="1111" t="str">
        <f t="shared" si="2431"/>
        <v/>
      </c>
      <c r="CQ706" s="1111" t="str">
        <f t="shared" si="2431"/>
        <v/>
      </c>
      <c r="CR706" s="1111" t="str">
        <f t="shared" si="2431"/>
        <v/>
      </c>
      <c r="CS706" s="1110" t="str">
        <f t="shared" si="2431"/>
        <v/>
      </c>
      <c r="CT706" s="1113" t="str">
        <f t="shared" si="2431"/>
        <v/>
      </c>
      <c r="CU706" s="324" t="str">
        <f t="shared" si="2432"/>
        <v/>
      </c>
      <c r="CV706" s="325" t="str">
        <f t="shared" si="2432"/>
        <v/>
      </c>
      <c r="CW706" s="326" t="str">
        <f t="shared" si="2432"/>
        <v/>
      </c>
      <c r="CX706" s="326" t="str">
        <f t="shared" si="2432"/>
        <v/>
      </c>
      <c r="CY706" s="326" t="str">
        <f t="shared" si="2432"/>
        <v/>
      </c>
      <c r="CZ706" s="326" t="str">
        <f t="shared" si="2432"/>
        <v/>
      </c>
      <c r="DA706" s="326" t="str">
        <f t="shared" si="2432"/>
        <v/>
      </c>
      <c r="DB706" s="327" t="str">
        <f t="shared" si="2432"/>
        <v/>
      </c>
      <c r="DC706" s="327" t="str">
        <f t="shared" si="2432"/>
        <v/>
      </c>
      <c r="DD706" s="327" t="str">
        <f t="shared" si="2432"/>
        <v/>
      </c>
      <c r="DE706" s="326" t="str">
        <f t="shared" si="2433"/>
        <v/>
      </c>
      <c r="DF706" s="326" t="str">
        <f t="shared" si="2433"/>
        <v/>
      </c>
      <c r="DG706" s="326" t="str">
        <f t="shared" si="2433"/>
        <v/>
      </c>
      <c r="DH706" s="326" t="str">
        <f t="shared" si="2433"/>
        <v/>
      </c>
      <c r="DI706" s="326" t="str">
        <f t="shared" si="2433"/>
        <v/>
      </c>
      <c r="DJ706" s="325" t="str">
        <f t="shared" si="2433"/>
        <v/>
      </c>
      <c r="DK706" s="324" t="str">
        <f t="shared" si="2433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426"/>
        <v>2270</v>
      </c>
      <c r="CA707" s="373">
        <f t="shared" si="2427"/>
        <v>1488.7857142857142</v>
      </c>
      <c r="CB707" s="373">
        <f t="shared" si="2428"/>
        <v>595.71428571428567</v>
      </c>
      <c r="CC707" s="462">
        <f t="shared" si="2429"/>
        <v>0</v>
      </c>
      <c r="CD707" s="1109" t="str">
        <f t="shared" ref="CD707:CT707" si="243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0" t="str">
        <f t="shared" si="2434"/>
        <v/>
      </c>
      <c r="CF707" s="1111" t="str">
        <f t="shared" si="2434"/>
        <v/>
      </c>
      <c r="CG707" s="1111" t="str">
        <f t="shared" si="2434"/>
        <v/>
      </c>
      <c r="CH707" s="1111">
        <f t="shared" si="2434"/>
        <v>850</v>
      </c>
      <c r="CI707" s="1111">
        <f t="shared" si="2434"/>
        <v>1480</v>
      </c>
      <c r="CJ707" s="1111">
        <f t="shared" si="2434"/>
        <v>1740</v>
      </c>
      <c r="CK707" s="1112">
        <f t="shared" si="2434"/>
        <v>1840</v>
      </c>
      <c r="CL707" s="1112">
        <f t="shared" si="2434"/>
        <v>2130</v>
      </c>
      <c r="CM707" s="1112">
        <f t="shared" si="2434"/>
        <v>2380</v>
      </c>
      <c r="CN707" s="1111">
        <f t="shared" si="2434"/>
        <v>2600</v>
      </c>
      <c r="CO707" s="1111">
        <f t="shared" si="2434"/>
        <v>3720</v>
      </c>
      <c r="CP707" s="1111">
        <f t="shared" si="2434"/>
        <v>4380</v>
      </c>
      <c r="CQ707" s="1111" t="str">
        <f t="shared" si="2434"/>
        <v/>
      </c>
      <c r="CR707" s="1111" t="str">
        <f t="shared" si="2434"/>
        <v/>
      </c>
      <c r="CS707" s="1110" t="str">
        <f t="shared" si="2434"/>
        <v/>
      </c>
      <c r="CT707" s="1113" t="str">
        <f t="shared" si="2434"/>
        <v/>
      </c>
      <c r="CU707" s="324" t="str">
        <f t="shared" si="2432"/>
        <v/>
      </c>
      <c r="CV707" s="325" t="str">
        <f t="shared" si="2432"/>
        <v/>
      </c>
      <c r="CW707" s="326" t="str">
        <f t="shared" si="2432"/>
        <v/>
      </c>
      <c r="CX707" s="326" t="str">
        <f t="shared" si="2432"/>
        <v/>
      </c>
      <c r="CY707" s="326">
        <f t="shared" si="2432"/>
        <v>540</v>
      </c>
      <c r="CZ707" s="326">
        <f t="shared" si="2432"/>
        <v>661.5</v>
      </c>
      <c r="DA707" s="326">
        <f t="shared" si="2432"/>
        <v>960</v>
      </c>
      <c r="DB707" s="327">
        <f t="shared" si="2432"/>
        <v>1140</v>
      </c>
      <c r="DC707" s="327">
        <f t="shared" si="2432"/>
        <v>1500</v>
      </c>
      <c r="DD707" s="327">
        <f t="shared" si="2432"/>
        <v>1820</v>
      </c>
      <c r="DE707" s="326">
        <f t="shared" si="2433"/>
        <v>1900</v>
      </c>
      <c r="DF707" s="326">
        <f t="shared" si="2433"/>
        <v>2440</v>
      </c>
      <c r="DG707" s="326">
        <f t="shared" si="2433"/>
        <v>6020</v>
      </c>
      <c r="DH707" s="326" t="str">
        <f t="shared" si="2433"/>
        <v/>
      </c>
      <c r="DI707" s="326" t="str">
        <f t="shared" si="2433"/>
        <v/>
      </c>
      <c r="DJ707" s="325" t="str">
        <f t="shared" si="2433"/>
        <v/>
      </c>
      <c r="DK707" s="324" t="str">
        <f t="shared" si="2433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426"/>
        <v/>
      </c>
      <c r="CA708" s="365" t="str">
        <f t="shared" si="2427"/>
        <v/>
      </c>
      <c r="CB708" s="365" t="str">
        <f t="shared" si="2428"/>
        <v/>
      </c>
      <c r="CC708" s="461" t="str">
        <f t="shared" si="2429"/>
        <v/>
      </c>
      <c r="CD708" s="1120"/>
      <c r="CE708" s="1120"/>
      <c r="CF708" s="1120"/>
      <c r="CG708" s="1120"/>
      <c r="CH708" s="1120"/>
      <c r="CI708" s="1120"/>
      <c r="CJ708" s="1120"/>
      <c r="CK708" s="1120"/>
      <c r="CL708" s="1120"/>
      <c r="CM708" s="1120"/>
      <c r="CN708" s="1120"/>
      <c r="CO708" s="1120"/>
      <c r="CP708" s="1120"/>
      <c r="CQ708" s="1120"/>
      <c r="CR708" s="1120"/>
      <c r="CS708" s="1120"/>
      <c r="CT708" s="1120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426"/>
        <v/>
      </c>
      <c r="CA709" s="373" t="str">
        <f t="shared" si="2427"/>
        <v/>
      </c>
      <c r="CB709" s="373" t="str">
        <f t="shared" si="2428"/>
        <v/>
      </c>
      <c r="CC709" s="462" t="str">
        <f t="shared" si="2429"/>
        <v/>
      </c>
      <c r="CD709" s="1109" t="str">
        <f t="shared" ref="CD709:CM712" si="243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0" t="str">
        <f t="shared" si="2435"/>
        <v/>
      </c>
      <c r="CF709" s="1111" t="str">
        <f t="shared" si="2435"/>
        <v/>
      </c>
      <c r="CG709" s="1111" t="str">
        <f t="shared" si="2435"/>
        <v/>
      </c>
      <c r="CH709" s="1111" t="str">
        <f t="shared" si="2435"/>
        <v/>
      </c>
      <c r="CI709" s="1111" t="str">
        <f t="shared" si="2435"/>
        <v/>
      </c>
      <c r="CJ709" s="1111" t="str">
        <f t="shared" si="2435"/>
        <v/>
      </c>
      <c r="CK709" s="1112" t="str">
        <f t="shared" si="2435"/>
        <v/>
      </c>
      <c r="CL709" s="1112" t="str">
        <f t="shared" si="2435"/>
        <v/>
      </c>
      <c r="CM709" s="1112" t="str">
        <f t="shared" si="2435"/>
        <v/>
      </c>
      <c r="CN709" s="1111" t="str">
        <f t="shared" ref="CN709:CT712" si="243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1" t="str">
        <f t="shared" si="2436"/>
        <v/>
      </c>
      <c r="CP709" s="1111" t="str">
        <f t="shared" si="2436"/>
        <v/>
      </c>
      <c r="CQ709" s="1111" t="str">
        <f t="shared" si="2436"/>
        <v/>
      </c>
      <c r="CR709" s="1111" t="str">
        <f t="shared" si="2436"/>
        <v/>
      </c>
      <c r="CS709" s="1110" t="str">
        <f t="shared" si="2436"/>
        <v/>
      </c>
      <c r="CT709" s="1113" t="str">
        <f t="shared" si="2436"/>
        <v/>
      </c>
      <c r="CU709" s="324" t="str">
        <f t="shared" ref="CU709:DD713" si="243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437"/>
        <v/>
      </c>
      <c r="CW709" s="326" t="str">
        <f t="shared" si="2437"/>
        <v/>
      </c>
      <c r="CX709" s="326" t="str">
        <f t="shared" si="2437"/>
        <v/>
      </c>
      <c r="CY709" s="326" t="str">
        <f t="shared" si="2437"/>
        <v/>
      </c>
      <c r="CZ709" s="326" t="str">
        <f t="shared" si="2437"/>
        <v/>
      </c>
      <c r="DA709" s="326" t="str">
        <f t="shared" si="2437"/>
        <v/>
      </c>
      <c r="DB709" s="327" t="str">
        <f t="shared" si="2437"/>
        <v/>
      </c>
      <c r="DC709" s="327" t="str">
        <f t="shared" si="2437"/>
        <v/>
      </c>
      <c r="DD709" s="327" t="str">
        <f t="shared" si="2437"/>
        <v/>
      </c>
      <c r="DE709" s="326" t="str">
        <f t="shared" ref="DE709:DK713" si="243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438"/>
        <v/>
      </c>
      <c r="DG709" s="326" t="str">
        <f t="shared" si="2438"/>
        <v/>
      </c>
      <c r="DH709" s="326" t="str">
        <f t="shared" si="2438"/>
        <v/>
      </c>
      <c r="DI709" s="326" t="str">
        <f t="shared" si="2438"/>
        <v/>
      </c>
      <c r="DJ709" s="325" t="str">
        <f t="shared" si="2438"/>
        <v/>
      </c>
      <c r="DK709" s="324" t="str">
        <f t="shared" si="2438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426"/>
        <v/>
      </c>
      <c r="CA710" s="373" t="str">
        <f t="shared" si="2427"/>
        <v/>
      </c>
      <c r="CB710" s="373" t="str">
        <f t="shared" si="2428"/>
        <v/>
      </c>
      <c r="CC710" s="462" t="str">
        <f t="shared" si="2429"/>
        <v/>
      </c>
      <c r="CD710" s="1109" t="str">
        <f t="shared" si="2435"/>
        <v/>
      </c>
      <c r="CE710" s="1110" t="str">
        <f t="shared" si="2435"/>
        <v/>
      </c>
      <c r="CF710" s="1111" t="str">
        <f t="shared" si="2435"/>
        <v/>
      </c>
      <c r="CG710" s="1111" t="str">
        <f t="shared" si="2435"/>
        <v/>
      </c>
      <c r="CH710" s="1111" t="str">
        <f t="shared" si="2435"/>
        <v/>
      </c>
      <c r="CI710" s="1111" t="str">
        <f t="shared" si="2435"/>
        <v/>
      </c>
      <c r="CJ710" s="1111" t="str">
        <f t="shared" si="2435"/>
        <v/>
      </c>
      <c r="CK710" s="1112" t="str">
        <f t="shared" si="2435"/>
        <v/>
      </c>
      <c r="CL710" s="1112" t="str">
        <f t="shared" si="2435"/>
        <v/>
      </c>
      <c r="CM710" s="1112" t="str">
        <f t="shared" si="2435"/>
        <v/>
      </c>
      <c r="CN710" s="1111" t="str">
        <f t="shared" si="2436"/>
        <v/>
      </c>
      <c r="CO710" s="1111" t="str">
        <f t="shared" si="2436"/>
        <v/>
      </c>
      <c r="CP710" s="1111" t="str">
        <f t="shared" si="2436"/>
        <v/>
      </c>
      <c r="CQ710" s="1111" t="str">
        <f t="shared" si="2436"/>
        <v/>
      </c>
      <c r="CR710" s="1111" t="str">
        <f t="shared" si="2436"/>
        <v/>
      </c>
      <c r="CS710" s="1110" t="str">
        <f t="shared" si="2436"/>
        <v/>
      </c>
      <c r="CT710" s="1113" t="str">
        <f t="shared" si="2436"/>
        <v/>
      </c>
      <c r="CU710" s="324" t="str">
        <f t="shared" si="2437"/>
        <v/>
      </c>
      <c r="CV710" s="325" t="str">
        <f t="shared" si="2437"/>
        <v/>
      </c>
      <c r="CW710" s="326" t="str">
        <f t="shared" si="2437"/>
        <v/>
      </c>
      <c r="CX710" s="326" t="str">
        <f t="shared" si="2437"/>
        <v/>
      </c>
      <c r="CY710" s="326" t="str">
        <f t="shared" si="2437"/>
        <v/>
      </c>
      <c r="CZ710" s="326" t="str">
        <f t="shared" si="2437"/>
        <v/>
      </c>
      <c r="DA710" s="326" t="str">
        <f t="shared" si="2437"/>
        <v/>
      </c>
      <c r="DB710" s="327" t="str">
        <f t="shared" si="2437"/>
        <v/>
      </c>
      <c r="DC710" s="327" t="str">
        <f t="shared" si="2437"/>
        <v/>
      </c>
      <c r="DD710" s="327" t="str">
        <f t="shared" si="2437"/>
        <v/>
      </c>
      <c r="DE710" s="326" t="str">
        <f t="shared" si="2438"/>
        <v/>
      </c>
      <c r="DF710" s="326" t="str">
        <f t="shared" si="2438"/>
        <v/>
      </c>
      <c r="DG710" s="326" t="str">
        <f t="shared" si="2438"/>
        <v/>
      </c>
      <c r="DH710" s="326" t="str">
        <f t="shared" si="2438"/>
        <v/>
      </c>
      <c r="DI710" s="326" t="str">
        <f t="shared" si="2438"/>
        <v/>
      </c>
      <c r="DJ710" s="325" t="str">
        <f t="shared" si="2438"/>
        <v/>
      </c>
      <c r="DK710" s="324" t="str">
        <f t="shared" si="2438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426"/>
        <v/>
      </c>
      <c r="CA711" s="373" t="str">
        <f t="shared" si="2427"/>
        <v/>
      </c>
      <c r="CB711" s="373" t="str">
        <f t="shared" si="2428"/>
        <v/>
      </c>
      <c r="CC711" s="462" t="str">
        <f t="shared" si="2429"/>
        <v/>
      </c>
      <c r="CD711" s="1109" t="str">
        <f t="shared" si="2435"/>
        <v/>
      </c>
      <c r="CE711" s="1110" t="str">
        <f t="shared" si="2435"/>
        <v/>
      </c>
      <c r="CF711" s="1111" t="str">
        <f t="shared" si="2435"/>
        <v/>
      </c>
      <c r="CG711" s="1111" t="str">
        <f t="shared" si="2435"/>
        <v/>
      </c>
      <c r="CH711" s="1111" t="str">
        <f t="shared" si="2435"/>
        <v/>
      </c>
      <c r="CI711" s="1111" t="str">
        <f t="shared" si="2435"/>
        <v/>
      </c>
      <c r="CJ711" s="1111" t="str">
        <f t="shared" si="2435"/>
        <v/>
      </c>
      <c r="CK711" s="1112" t="str">
        <f t="shared" si="2435"/>
        <v/>
      </c>
      <c r="CL711" s="1112" t="str">
        <f t="shared" si="2435"/>
        <v/>
      </c>
      <c r="CM711" s="1112" t="str">
        <f t="shared" si="2435"/>
        <v/>
      </c>
      <c r="CN711" s="1111" t="str">
        <f t="shared" si="2436"/>
        <v/>
      </c>
      <c r="CO711" s="1111" t="str">
        <f t="shared" si="2436"/>
        <v/>
      </c>
      <c r="CP711" s="1111" t="str">
        <f t="shared" si="2436"/>
        <v/>
      </c>
      <c r="CQ711" s="1111" t="str">
        <f t="shared" si="2436"/>
        <v/>
      </c>
      <c r="CR711" s="1111" t="str">
        <f t="shared" si="2436"/>
        <v/>
      </c>
      <c r="CS711" s="1110" t="str">
        <f t="shared" si="2436"/>
        <v/>
      </c>
      <c r="CT711" s="1113" t="str">
        <f t="shared" si="2436"/>
        <v/>
      </c>
      <c r="CU711" s="324" t="str">
        <f t="shared" si="2437"/>
        <v/>
      </c>
      <c r="CV711" s="325" t="str">
        <f t="shared" si="2437"/>
        <v/>
      </c>
      <c r="CW711" s="326" t="str">
        <f t="shared" si="2437"/>
        <v/>
      </c>
      <c r="CX711" s="326" t="str">
        <f t="shared" si="2437"/>
        <v/>
      </c>
      <c r="CY711" s="326" t="str">
        <f t="shared" si="2437"/>
        <v/>
      </c>
      <c r="CZ711" s="326" t="str">
        <f t="shared" si="2437"/>
        <v/>
      </c>
      <c r="DA711" s="326" t="str">
        <f t="shared" si="2437"/>
        <v/>
      </c>
      <c r="DB711" s="327" t="str">
        <f t="shared" si="2437"/>
        <v/>
      </c>
      <c r="DC711" s="327" t="str">
        <f t="shared" si="2437"/>
        <v/>
      </c>
      <c r="DD711" s="327" t="str">
        <f t="shared" si="2437"/>
        <v/>
      </c>
      <c r="DE711" s="326" t="str">
        <f t="shared" si="2438"/>
        <v/>
      </c>
      <c r="DF711" s="326" t="str">
        <f t="shared" si="2438"/>
        <v/>
      </c>
      <c r="DG711" s="326" t="str">
        <f t="shared" si="2438"/>
        <v/>
      </c>
      <c r="DH711" s="326" t="str">
        <f t="shared" si="2438"/>
        <v/>
      </c>
      <c r="DI711" s="326" t="str">
        <f t="shared" si="2438"/>
        <v/>
      </c>
      <c r="DJ711" s="325" t="str">
        <f t="shared" si="2438"/>
        <v/>
      </c>
      <c r="DK711" s="324" t="str">
        <f t="shared" si="2438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426"/>
        <v/>
      </c>
      <c r="CA712" s="373" t="str">
        <f t="shared" si="2427"/>
        <v/>
      </c>
      <c r="CB712" s="373" t="str">
        <f t="shared" si="2428"/>
        <v/>
      </c>
      <c r="CC712" s="462" t="str">
        <f t="shared" si="2429"/>
        <v/>
      </c>
      <c r="CD712" s="1109" t="str">
        <f t="shared" si="2435"/>
        <v/>
      </c>
      <c r="CE712" s="1110" t="str">
        <f t="shared" si="2435"/>
        <v/>
      </c>
      <c r="CF712" s="1111" t="str">
        <f t="shared" si="2435"/>
        <v/>
      </c>
      <c r="CG712" s="1111" t="str">
        <f t="shared" si="2435"/>
        <v/>
      </c>
      <c r="CH712" s="1111" t="str">
        <f t="shared" si="2435"/>
        <v/>
      </c>
      <c r="CI712" s="1111" t="str">
        <f t="shared" si="2435"/>
        <v/>
      </c>
      <c r="CJ712" s="1111" t="str">
        <f t="shared" si="2435"/>
        <v/>
      </c>
      <c r="CK712" s="1112" t="str">
        <f t="shared" si="2435"/>
        <v/>
      </c>
      <c r="CL712" s="1112" t="str">
        <f t="shared" si="2435"/>
        <v/>
      </c>
      <c r="CM712" s="1112" t="str">
        <f t="shared" si="2435"/>
        <v/>
      </c>
      <c r="CN712" s="1111" t="str">
        <f t="shared" si="2436"/>
        <v/>
      </c>
      <c r="CO712" s="1111" t="str">
        <f t="shared" si="2436"/>
        <v/>
      </c>
      <c r="CP712" s="1111" t="str">
        <f t="shared" si="2436"/>
        <v/>
      </c>
      <c r="CQ712" s="1111" t="str">
        <f t="shared" si="2436"/>
        <v/>
      </c>
      <c r="CR712" s="1111" t="str">
        <f t="shared" si="2436"/>
        <v/>
      </c>
      <c r="CS712" s="1110" t="str">
        <f t="shared" si="2436"/>
        <v/>
      </c>
      <c r="CT712" s="1113" t="str">
        <f t="shared" si="2436"/>
        <v/>
      </c>
      <c r="CU712" s="324" t="str">
        <f t="shared" si="2437"/>
        <v/>
      </c>
      <c r="CV712" s="325" t="str">
        <f t="shared" si="2437"/>
        <v/>
      </c>
      <c r="CW712" s="326" t="str">
        <f t="shared" si="2437"/>
        <v/>
      </c>
      <c r="CX712" s="326" t="str">
        <f t="shared" si="2437"/>
        <v/>
      </c>
      <c r="CY712" s="326" t="str">
        <f t="shared" si="2437"/>
        <v/>
      </c>
      <c r="CZ712" s="326" t="str">
        <f t="shared" si="2437"/>
        <v/>
      </c>
      <c r="DA712" s="326" t="str">
        <f t="shared" si="2437"/>
        <v/>
      </c>
      <c r="DB712" s="327" t="str">
        <f t="shared" si="2437"/>
        <v/>
      </c>
      <c r="DC712" s="327" t="str">
        <f t="shared" si="2437"/>
        <v/>
      </c>
      <c r="DD712" s="327" t="str">
        <f t="shared" si="2437"/>
        <v/>
      </c>
      <c r="DE712" s="326" t="str">
        <f t="shared" si="2438"/>
        <v/>
      </c>
      <c r="DF712" s="326" t="str">
        <f t="shared" si="2438"/>
        <v/>
      </c>
      <c r="DG712" s="326" t="str">
        <f t="shared" si="2438"/>
        <v/>
      </c>
      <c r="DH712" s="326" t="str">
        <f t="shared" si="2438"/>
        <v/>
      </c>
      <c r="DI712" s="326" t="str">
        <f t="shared" si="2438"/>
        <v/>
      </c>
      <c r="DJ712" s="325" t="str">
        <f t="shared" si="2438"/>
        <v/>
      </c>
      <c r="DK712" s="324" t="str">
        <f t="shared" si="2438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426"/>
        <v>45.714285714285715</v>
      </c>
      <c r="CA713" s="373">
        <f t="shared" si="2427"/>
        <v>381.42857142857144</v>
      </c>
      <c r="CB713" s="373">
        <f t="shared" si="2428"/>
        <v>0</v>
      </c>
      <c r="CC713" s="462">
        <f t="shared" si="2429"/>
        <v>614.28571428571433</v>
      </c>
      <c r="CD713" s="1109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0" t="str">
        <f t="shared" ref="CE713:CT713" si="243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1" t="str">
        <f t="shared" si="2439"/>
        <v/>
      </c>
      <c r="CG713" s="1111" t="str">
        <f t="shared" si="2439"/>
        <v/>
      </c>
      <c r="CH713" s="1111">
        <f t="shared" si="2439"/>
        <v>0</v>
      </c>
      <c r="CI713" s="1111">
        <f t="shared" si="2439"/>
        <v>0</v>
      </c>
      <c r="CJ713" s="1111">
        <f t="shared" si="2439"/>
        <v>0</v>
      </c>
      <c r="CK713" s="1112">
        <f t="shared" si="2439"/>
        <v>0</v>
      </c>
      <c r="CL713" s="1112">
        <f t="shared" si="2439"/>
        <v>0</v>
      </c>
      <c r="CM713" s="1112">
        <f t="shared" si="2439"/>
        <v>0</v>
      </c>
      <c r="CN713" s="1111">
        <f t="shared" si="2439"/>
        <v>0</v>
      </c>
      <c r="CO713" s="1111">
        <f t="shared" si="2439"/>
        <v>320</v>
      </c>
      <c r="CP713" s="1111">
        <f t="shared" si="2439"/>
        <v>720</v>
      </c>
      <c r="CQ713" s="1111" t="str">
        <f t="shared" si="2439"/>
        <v/>
      </c>
      <c r="CR713" s="1111" t="str">
        <f t="shared" si="2439"/>
        <v/>
      </c>
      <c r="CS713" s="1110" t="str">
        <f t="shared" si="2439"/>
        <v/>
      </c>
      <c r="CT713" s="1113" t="str">
        <f t="shared" si="2439"/>
        <v/>
      </c>
      <c r="CU713" s="324" t="str">
        <f t="shared" si="2437"/>
        <v/>
      </c>
      <c r="CV713" s="325" t="str">
        <f t="shared" si="2437"/>
        <v/>
      </c>
      <c r="CW713" s="326" t="str">
        <f t="shared" si="2437"/>
        <v/>
      </c>
      <c r="CX713" s="326" t="str">
        <f t="shared" si="2437"/>
        <v/>
      </c>
      <c r="CY713" s="326">
        <f t="shared" si="2437"/>
        <v>0</v>
      </c>
      <c r="CZ713" s="326">
        <f t="shared" si="2437"/>
        <v>0</v>
      </c>
      <c r="DA713" s="326">
        <f t="shared" si="2437"/>
        <v>0</v>
      </c>
      <c r="DB713" s="327">
        <f t="shared" si="2437"/>
        <v>100</v>
      </c>
      <c r="DC713" s="327">
        <f t="shared" si="2437"/>
        <v>250</v>
      </c>
      <c r="DD713" s="327">
        <f t="shared" si="2437"/>
        <v>600</v>
      </c>
      <c r="DE713" s="326">
        <f t="shared" si="2438"/>
        <v>820</v>
      </c>
      <c r="DF713" s="326">
        <f t="shared" si="2438"/>
        <v>900</v>
      </c>
      <c r="DG713" s="326">
        <f t="shared" si="2438"/>
        <v>1125</v>
      </c>
      <c r="DH713" s="326" t="str">
        <f t="shared" si="2438"/>
        <v/>
      </c>
      <c r="DI713" s="326" t="str">
        <f t="shared" si="2438"/>
        <v/>
      </c>
      <c r="DJ713" s="325" t="str">
        <f t="shared" si="2438"/>
        <v/>
      </c>
      <c r="DK713" s="324" t="str">
        <f t="shared" si="2438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426"/>
        <v/>
      </c>
      <c r="CA714" s="365" t="str">
        <f t="shared" si="2427"/>
        <v/>
      </c>
      <c r="CB714" s="365" t="str">
        <f t="shared" si="2428"/>
        <v/>
      </c>
      <c r="CC714" s="461" t="str">
        <f t="shared" si="2429"/>
        <v/>
      </c>
      <c r="CD714" s="1120"/>
      <c r="CE714" s="1120"/>
      <c r="CF714" s="1120"/>
      <c r="CG714" s="1120"/>
      <c r="CH714" s="1120"/>
      <c r="CI714" s="1120"/>
      <c r="CJ714" s="1120"/>
      <c r="CK714" s="1120"/>
      <c r="CL714" s="1120"/>
      <c r="CM714" s="1120"/>
      <c r="CN714" s="1120"/>
      <c r="CO714" s="1120"/>
      <c r="CP714" s="1120"/>
      <c r="CQ714" s="1120"/>
      <c r="CR714" s="1120"/>
      <c r="CS714" s="1120"/>
      <c r="CT714" s="1120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426"/>
        <v/>
      </c>
      <c r="CA715" s="373" t="str">
        <f t="shared" si="2427"/>
        <v/>
      </c>
      <c r="CB715" s="373" t="str">
        <f t="shared" si="2428"/>
        <v/>
      </c>
      <c r="CC715" s="462" t="str">
        <f t="shared" si="2429"/>
        <v/>
      </c>
      <c r="CD715" s="1109" t="str">
        <f t="shared" ref="CD715:CD731" si="244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0" t="str">
        <f t="shared" ref="CE715:CE731" si="244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1" t="str">
        <f t="shared" ref="CF715:CF731" si="244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1" t="str">
        <f t="shared" ref="CG715:CG731" si="244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1" t="str">
        <f t="shared" ref="CH715:CH731" si="244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1" t="str">
        <f t="shared" ref="CI715:CI731" si="244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1" t="str">
        <f t="shared" ref="CJ715:CJ731" si="244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2" t="str">
        <f t="shared" ref="CK715:CK731" si="244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2" t="str">
        <f t="shared" ref="CL715:CL731" si="244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2" t="str">
        <f t="shared" ref="CM715:CM731" si="244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1" t="str">
        <f t="shared" ref="CN715:CN731" si="245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1" t="str">
        <f t="shared" ref="CO715:CO731" si="245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1" t="str">
        <f t="shared" ref="CP715:CP731" si="245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1" t="str">
        <f t="shared" ref="CQ715:CQ731" si="245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1" t="str">
        <f t="shared" ref="CR715:CR731" si="245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0" t="str">
        <f t="shared" ref="CS715:CS731" si="245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3" t="str">
        <f t="shared" ref="CT715:CT731" si="245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45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45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45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46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46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46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46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46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46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46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46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46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46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47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47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47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47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474">COUNT(B715:R715)</f>
        <v>0</v>
      </c>
      <c r="DM715" s="66">
        <f t="shared" ref="DM715:DM731" si="2475">COUNT(T715:AJ715)</f>
        <v>0</v>
      </c>
      <c r="DN715" s="66">
        <f t="shared" ref="DN715:DN731" si="2476">COUNT(AL715:BB715)</f>
        <v>0</v>
      </c>
      <c r="DO715" s="66">
        <f t="shared" ref="DO715:DO731" si="2477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426"/>
        <v/>
      </c>
      <c r="CA716" s="373" t="str">
        <f t="shared" si="2427"/>
        <v/>
      </c>
      <c r="CB716" s="373" t="str">
        <f t="shared" si="2428"/>
        <v/>
      </c>
      <c r="CC716" s="462" t="str">
        <f t="shared" si="2429"/>
        <v/>
      </c>
      <c r="CD716" s="1109" t="str">
        <f t="shared" si="2440"/>
        <v/>
      </c>
      <c r="CE716" s="1110" t="str">
        <f t="shared" si="2441"/>
        <v/>
      </c>
      <c r="CF716" s="1111" t="str">
        <f t="shared" si="2442"/>
        <v/>
      </c>
      <c r="CG716" s="1111" t="str">
        <f t="shared" si="2443"/>
        <v/>
      </c>
      <c r="CH716" s="1111" t="str">
        <f t="shared" si="2444"/>
        <v/>
      </c>
      <c r="CI716" s="1111" t="str">
        <f t="shared" si="2445"/>
        <v/>
      </c>
      <c r="CJ716" s="1111" t="str">
        <f t="shared" si="2446"/>
        <v/>
      </c>
      <c r="CK716" s="1112" t="str">
        <f t="shared" si="2447"/>
        <v/>
      </c>
      <c r="CL716" s="1112" t="str">
        <f t="shared" si="2448"/>
        <v/>
      </c>
      <c r="CM716" s="1112" t="str">
        <f t="shared" si="2449"/>
        <v/>
      </c>
      <c r="CN716" s="1111" t="str">
        <f t="shared" si="2450"/>
        <v/>
      </c>
      <c r="CO716" s="1111" t="str">
        <f t="shared" si="2451"/>
        <v/>
      </c>
      <c r="CP716" s="1111" t="str">
        <f t="shared" si="2452"/>
        <v/>
      </c>
      <c r="CQ716" s="1111" t="str">
        <f t="shared" si="2453"/>
        <v/>
      </c>
      <c r="CR716" s="1111" t="str">
        <f t="shared" si="2454"/>
        <v/>
      </c>
      <c r="CS716" s="1110" t="str">
        <f t="shared" si="2455"/>
        <v/>
      </c>
      <c r="CT716" s="1113" t="str">
        <f t="shared" si="2456"/>
        <v/>
      </c>
      <c r="CU716" s="324" t="str">
        <f t="shared" si="2457"/>
        <v/>
      </c>
      <c r="CV716" s="325" t="str">
        <f t="shared" si="2458"/>
        <v/>
      </c>
      <c r="CW716" s="326" t="str">
        <f t="shared" si="2459"/>
        <v/>
      </c>
      <c r="CX716" s="326" t="str">
        <f t="shared" si="2460"/>
        <v/>
      </c>
      <c r="CY716" s="326" t="str">
        <f t="shared" si="2461"/>
        <v/>
      </c>
      <c r="CZ716" s="326" t="str">
        <f t="shared" si="2462"/>
        <v/>
      </c>
      <c r="DA716" s="326" t="str">
        <f t="shared" si="2463"/>
        <v/>
      </c>
      <c r="DB716" s="327" t="str">
        <f t="shared" si="2464"/>
        <v/>
      </c>
      <c r="DC716" s="327" t="str">
        <f t="shared" si="2465"/>
        <v/>
      </c>
      <c r="DD716" s="327" t="str">
        <f t="shared" si="2466"/>
        <v/>
      </c>
      <c r="DE716" s="326" t="str">
        <f t="shared" si="2467"/>
        <v/>
      </c>
      <c r="DF716" s="326" t="str">
        <f t="shared" si="2468"/>
        <v/>
      </c>
      <c r="DG716" s="326" t="str">
        <f t="shared" si="2469"/>
        <v/>
      </c>
      <c r="DH716" s="326" t="str">
        <f t="shared" si="2470"/>
        <v/>
      </c>
      <c r="DI716" s="326" t="str">
        <f t="shared" si="2471"/>
        <v/>
      </c>
      <c r="DJ716" s="325" t="str">
        <f t="shared" si="2472"/>
        <v/>
      </c>
      <c r="DK716" s="324" t="str">
        <f t="shared" si="2473"/>
        <v/>
      </c>
      <c r="DL716" s="428">
        <f t="shared" si="2474"/>
        <v>0</v>
      </c>
      <c r="DM716" s="66">
        <f t="shared" si="2475"/>
        <v>0</v>
      </c>
      <c r="DN716" s="66">
        <f t="shared" si="2476"/>
        <v>0</v>
      </c>
      <c r="DO716" s="66">
        <f t="shared" si="2477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426"/>
        <v/>
      </c>
      <c r="CA717" s="373" t="str">
        <f t="shared" si="2427"/>
        <v/>
      </c>
      <c r="CB717" s="373" t="str">
        <f t="shared" si="2428"/>
        <v/>
      </c>
      <c r="CC717" s="462" t="str">
        <f t="shared" si="2429"/>
        <v/>
      </c>
      <c r="CD717" s="1109" t="str">
        <f t="shared" si="2440"/>
        <v/>
      </c>
      <c r="CE717" s="1110" t="str">
        <f t="shared" si="2441"/>
        <v/>
      </c>
      <c r="CF717" s="1111" t="str">
        <f t="shared" si="2442"/>
        <v/>
      </c>
      <c r="CG717" s="1111" t="str">
        <f t="shared" si="2443"/>
        <v/>
      </c>
      <c r="CH717" s="1111" t="str">
        <f t="shared" si="2444"/>
        <v/>
      </c>
      <c r="CI717" s="1111" t="str">
        <f t="shared" si="2445"/>
        <v/>
      </c>
      <c r="CJ717" s="1111" t="str">
        <f t="shared" si="2446"/>
        <v/>
      </c>
      <c r="CK717" s="1112" t="str">
        <f t="shared" si="2447"/>
        <v/>
      </c>
      <c r="CL717" s="1112" t="str">
        <f t="shared" si="2448"/>
        <v/>
      </c>
      <c r="CM717" s="1112" t="str">
        <f t="shared" si="2449"/>
        <v/>
      </c>
      <c r="CN717" s="1111" t="str">
        <f t="shared" si="2450"/>
        <v/>
      </c>
      <c r="CO717" s="1111" t="str">
        <f t="shared" si="2451"/>
        <v/>
      </c>
      <c r="CP717" s="1111" t="str">
        <f t="shared" si="2452"/>
        <v/>
      </c>
      <c r="CQ717" s="1111" t="str">
        <f t="shared" si="2453"/>
        <v/>
      </c>
      <c r="CR717" s="1111" t="str">
        <f t="shared" si="2454"/>
        <v/>
      </c>
      <c r="CS717" s="1110" t="str">
        <f t="shared" si="2455"/>
        <v/>
      </c>
      <c r="CT717" s="1113" t="str">
        <f t="shared" si="2456"/>
        <v/>
      </c>
      <c r="CU717" s="324" t="str">
        <f t="shared" si="2457"/>
        <v/>
      </c>
      <c r="CV717" s="325" t="str">
        <f t="shared" si="2458"/>
        <v/>
      </c>
      <c r="CW717" s="326" t="str">
        <f t="shared" si="2459"/>
        <v/>
      </c>
      <c r="CX717" s="326" t="str">
        <f t="shared" si="2460"/>
        <v/>
      </c>
      <c r="CY717" s="326" t="str">
        <f t="shared" si="2461"/>
        <v/>
      </c>
      <c r="CZ717" s="326" t="str">
        <f t="shared" si="2462"/>
        <v/>
      </c>
      <c r="DA717" s="326" t="str">
        <f t="shared" si="2463"/>
        <v/>
      </c>
      <c r="DB717" s="327" t="str">
        <f t="shared" si="2464"/>
        <v/>
      </c>
      <c r="DC717" s="327" t="str">
        <f t="shared" si="2465"/>
        <v/>
      </c>
      <c r="DD717" s="327" t="str">
        <f t="shared" si="2466"/>
        <v/>
      </c>
      <c r="DE717" s="326" t="str">
        <f t="shared" si="2467"/>
        <v/>
      </c>
      <c r="DF717" s="326" t="str">
        <f t="shared" si="2468"/>
        <v/>
      </c>
      <c r="DG717" s="326" t="str">
        <f t="shared" si="2469"/>
        <v/>
      </c>
      <c r="DH717" s="326" t="str">
        <f t="shared" si="2470"/>
        <v/>
      </c>
      <c r="DI717" s="326" t="str">
        <f t="shared" si="2471"/>
        <v/>
      </c>
      <c r="DJ717" s="325" t="str">
        <f t="shared" si="2472"/>
        <v/>
      </c>
      <c r="DK717" s="324" t="str">
        <f t="shared" si="2473"/>
        <v/>
      </c>
      <c r="DL717" s="428">
        <f t="shared" si="2474"/>
        <v>0</v>
      </c>
      <c r="DM717" s="66">
        <f t="shared" si="2475"/>
        <v>0</v>
      </c>
      <c r="DN717" s="66">
        <f t="shared" si="2476"/>
        <v>0</v>
      </c>
      <c r="DO717" s="66">
        <f t="shared" si="2477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426"/>
        <v/>
      </c>
      <c r="CA718" s="373" t="str">
        <f t="shared" si="2427"/>
        <v/>
      </c>
      <c r="CB718" s="373" t="str">
        <f t="shared" si="2428"/>
        <v/>
      </c>
      <c r="CC718" s="462" t="str">
        <f t="shared" si="2429"/>
        <v/>
      </c>
      <c r="CD718" s="1109" t="str">
        <f t="shared" si="2440"/>
        <v/>
      </c>
      <c r="CE718" s="1110" t="str">
        <f t="shared" si="2441"/>
        <v/>
      </c>
      <c r="CF718" s="1111" t="str">
        <f t="shared" si="2442"/>
        <v/>
      </c>
      <c r="CG718" s="1111" t="str">
        <f t="shared" si="2443"/>
        <v/>
      </c>
      <c r="CH718" s="1111" t="str">
        <f t="shared" si="2444"/>
        <v/>
      </c>
      <c r="CI718" s="1111" t="str">
        <f t="shared" si="2445"/>
        <v/>
      </c>
      <c r="CJ718" s="1111" t="str">
        <f t="shared" si="2446"/>
        <v/>
      </c>
      <c r="CK718" s="1112" t="str">
        <f t="shared" si="2447"/>
        <v/>
      </c>
      <c r="CL718" s="1112" t="str">
        <f t="shared" si="2448"/>
        <v/>
      </c>
      <c r="CM718" s="1112" t="str">
        <f t="shared" si="2449"/>
        <v/>
      </c>
      <c r="CN718" s="1111" t="str">
        <f t="shared" si="2450"/>
        <v/>
      </c>
      <c r="CO718" s="1111" t="str">
        <f t="shared" si="2451"/>
        <v/>
      </c>
      <c r="CP718" s="1111" t="str">
        <f t="shared" si="2452"/>
        <v/>
      </c>
      <c r="CQ718" s="1111" t="str">
        <f t="shared" si="2453"/>
        <v/>
      </c>
      <c r="CR718" s="1111" t="str">
        <f t="shared" si="2454"/>
        <v/>
      </c>
      <c r="CS718" s="1110" t="str">
        <f t="shared" si="2455"/>
        <v/>
      </c>
      <c r="CT718" s="1113" t="str">
        <f t="shared" si="2456"/>
        <v/>
      </c>
      <c r="CU718" s="324" t="str">
        <f t="shared" si="2457"/>
        <v/>
      </c>
      <c r="CV718" s="325" t="str">
        <f t="shared" si="2458"/>
        <v/>
      </c>
      <c r="CW718" s="326" t="str">
        <f t="shared" si="2459"/>
        <v/>
      </c>
      <c r="CX718" s="326" t="str">
        <f t="shared" si="2460"/>
        <v/>
      </c>
      <c r="CY718" s="326" t="str">
        <f t="shared" si="2461"/>
        <v/>
      </c>
      <c r="CZ718" s="326" t="str">
        <f t="shared" si="2462"/>
        <v/>
      </c>
      <c r="DA718" s="326" t="str">
        <f t="shared" si="2463"/>
        <v/>
      </c>
      <c r="DB718" s="327" t="str">
        <f t="shared" si="2464"/>
        <v/>
      </c>
      <c r="DC718" s="327" t="str">
        <f t="shared" si="2465"/>
        <v/>
      </c>
      <c r="DD718" s="327" t="str">
        <f t="shared" si="2466"/>
        <v/>
      </c>
      <c r="DE718" s="326" t="str">
        <f t="shared" si="2467"/>
        <v/>
      </c>
      <c r="DF718" s="326" t="str">
        <f t="shared" si="2468"/>
        <v/>
      </c>
      <c r="DG718" s="326" t="str">
        <f t="shared" si="2469"/>
        <v/>
      </c>
      <c r="DH718" s="326" t="str">
        <f t="shared" si="2470"/>
        <v/>
      </c>
      <c r="DI718" s="326" t="str">
        <f t="shared" si="2471"/>
        <v/>
      </c>
      <c r="DJ718" s="325" t="str">
        <f t="shared" si="2472"/>
        <v/>
      </c>
      <c r="DK718" s="324" t="str">
        <f t="shared" si="2473"/>
        <v/>
      </c>
      <c r="DL718" s="428">
        <f t="shared" si="2474"/>
        <v>0</v>
      </c>
      <c r="DM718" s="66">
        <f t="shared" si="2475"/>
        <v>0</v>
      </c>
      <c r="DN718" s="66">
        <f t="shared" si="2476"/>
        <v>0</v>
      </c>
      <c r="DO718" s="66">
        <f t="shared" si="2477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426"/>
        <v>30.857142857142858</v>
      </c>
      <c r="CA719" s="373">
        <f t="shared" si="2427"/>
        <v>34.285714285714285</v>
      </c>
      <c r="CB719" s="373">
        <f t="shared" si="2428"/>
        <v>0</v>
      </c>
      <c r="CC719" s="462">
        <f t="shared" si="2429"/>
        <v>0</v>
      </c>
      <c r="CD719" s="1109" t="str">
        <f t="shared" ref="CD719:CS719" si="247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0" t="str">
        <f t="shared" si="2478"/>
        <v/>
      </c>
      <c r="CF719" s="1111" t="str">
        <f t="shared" si="2478"/>
        <v/>
      </c>
      <c r="CG719" s="1111" t="str">
        <f t="shared" si="2478"/>
        <v/>
      </c>
      <c r="CH719" s="1111">
        <f t="shared" si="2478"/>
        <v>0</v>
      </c>
      <c r="CI719" s="1111">
        <f t="shared" si="2478"/>
        <v>0</v>
      </c>
      <c r="CJ719" s="1111">
        <f t="shared" si="2478"/>
        <v>0</v>
      </c>
      <c r="CK719" s="1112">
        <f t="shared" si="2478"/>
        <v>0</v>
      </c>
      <c r="CL719" s="1112">
        <f t="shared" si="2478"/>
        <v>0</v>
      </c>
      <c r="CM719" s="1112">
        <f t="shared" si="2478"/>
        <v>0</v>
      </c>
      <c r="CN719" s="1111">
        <f t="shared" si="2478"/>
        <v>96</v>
      </c>
      <c r="CO719" s="1111">
        <f t="shared" si="2478"/>
        <v>120</v>
      </c>
      <c r="CP719" s="1111">
        <f t="shared" si="2478"/>
        <v>1080</v>
      </c>
      <c r="CQ719" s="1111" t="str">
        <f t="shared" si="2478"/>
        <v/>
      </c>
      <c r="CR719" s="1111" t="str">
        <f t="shared" si="2478"/>
        <v/>
      </c>
      <c r="CS719" s="1110" t="str">
        <f t="shared" si="2478"/>
        <v/>
      </c>
      <c r="CT719" s="1113" t="str">
        <f t="shared" ref="CE719:CT726" si="247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457"/>
        <v/>
      </c>
      <c r="CV719" s="325" t="str">
        <f t="shared" si="2458"/>
        <v/>
      </c>
      <c r="CW719" s="326" t="str">
        <f t="shared" si="2459"/>
        <v/>
      </c>
      <c r="CX719" s="326" t="str">
        <f t="shared" si="2460"/>
        <v/>
      </c>
      <c r="CY719" s="326">
        <f t="shared" si="2461"/>
        <v>0</v>
      </c>
      <c r="CZ719" s="326">
        <f t="shared" si="2462"/>
        <v>0</v>
      </c>
      <c r="DA719" s="326">
        <f t="shared" si="2463"/>
        <v>0</v>
      </c>
      <c r="DB719" s="327">
        <f t="shared" si="2464"/>
        <v>0</v>
      </c>
      <c r="DC719" s="327">
        <f t="shared" si="2465"/>
        <v>0</v>
      </c>
      <c r="DD719" s="327">
        <f t="shared" si="2466"/>
        <v>0</v>
      </c>
      <c r="DE719" s="326">
        <f t="shared" si="2467"/>
        <v>0</v>
      </c>
      <c r="DF719" s="326">
        <f t="shared" si="2468"/>
        <v>240</v>
      </c>
      <c r="DG719" s="326">
        <f t="shared" si="2469"/>
        <v>504</v>
      </c>
      <c r="DH719" s="326" t="str">
        <f t="shared" si="2470"/>
        <v/>
      </c>
      <c r="DI719" s="326" t="str">
        <f t="shared" si="2471"/>
        <v/>
      </c>
      <c r="DJ719" s="325" t="str">
        <f t="shared" si="2472"/>
        <v/>
      </c>
      <c r="DK719" s="324" t="str">
        <f t="shared" si="2473"/>
        <v/>
      </c>
      <c r="DL719" s="428">
        <f t="shared" si="2474"/>
        <v>9</v>
      </c>
      <c r="DM719" s="66">
        <f t="shared" si="2475"/>
        <v>9</v>
      </c>
      <c r="DN719" s="66">
        <f t="shared" si="2476"/>
        <v>9</v>
      </c>
      <c r="DO719" s="66">
        <f t="shared" si="2477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426"/>
        <v/>
      </c>
      <c r="CA720" s="373" t="str">
        <f t="shared" si="2427"/>
        <v/>
      </c>
      <c r="CB720" s="373" t="str">
        <f t="shared" si="2428"/>
        <v/>
      </c>
      <c r="CC720" s="462" t="str">
        <f t="shared" si="2429"/>
        <v/>
      </c>
      <c r="CD720" s="1109" t="str">
        <f t="shared" ref="CD720:CD726" si="248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0" t="str">
        <f t="shared" si="2479"/>
        <v/>
      </c>
      <c r="CF720" s="1111" t="str">
        <f t="shared" si="2479"/>
        <v/>
      </c>
      <c r="CG720" s="1111" t="str">
        <f t="shared" si="2479"/>
        <v/>
      </c>
      <c r="CH720" s="1111" t="str">
        <f t="shared" si="2479"/>
        <v/>
      </c>
      <c r="CI720" s="1111" t="str">
        <f t="shared" si="2479"/>
        <v/>
      </c>
      <c r="CJ720" s="1111" t="str">
        <f t="shared" si="2479"/>
        <v/>
      </c>
      <c r="CK720" s="1112" t="str">
        <f t="shared" si="2479"/>
        <v/>
      </c>
      <c r="CL720" s="1112" t="str">
        <f t="shared" si="2479"/>
        <v/>
      </c>
      <c r="CM720" s="1112" t="str">
        <f t="shared" si="2479"/>
        <v/>
      </c>
      <c r="CN720" s="1111" t="str">
        <f t="shared" si="2479"/>
        <v/>
      </c>
      <c r="CO720" s="1111" t="str">
        <f t="shared" si="2479"/>
        <v/>
      </c>
      <c r="CP720" s="1111" t="str">
        <f t="shared" si="2479"/>
        <v/>
      </c>
      <c r="CQ720" s="1111" t="str">
        <f t="shared" si="2479"/>
        <v/>
      </c>
      <c r="CR720" s="1111" t="str">
        <f t="shared" si="2479"/>
        <v/>
      </c>
      <c r="CS720" s="1110" t="str">
        <f t="shared" si="2479"/>
        <v/>
      </c>
      <c r="CT720" s="1113" t="str">
        <f t="shared" si="2479"/>
        <v/>
      </c>
      <c r="CU720" s="324" t="str">
        <f t="shared" si="2457"/>
        <v/>
      </c>
      <c r="CV720" s="325" t="str">
        <f t="shared" si="2458"/>
        <v/>
      </c>
      <c r="CW720" s="326" t="str">
        <f t="shared" si="2459"/>
        <v/>
      </c>
      <c r="CX720" s="326" t="str">
        <f t="shared" si="2460"/>
        <v/>
      </c>
      <c r="CY720" s="326" t="str">
        <f t="shared" si="2461"/>
        <v/>
      </c>
      <c r="CZ720" s="326" t="str">
        <f t="shared" si="2462"/>
        <v/>
      </c>
      <c r="DA720" s="326" t="str">
        <f t="shared" si="2463"/>
        <v/>
      </c>
      <c r="DB720" s="327" t="str">
        <f t="shared" si="2464"/>
        <v/>
      </c>
      <c r="DC720" s="327" t="str">
        <f t="shared" si="2465"/>
        <v/>
      </c>
      <c r="DD720" s="327" t="str">
        <f t="shared" si="2466"/>
        <v/>
      </c>
      <c r="DE720" s="326" t="str">
        <f t="shared" si="2467"/>
        <v/>
      </c>
      <c r="DF720" s="326" t="str">
        <f t="shared" si="2468"/>
        <v/>
      </c>
      <c r="DG720" s="326" t="str">
        <f t="shared" si="2469"/>
        <v/>
      </c>
      <c r="DH720" s="326" t="str">
        <f t="shared" si="2470"/>
        <v/>
      </c>
      <c r="DI720" s="326" t="str">
        <f t="shared" si="2471"/>
        <v/>
      </c>
      <c r="DJ720" s="325" t="str">
        <f t="shared" si="2472"/>
        <v/>
      </c>
      <c r="DK720" s="324" t="str">
        <f t="shared" si="2473"/>
        <v/>
      </c>
      <c r="DL720" s="428">
        <f t="shared" si="2474"/>
        <v>0</v>
      </c>
      <c r="DM720" s="66">
        <f t="shared" si="2475"/>
        <v>0</v>
      </c>
      <c r="DN720" s="66">
        <f t="shared" si="2476"/>
        <v>0</v>
      </c>
      <c r="DO720" s="66">
        <f t="shared" si="2477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426"/>
        <v/>
      </c>
      <c r="CA721" s="373" t="str">
        <f t="shared" si="2427"/>
        <v/>
      </c>
      <c r="CB721" s="373" t="str">
        <f t="shared" si="2428"/>
        <v/>
      </c>
      <c r="CC721" s="462" t="str">
        <f t="shared" si="2429"/>
        <v/>
      </c>
      <c r="CD721" s="1109" t="str">
        <f t="shared" si="2480"/>
        <v/>
      </c>
      <c r="CE721" s="1110" t="str">
        <f t="shared" si="2479"/>
        <v/>
      </c>
      <c r="CF721" s="1111" t="str">
        <f t="shared" si="2479"/>
        <v/>
      </c>
      <c r="CG721" s="1111" t="str">
        <f t="shared" si="2479"/>
        <v/>
      </c>
      <c r="CH721" s="1111" t="str">
        <f t="shared" si="2479"/>
        <v/>
      </c>
      <c r="CI721" s="1111" t="str">
        <f t="shared" si="2479"/>
        <v/>
      </c>
      <c r="CJ721" s="1111" t="str">
        <f t="shared" si="2479"/>
        <v/>
      </c>
      <c r="CK721" s="1112" t="str">
        <f t="shared" si="2479"/>
        <v/>
      </c>
      <c r="CL721" s="1112" t="str">
        <f t="shared" si="2479"/>
        <v/>
      </c>
      <c r="CM721" s="1112" t="str">
        <f t="shared" si="2479"/>
        <v/>
      </c>
      <c r="CN721" s="1111" t="str">
        <f t="shared" si="2479"/>
        <v/>
      </c>
      <c r="CO721" s="1111" t="str">
        <f t="shared" si="2479"/>
        <v/>
      </c>
      <c r="CP721" s="1111" t="str">
        <f t="shared" si="2479"/>
        <v/>
      </c>
      <c r="CQ721" s="1111" t="str">
        <f t="shared" si="2479"/>
        <v/>
      </c>
      <c r="CR721" s="1111" t="str">
        <f t="shared" si="2479"/>
        <v/>
      </c>
      <c r="CS721" s="1110" t="str">
        <f t="shared" si="2479"/>
        <v/>
      </c>
      <c r="CT721" s="1113" t="str">
        <f t="shared" si="2479"/>
        <v/>
      </c>
      <c r="CU721" s="324" t="str">
        <f t="shared" si="2457"/>
        <v/>
      </c>
      <c r="CV721" s="325" t="str">
        <f t="shared" si="2458"/>
        <v/>
      </c>
      <c r="CW721" s="326" t="str">
        <f t="shared" si="2459"/>
        <v/>
      </c>
      <c r="CX721" s="326" t="str">
        <f t="shared" si="2460"/>
        <v/>
      </c>
      <c r="CY721" s="326" t="str">
        <f t="shared" si="2461"/>
        <v/>
      </c>
      <c r="CZ721" s="326" t="str">
        <f t="shared" si="2462"/>
        <v/>
      </c>
      <c r="DA721" s="326" t="str">
        <f t="shared" si="2463"/>
        <v/>
      </c>
      <c r="DB721" s="327" t="str">
        <f t="shared" si="2464"/>
        <v/>
      </c>
      <c r="DC721" s="327" t="str">
        <f t="shared" si="2465"/>
        <v/>
      </c>
      <c r="DD721" s="327" t="str">
        <f t="shared" si="2466"/>
        <v/>
      </c>
      <c r="DE721" s="326" t="str">
        <f t="shared" si="2467"/>
        <v/>
      </c>
      <c r="DF721" s="326" t="str">
        <f t="shared" si="2468"/>
        <v/>
      </c>
      <c r="DG721" s="326" t="str">
        <f t="shared" si="2469"/>
        <v/>
      </c>
      <c r="DH721" s="326" t="str">
        <f t="shared" si="2470"/>
        <v/>
      </c>
      <c r="DI721" s="326" t="str">
        <f t="shared" si="2471"/>
        <v/>
      </c>
      <c r="DJ721" s="325" t="str">
        <f t="shared" si="2472"/>
        <v/>
      </c>
      <c r="DK721" s="324" t="str">
        <f t="shared" si="2473"/>
        <v/>
      </c>
      <c r="DL721" s="428">
        <f t="shared" si="2474"/>
        <v>0</v>
      </c>
      <c r="DM721" s="66">
        <f t="shared" si="2475"/>
        <v>0</v>
      </c>
      <c r="DN721" s="66">
        <f t="shared" si="2476"/>
        <v>0</v>
      </c>
      <c r="DO721" s="66">
        <f t="shared" si="2477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426"/>
        <v/>
      </c>
      <c r="CA722" s="373" t="str">
        <f t="shared" si="2427"/>
        <v/>
      </c>
      <c r="CB722" s="373" t="str">
        <f t="shared" si="2428"/>
        <v/>
      </c>
      <c r="CC722" s="462" t="str">
        <f t="shared" si="2429"/>
        <v/>
      </c>
      <c r="CD722" s="1109" t="str">
        <f t="shared" si="2480"/>
        <v/>
      </c>
      <c r="CE722" s="1110" t="str">
        <f t="shared" si="2479"/>
        <v/>
      </c>
      <c r="CF722" s="1111" t="str">
        <f t="shared" si="2479"/>
        <v/>
      </c>
      <c r="CG722" s="1111" t="str">
        <f t="shared" si="2479"/>
        <v/>
      </c>
      <c r="CH722" s="1111" t="str">
        <f t="shared" si="2479"/>
        <v/>
      </c>
      <c r="CI722" s="1111" t="str">
        <f t="shared" si="2479"/>
        <v/>
      </c>
      <c r="CJ722" s="1111" t="str">
        <f t="shared" si="2479"/>
        <v/>
      </c>
      <c r="CK722" s="1112" t="str">
        <f t="shared" si="2479"/>
        <v/>
      </c>
      <c r="CL722" s="1112" t="str">
        <f t="shared" si="2479"/>
        <v/>
      </c>
      <c r="CM722" s="1112" t="str">
        <f t="shared" si="2479"/>
        <v/>
      </c>
      <c r="CN722" s="1111" t="str">
        <f t="shared" si="2479"/>
        <v/>
      </c>
      <c r="CO722" s="1111" t="str">
        <f t="shared" si="2479"/>
        <v/>
      </c>
      <c r="CP722" s="1111" t="str">
        <f t="shared" si="2479"/>
        <v/>
      </c>
      <c r="CQ722" s="1111" t="str">
        <f t="shared" si="2479"/>
        <v/>
      </c>
      <c r="CR722" s="1111" t="str">
        <f t="shared" si="2479"/>
        <v/>
      </c>
      <c r="CS722" s="1110" t="str">
        <f t="shared" si="2479"/>
        <v/>
      </c>
      <c r="CT722" s="1113" t="str">
        <f t="shared" si="2479"/>
        <v/>
      </c>
      <c r="CU722" s="324" t="str">
        <f t="shared" si="2457"/>
        <v/>
      </c>
      <c r="CV722" s="325" t="str">
        <f t="shared" si="2458"/>
        <v/>
      </c>
      <c r="CW722" s="326" t="str">
        <f t="shared" si="2459"/>
        <v/>
      </c>
      <c r="CX722" s="326" t="str">
        <f t="shared" si="2460"/>
        <v/>
      </c>
      <c r="CY722" s="326" t="str">
        <f t="shared" si="2461"/>
        <v/>
      </c>
      <c r="CZ722" s="326" t="str">
        <f t="shared" si="2462"/>
        <v/>
      </c>
      <c r="DA722" s="326" t="str">
        <f t="shared" si="2463"/>
        <v/>
      </c>
      <c r="DB722" s="327" t="str">
        <f t="shared" si="2464"/>
        <v/>
      </c>
      <c r="DC722" s="327" t="str">
        <f t="shared" si="2465"/>
        <v/>
      </c>
      <c r="DD722" s="327" t="str">
        <f t="shared" si="2466"/>
        <v/>
      </c>
      <c r="DE722" s="326" t="str">
        <f t="shared" si="2467"/>
        <v/>
      </c>
      <c r="DF722" s="326" t="str">
        <f t="shared" si="2468"/>
        <v/>
      </c>
      <c r="DG722" s="326" t="str">
        <f t="shared" si="2469"/>
        <v/>
      </c>
      <c r="DH722" s="326" t="str">
        <f t="shared" si="2470"/>
        <v/>
      </c>
      <c r="DI722" s="326" t="str">
        <f t="shared" si="2471"/>
        <v/>
      </c>
      <c r="DJ722" s="325" t="str">
        <f t="shared" si="2472"/>
        <v/>
      </c>
      <c r="DK722" s="324" t="str">
        <f t="shared" si="2473"/>
        <v/>
      </c>
      <c r="DL722" s="428">
        <f t="shared" si="2474"/>
        <v>0</v>
      </c>
      <c r="DM722" s="66">
        <f t="shared" si="2475"/>
        <v>0</v>
      </c>
      <c r="DN722" s="66">
        <f t="shared" si="2476"/>
        <v>0</v>
      </c>
      <c r="DO722" s="66">
        <f t="shared" si="2477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481">IF(B720="","",B720*B721*B722)</f>
        <v/>
      </c>
      <c r="C723" s="382" t="str">
        <f t="shared" si="2481"/>
        <v/>
      </c>
      <c r="D723" s="382" t="str">
        <f t="shared" si="2481"/>
        <v/>
      </c>
      <c r="E723" s="382" t="str">
        <f t="shared" si="2481"/>
        <v/>
      </c>
      <c r="F723" s="382" t="str">
        <f t="shared" si="2481"/>
        <v/>
      </c>
      <c r="G723" s="382" t="str">
        <f t="shared" si="2481"/>
        <v/>
      </c>
      <c r="H723" s="382" t="str">
        <f t="shared" si="2481"/>
        <v/>
      </c>
      <c r="I723" s="382" t="str">
        <f t="shared" si="2481"/>
        <v/>
      </c>
      <c r="J723" s="382" t="str">
        <f t="shared" si="2481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482">IF(T720="","",T720*T721*T722)</f>
        <v/>
      </c>
      <c r="U723" s="382" t="str">
        <f t="shared" si="2482"/>
        <v/>
      </c>
      <c r="V723" s="382" t="str">
        <f t="shared" si="2482"/>
        <v/>
      </c>
      <c r="W723" s="382" t="str">
        <f t="shared" si="2482"/>
        <v/>
      </c>
      <c r="X723" s="382" t="str">
        <f t="shared" si="2482"/>
        <v/>
      </c>
      <c r="Y723" s="382" t="str">
        <f t="shared" si="2482"/>
        <v/>
      </c>
      <c r="Z723" s="382" t="str">
        <f t="shared" si="2482"/>
        <v/>
      </c>
      <c r="AA723" s="382" t="str">
        <f t="shared" si="2482"/>
        <v/>
      </c>
      <c r="AB723" s="382" t="str">
        <f t="shared" si="2482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483">IF(AL720="","",AL720*AL721*AL722)</f>
        <v/>
      </c>
      <c r="AM723" s="382" t="str">
        <f t="shared" si="2483"/>
        <v/>
      </c>
      <c r="AN723" s="382" t="str">
        <f t="shared" si="2483"/>
        <v/>
      </c>
      <c r="AO723" s="382" t="str">
        <f t="shared" si="2483"/>
        <v/>
      </c>
      <c r="AP723" s="382" t="str">
        <f t="shared" si="2483"/>
        <v/>
      </c>
      <c r="AQ723" s="382" t="str">
        <f t="shared" si="2483"/>
        <v/>
      </c>
      <c r="AR723" s="382" t="str">
        <f t="shared" si="2483"/>
        <v/>
      </c>
      <c r="AS723" s="382" t="str">
        <f t="shared" si="2483"/>
        <v/>
      </c>
      <c r="AT723" s="382" t="str">
        <f t="shared" si="2483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484">IF(BD720="","",BD720*BD721*BD722)</f>
        <v/>
      </c>
      <c r="BE723" s="382" t="str">
        <f t="shared" si="2484"/>
        <v/>
      </c>
      <c r="BF723" s="382" t="str">
        <f t="shared" si="2484"/>
        <v/>
      </c>
      <c r="BG723" s="382" t="str">
        <f t="shared" si="2484"/>
        <v/>
      </c>
      <c r="BH723" s="382" t="str">
        <f t="shared" si="2484"/>
        <v/>
      </c>
      <c r="BI723" s="382" t="str">
        <f t="shared" si="2484"/>
        <v/>
      </c>
      <c r="BJ723" s="382" t="str">
        <f t="shared" si="2484"/>
        <v/>
      </c>
      <c r="BK723" s="382" t="str">
        <f t="shared" si="2484"/>
        <v/>
      </c>
      <c r="BL723" s="382" t="str">
        <f t="shared" si="2484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426"/>
        <v/>
      </c>
      <c r="CA723" s="373" t="str">
        <f t="shared" si="2427"/>
        <v/>
      </c>
      <c r="CB723" s="373" t="str">
        <f t="shared" si="2428"/>
        <v/>
      </c>
      <c r="CC723" s="462" t="str">
        <f t="shared" si="2429"/>
        <v/>
      </c>
      <c r="CD723" s="1109" t="str">
        <f t="shared" si="2480"/>
        <v/>
      </c>
      <c r="CE723" s="1110" t="str">
        <f t="shared" si="2479"/>
        <v/>
      </c>
      <c r="CF723" s="1111" t="str">
        <f t="shared" si="2479"/>
        <v/>
      </c>
      <c r="CG723" s="1111" t="str">
        <f t="shared" si="2479"/>
        <v/>
      </c>
      <c r="CH723" s="1111" t="str">
        <f t="shared" si="2479"/>
        <v/>
      </c>
      <c r="CI723" s="1111" t="str">
        <f t="shared" si="2479"/>
        <v/>
      </c>
      <c r="CJ723" s="1111" t="str">
        <f t="shared" si="2479"/>
        <v/>
      </c>
      <c r="CK723" s="1112" t="str">
        <f t="shared" si="2479"/>
        <v/>
      </c>
      <c r="CL723" s="1112" t="str">
        <f t="shared" si="2479"/>
        <v/>
      </c>
      <c r="CM723" s="1112" t="str">
        <f t="shared" si="2479"/>
        <v/>
      </c>
      <c r="CN723" s="1111" t="str">
        <f t="shared" si="2479"/>
        <v/>
      </c>
      <c r="CO723" s="1111" t="str">
        <f t="shared" si="2479"/>
        <v/>
      </c>
      <c r="CP723" s="1111" t="str">
        <f t="shared" si="2479"/>
        <v/>
      </c>
      <c r="CQ723" s="1111" t="str">
        <f t="shared" si="2479"/>
        <v/>
      </c>
      <c r="CR723" s="1111" t="str">
        <f t="shared" si="2479"/>
        <v/>
      </c>
      <c r="CS723" s="1110" t="str">
        <f t="shared" si="2479"/>
        <v/>
      </c>
      <c r="CT723" s="1113" t="str">
        <f t="shared" si="2479"/>
        <v/>
      </c>
      <c r="CU723" s="324" t="str">
        <f t="shared" si="2457"/>
        <v/>
      </c>
      <c r="CV723" s="325" t="str">
        <f t="shared" si="2458"/>
        <v/>
      </c>
      <c r="CW723" s="326" t="str">
        <f t="shared" si="2459"/>
        <v/>
      </c>
      <c r="CX723" s="326" t="str">
        <f t="shared" si="2460"/>
        <v/>
      </c>
      <c r="CY723" s="326" t="str">
        <f t="shared" si="2461"/>
        <v/>
      </c>
      <c r="CZ723" s="326" t="str">
        <f t="shared" si="2462"/>
        <v/>
      </c>
      <c r="DA723" s="326" t="str">
        <f t="shared" si="2463"/>
        <v/>
      </c>
      <c r="DB723" s="327" t="str">
        <f t="shared" si="2464"/>
        <v/>
      </c>
      <c r="DC723" s="327" t="str">
        <f t="shared" si="2465"/>
        <v/>
      </c>
      <c r="DD723" s="327" t="str">
        <f t="shared" si="2466"/>
        <v/>
      </c>
      <c r="DE723" s="326" t="str">
        <f t="shared" si="2467"/>
        <v/>
      </c>
      <c r="DF723" s="326" t="str">
        <f t="shared" si="2468"/>
        <v/>
      </c>
      <c r="DG723" s="326" t="str">
        <f t="shared" si="2469"/>
        <v/>
      </c>
      <c r="DH723" s="326" t="str">
        <f t="shared" si="2470"/>
        <v/>
      </c>
      <c r="DI723" s="326" t="str">
        <f t="shared" si="2471"/>
        <v/>
      </c>
      <c r="DJ723" s="325" t="str">
        <f t="shared" si="2472"/>
        <v/>
      </c>
      <c r="DK723" s="324" t="str">
        <f t="shared" si="2473"/>
        <v/>
      </c>
      <c r="DL723" s="428">
        <f t="shared" si="2474"/>
        <v>0</v>
      </c>
      <c r="DM723" s="66">
        <f t="shared" si="2475"/>
        <v>0</v>
      </c>
      <c r="DN723" s="66">
        <f t="shared" si="2476"/>
        <v>0</v>
      </c>
      <c r="DO723" s="66">
        <f t="shared" si="2477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426"/>
        <v/>
      </c>
      <c r="CA724" s="373" t="str">
        <f t="shared" si="2427"/>
        <v/>
      </c>
      <c r="CB724" s="373" t="str">
        <f t="shared" si="2428"/>
        <v/>
      </c>
      <c r="CC724" s="462" t="str">
        <f t="shared" si="2429"/>
        <v/>
      </c>
      <c r="CD724" s="1109" t="str">
        <f t="shared" si="2480"/>
        <v/>
      </c>
      <c r="CE724" s="1110" t="str">
        <f t="shared" si="2479"/>
        <v/>
      </c>
      <c r="CF724" s="1111" t="str">
        <f t="shared" si="2479"/>
        <v/>
      </c>
      <c r="CG724" s="1111" t="str">
        <f t="shared" si="2479"/>
        <v/>
      </c>
      <c r="CH724" s="1111" t="str">
        <f t="shared" si="2479"/>
        <v/>
      </c>
      <c r="CI724" s="1111" t="str">
        <f t="shared" si="2479"/>
        <v/>
      </c>
      <c r="CJ724" s="1111" t="str">
        <f t="shared" si="2479"/>
        <v/>
      </c>
      <c r="CK724" s="1112" t="str">
        <f t="shared" si="2479"/>
        <v/>
      </c>
      <c r="CL724" s="1112" t="str">
        <f t="shared" si="2479"/>
        <v/>
      </c>
      <c r="CM724" s="1112" t="str">
        <f t="shared" si="2479"/>
        <v/>
      </c>
      <c r="CN724" s="1111" t="str">
        <f t="shared" si="2479"/>
        <v/>
      </c>
      <c r="CO724" s="1111" t="str">
        <f t="shared" si="2479"/>
        <v/>
      </c>
      <c r="CP724" s="1111" t="str">
        <f t="shared" si="2479"/>
        <v/>
      </c>
      <c r="CQ724" s="1111" t="str">
        <f t="shared" si="2479"/>
        <v/>
      </c>
      <c r="CR724" s="1111" t="str">
        <f t="shared" si="2479"/>
        <v/>
      </c>
      <c r="CS724" s="1110" t="str">
        <f t="shared" si="2479"/>
        <v/>
      </c>
      <c r="CT724" s="1113" t="str">
        <f t="shared" si="2479"/>
        <v/>
      </c>
      <c r="CU724" s="324" t="str">
        <f t="shared" si="2457"/>
        <v/>
      </c>
      <c r="CV724" s="325" t="str">
        <f t="shared" si="2458"/>
        <v/>
      </c>
      <c r="CW724" s="326" t="str">
        <f t="shared" si="2459"/>
        <v/>
      </c>
      <c r="CX724" s="326" t="str">
        <f t="shared" si="2460"/>
        <v/>
      </c>
      <c r="CY724" s="326" t="str">
        <f t="shared" si="2461"/>
        <v/>
      </c>
      <c r="CZ724" s="326" t="str">
        <f t="shared" si="2462"/>
        <v/>
      </c>
      <c r="DA724" s="326" t="str">
        <f t="shared" si="2463"/>
        <v/>
      </c>
      <c r="DB724" s="327" t="str">
        <f t="shared" si="2464"/>
        <v/>
      </c>
      <c r="DC724" s="327" t="str">
        <f t="shared" si="2465"/>
        <v/>
      </c>
      <c r="DD724" s="327" t="str">
        <f t="shared" si="2466"/>
        <v/>
      </c>
      <c r="DE724" s="326" t="str">
        <f t="shared" si="2467"/>
        <v/>
      </c>
      <c r="DF724" s="326" t="str">
        <f t="shared" si="2468"/>
        <v/>
      </c>
      <c r="DG724" s="326" t="str">
        <f t="shared" si="2469"/>
        <v/>
      </c>
      <c r="DH724" s="326" t="str">
        <f t="shared" si="2470"/>
        <v/>
      </c>
      <c r="DI724" s="326" t="str">
        <f t="shared" si="2471"/>
        <v/>
      </c>
      <c r="DJ724" s="325" t="str">
        <f t="shared" si="2472"/>
        <v/>
      </c>
      <c r="DK724" s="324" t="str">
        <f t="shared" si="2473"/>
        <v/>
      </c>
      <c r="DL724" s="428">
        <f t="shared" si="2474"/>
        <v>0</v>
      </c>
      <c r="DM724" s="66">
        <f t="shared" si="2475"/>
        <v>0</v>
      </c>
      <c r="DN724" s="66">
        <f t="shared" si="2476"/>
        <v>0</v>
      </c>
      <c r="DO724" s="66">
        <f t="shared" si="2477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426"/>
        <v/>
      </c>
      <c r="CA725" s="373" t="str">
        <f t="shared" si="2427"/>
        <v/>
      </c>
      <c r="CB725" s="373" t="str">
        <f t="shared" si="2428"/>
        <v/>
      </c>
      <c r="CC725" s="462" t="str">
        <f t="shared" si="2429"/>
        <v/>
      </c>
      <c r="CD725" s="1109" t="str">
        <f t="shared" si="2480"/>
        <v/>
      </c>
      <c r="CE725" s="1110" t="str">
        <f t="shared" si="2479"/>
        <v/>
      </c>
      <c r="CF725" s="1111" t="str">
        <f t="shared" si="2479"/>
        <v/>
      </c>
      <c r="CG725" s="1111" t="str">
        <f t="shared" si="2479"/>
        <v/>
      </c>
      <c r="CH725" s="1111" t="str">
        <f t="shared" si="2479"/>
        <v/>
      </c>
      <c r="CI725" s="1111" t="str">
        <f t="shared" si="2479"/>
        <v/>
      </c>
      <c r="CJ725" s="1111" t="str">
        <f t="shared" si="2479"/>
        <v/>
      </c>
      <c r="CK725" s="1112" t="str">
        <f t="shared" si="2479"/>
        <v/>
      </c>
      <c r="CL725" s="1112" t="str">
        <f t="shared" si="2479"/>
        <v/>
      </c>
      <c r="CM725" s="1112" t="str">
        <f t="shared" si="2479"/>
        <v/>
      </c>
      <c r="CN725" s="1111" t="str">
        <f t="shared" si="2479"/>
        <v/>
      </c>
      <c r="CO725" s="1111" t="str">
        <f t="shared" si="2479"/>
        <v/>
      </c>
      <c r="CP725" s="1111" t="str">
        <f t="shared" si="2479"/>
        <v/>
      </c>
      <c r="CQ725" s="1111" t="str">
        <f t="shared" si="2479"/>
        <v/>
      </c>
      <c r="CR725" s="1111" t="str">
        <f t="shared" si="2479"/>
        <v/>
      </c>
      <c r="CS725" s="1110" t="str">
        <f t="shared" si="2479"/>
        <v/>
      </c>
      <c r="CT725" s="1113" t="str">
        <f t="shared" si="2479"/>
        <v/>
      </c>
      <c r="CU725" s="324" t="str">
        <f t="shared" si="2457"/>
        <v/>
      </c>
      <c r="CV725" s="325" t="str">
        <f t="shared" si="2458"/>
        <v/>
      </c>
      <c r="CW725" s="326" t="str">
        <f t="shared" si="2459"/>
        <v/>
      </c>
      <c r="CX725" s="326" t="str">
        <f t="shared" si="2460"/>
        <v/>
      </c>
      <c r="CY725" s="326" t="str">
        <f t="shared" si="2461"/>
        <v/>
      </c>
      <c r="CZ725" s="326" t="str">
        <f t="shared" si="2462"/>
        <v/>
      </c>
      <c r="DA725" s="326" t="str">
        <f t="shared" si="2463"/>
        <v/>
      </c>
      <c r="DB725" s="327" t="str">
        <f t="shared" si="2464"/>
        <v/>
      </c>
      <c r="DC725" s="327" t="str">
        <f t="shared" si="2465"/>
        <v/>
      </c>
      <c r="DD725" s="327" t="str">
        <f t="shared" si="2466"/>
        <v/>
      </c>
      <c r="DE725" s="326" t="str">
        <f t="shared" si="2467"/>
        <v/>
      </c>
      <c r="DF725" s="326" t="str">
        <f t="shared" si="2468"/>
        <v/>
      </c>
      <c r="DG725" s="326" t="str">
        <f t="shared" si="2469"/>
        <v/>
      </c>
      <c r="DH725" s="326" t="str">
        <f t="shared" si="2470"/>
        <v/>
      </c>
      <c r="DI725" s="326" t="str">
        <f t="shared" si="2471"/>
        <v/>
      </c>
      <c r="DJ725" s="325" t="str">
        <f t="shared" si="2472"/>
        <v/>
      </c>
      <c r="DK725" s="324" t="str">
        <f t="shared" si="2473"/>
        <v/>
      </c>
      <c r="DL725" s="428">
        <f t="shared" si="2474"/>
        <v>0</v>
      </c>
      <c r="DM725" s="66">
        <f t="shared" si="2475"/>
        <v>0</v>
      </c>
      <c r="DN725" s="66">
        <f t="shared" si="2476"/>
        <v>0</v>
      </c>
      <c r="DO725" s="66">
        <f t="shared" si="2477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485">IF(B724="","",B724*B725)</f>
        <v/>
      </c>
      <c r="C726" s="383" t="str">
        <f t="shared" si="2485"/>
        <v/>
      </c>
      <c r="D726" s="383" t="str">
        <f t="shared" si="2485"/>
        <v/>
      </c>
      <c r="E726" s="383" t="str">
        <f t="shared" si="2485"/>
        <v/>
      </c>
      <c r="F726" s="383" t="str">
        <f t="shared" si="2485"/>
        <v/>
      </c>
      <c r="G726" s="383" t="str">
        <f t="shared" si="2485"/>
        <v/>
      </c>
      <c r="H726" s="383" t="str">
        <f t="shared" si="2485"/>
        <v/>
      </c>
      <c r="I726" s="383" t="str">
        <f t="shared" si="2485"/>
        <v/>
      </c>
      <c r="J726" s="383" t="str">
        <f t="shared" si="2485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486">IF(T724="","",T724*T725)</f>
        <v/>
      </c>
      <c r="U726" s="383" t="str">
        <f t="shared" si="2486"/>
        <v/>
      </c>
      <c r="V726" s="383" t="str">
        <f t="shared" si="2486"/>
        <v/>
      </c>
      <c r="W726" s="383" t="str">
        <f t="shared" si="2486"/>
        <v/>
      </c>
      <c r="X726" s="383" t="str">
        <f t="shared" si="2486"/>
        <v/>
      </c>
      <c r="Y726" s="383" t="str">
        <f t="shared" si="2486"/>
        <v/>
      </c>
      <c r="Z726" s="383" t="str">
        <f t="shared" si="2486"/>
        <v/>
      </c>
      <c r="AA726" s="383" t="str">
        <f t="shared" si="2486"/>
        <v/>
      </c>
      <c r="AB726" s="383" t="str">
        <f t="shared" si="2486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487">IF(AL724="","",AL724*AL725)</f>
        <v/>
      </c>
      <c r="AM726" s="383" t="str">
        <f t="shared" si="2487"/>
        <v/>
      </c>
      <c r="AN726" s="383" t="str">
        <f t="shared" si="2487"/>
        <v/>
      </c>
      <c r="AO726" s="383" t="str">
        <f t="shared" si="2487"/>
        <v/>
      </c>
      <c r="AP726" s="383" t="str">
        <f t="shared" si="2487"/>
        <v/>
      </c>
      <c r="AQ726" s="383" t="str">
        <f t="shared" si="2487"/>
        <v/>
      </c>
      <c r="AR726" s="383" t="str">
        <f t="shared" si="2487"/>
        <v/>
      </c>
      <c r="AS726" s="383" t="str">
        <f t="shared" si="2487"/>
        <v/>
      </c>
      <c r="AT726" s="383" t="str">
        <f t="shared" si="2487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488">IF(BD724="","",BD724*BD725)</f>
        <v/>
      </c>
      <c r="BE726" s="383" t="str">
        <f t="shared" si="2488"/>
        <v/>
      </c>
      <c r="BF726" s="383" t="str">
        <f t="shared" si="2488"/>
        <v/>
      </c>
      <c r="BG726" s="383" t="str">
        <f t="shared" si="2488"/>
        <v/>
      </c>
      <c r="BH726" s="383" t="str">
        <f t="shared" si="2488"/>
        <v/>
      </c>
      <c r="BI726" s="383" t="str">
        <f t="shared" si="2488"/>
        <v/>
      </c>
      <c r="BJ726" s="383" t="str">
        <f t="shared" si="2488"/>
        <v/>
      </c>
      <c r="BK726" s="383" t="str">
        <f t="shared" si="2488"/>
        <v/>
      </c>
      <c r="BL726" s="383" t="str">
        <f t="shared" si="2488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426"/>
        <v/>
      </c>
      <c r="CA726" s="373" t="str">
        <f t="shared" si="2427"/>
        <v/>
      </c>
      <c r="CB726" s="373" t="str">
        <f t="shared" si="2428"/>
        <v/>
      </c>
      <c r="CC726" s="462" t="str">
        <f t="shared" si="2429"/>
        <v/>
      </c>
      <c r="CD726" s="1109" t="str">
        <f t="shared" si="2480"/>
        <v/>
      </c>
      <c r="CE726" s="1110" t="str">
        <f t="shared" si="2479"/>
        <v/>
      </c>
      <c r="CF726" s="1111" t="str">
        <f t="shared" si="2479"/>
        <v/>
      </c>
      <c r="CG726" s="1111" t="str">
        <f t="shared" si="2479"/>
        <v/>
      </c>
      <c r="CH726" s="1111" t="str">
        <f t="shared" si="2479"/>
        <v/>
      </c>
      <c r="CI726" s="1111" t="str">
        <f t="shared" si="2479"/>
        <v/>
      </c>
      <c r="CJ726" s="1111" t="str">
        <f t="shared" si="2479"/>
        <v/>
      </c>
      <c r="CK726" s="1112" t="str">
        <f t="shared" si="2479"/>
        <v/>
      </c>
      <c r="CL726" s="1112" t="str">
        <f t="shared" si="2479"/>
        <v/>
      </c>
      <c r="CM726" s="1112" t="str">
        <f t="shared" si="2479"/>
        <v/>
      </c>
      <c r="CN726" s="1111" t="str">
        <f t="shared" si="2479"/>
        <v/>
      </c>
      <c r="CO726" s="1111" t="str">
        <f t="shared" si="2479"/>
        <v/>
      </c>
      <c r="CP726" s="1111" t="str">
        <f t="shared" si="2479"/>
        <v/>
      </c>
      <c r="CQ726" s="1111" t="str">
        <f t="shared" si="2479"/>
        <v/>
      </c>
      <c r="CR726" s="1111" t="str">
        <f t="shared" si="2479"/>
        <v/>
      </c>
      <c r="CS726" s="1110" t="str">
        <f t="shared" si="2479"/>
        <v/>
      </c>
      <c r="CT726" s="1113" t="str">
        <f t="shared" si="2479"/>
        <v/>
      </c>
      <c r="CU726" s="324" t="str">
        <f t="shared" si="2457"/>
        <v/>
      </c>
      <c r="CV726" s="325" t="str">
        <f t="shared" si="2458"/>
        <v/>
      </c>
      <c r="CW726" s="326" t="str">
        <f t="shared" si="2459"/>
        <v/>
      </c>
      <c r="CX726" s="326" t="str">
        <f t="shared" si="2460"/>
        <v/>
      </c>
      <c r="CY726" s="326" t="str">
        <f t="shared" si="2461"/>
        <v/>
      </c>
      <c r="CZ726" s="326" t="str">
        <f t="shared" si="2462"/>
        <v/>
      </c>
      <c r="DA726" s="326" t="str">
        <f t="shared" si="2463"/>
        <v/>
      </c>
      <c r="DB726" s="327" t="str">
        <f t="shared" si="2464"/>
        <v/>
      </c>
      <c r="DC726" s="327" t="str">
        <f t="shared" si="2465"/>
        <v/>
      </c>
      <c r="DD726" s="327" t="str">
        <f t="shared" si="2466"/>
        <v/>
      </c>
      <c r="DE726" s="326" t="str">
        <f t="shared" si="2467"/>
        <v/>
      </c>
      <c r="DF726" s="326" t="str">
        <f t="shared" si="2468"/>
        <v/>
      </c>
      <c r="DG726" s="326" t="str">
        <f t="shared" si="2469"/>
        <v/>
      </c>
      <c r="DH726" s="326" t="str">
        <f t="shared" si="2470"/>
        <v/>
      </c>
      <c r="DI726" s="326" t="str">
        <f t="shared" si="2471"/>
        <v/>
      </c>
      <c r="DJ726" s="325" t="str">
        <f t="shared" si="2472"/>
        <v/>
      </c>
      <c r="DK726" s="324" t="str">
        <f t="shared" si="2473"/>
        <v/>
      </c>
      <c r="DL726" s="428">
        <f t="shared" si="2474"/>
        <v>0</v>
      </c>
      <c r="DM726" s="66">
        <f t="shared" si="2475"/>
        <v>0</v>
      </c>
      <c r="DN726" s="66">
        <f t="shared" si="2476"/>
        <v>0</v>
      </c>
      <c r="DO726" s="66">
        <f t="shared" si="2477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426"/>
        <v/>
      </c>
      <c r="CA727" s="373" t="str">
        <f t="shared" si="2427"/>
        <v/>
      </c>
      <c r="CB727" s="373" t="str">
        <f t="shared" si="2428"/>
        <v/>
      </c>
      <c r="CC727" s="462" t="str">
        <f t="shared" si="2429"/>
        <v/>
      </c>
      <c r="CD727" s="1109" t="str">
        <f t="shared" si="2440"/>
        <v/>
      </c>
      <c r="CE727" s="1110" t="str">
        <f t="shared" si="2441"/>
        <v/>
      </c>
      <c r="CF727" s="1111" t="str">
        <f t="shared" si="2442"/>
        <v/>
      </c>
      <c r="CG727" s="1111" t="str">
        <f t="shared" si="2443"/>
        <v/>
      </c>
      <c r="CH727" s="1111" t="str">
        <f t="shared" si="2444"/>
        <v/>
      </c>
      <c r="CI727" s="1111" t="str">
        <f t="shared" si="2445"/>
        <v/>
      </c>
      <c r="CJ727" s="1111" t="str">
        <f t="shared" si="2446"/>
        <v/>
      </c>
      <c r="CK727" s="1112" t="str">
        <f t="shared" si="2447"/>
        <v/>
      </c>
      <c r="CL727" s="1112" t="str">
        <f t="shared" si="2448"/>
        <v/>
      </c>
      <c r="CM727" s="1112" t="str">
        <f t="shared" si="2449"/>
        <v/>
      </c>
      <c r="CN727" s="1111" t="str">
        <f t="shared" si="2450"/>
        <v/>
      </c>
      <c r="CO727" s="1111" t="str">
        <f t="shared" si="2451"/>
        <v/>
      </c>
      <c r="CP727" s="1111" t="str">
        <f t="shared" si="2452"/>
        <v/>
      </c>
      <c r="CQ727" s="1111" t="str">
        <f t="shared" si="2453"/>
        <v/>
      </c>
      <c r="CR727" s="1111" t="str">
        <f t="shared" si="2454"/>
        <v/>
      </c>
      <c r="CS727" s="1110" t="str">
        <f t="shared" si="2455"/>
        <v/>
      </c>
      <c r="CT727" s="1113" t="str">
        <f t="shared" si="2456"/>
        <v/>
      </c>
      <c r="CU727" s="324" t="str">
        <f t="shared" si="2457"/>
        <v/>
      </c>
      <c r="CV727" s="325" t="str">
        <f t="shared" si="2458"/>
        <v/>
      </c>
      <c r="CW727" s="326" t="str">
        <f t="shared" si="2459"/>
        <v/>
      </c>
      <c r="CX727" s="326" t="str">
        <f t="shared" si="2460"/>
        <v/>
      </c>
      <c r="CY727" s="326" t="str">
        <f t="shared" si="2461"/>
        <v/>
      </c>
      <c r="CZ727" s="326" t="str">
        <f t="shared" si="2462"/>
        <v/>
      </c>
      <c r="DA727" s="326" t="str">
        <f t="shared" si="2463"/>
        <v/>
      </c>
      <c r="DB727" s="327" t="str">
        <f t="shared" si="2464"/>
        <v/>
      </c>
      <c r="DC727" s="327" t="str">
        <f t="shared" si="2465"/>
        <v/>
      </c>
      <c r="DD727" s="327" t="str">
        <f t="shared" si="2466"/>
        <v/>
      </c>
      <c r="DE727" s="326" t="str">
        <f t="shared" si="2467"/>
        <v/>
      </c>
      <c r="DF727" s="326" t="str">
        <f t="shared" si="2468"/>
        <v/>
      </c>
      <c r="DG727" s="326" t="str">
        <f t="shared" si="2469"/>
        <v/>
      </c>
      <c r="DH727" s="326" t="str">
        <f t="shared" si="2470"/>
        <v/>
      </c>
      <c r="DI727" s="326" t="str">
        <f t="shared" si="2471"/>
        <v/>
      </c>
      <c r="DJ727" s="325" t="str">
        <f t="shared" si="2472"/>
        <v/>
      </c>
      <c r="DK727" s="324" t="str">
        <f t="shared" si="2473"/>
        <v/>
      </c>
      <c r="DL727" s="428">
        <f t="shared" si="2474"/>
        <v>0</v>
      </c>
      <c r="DM727" s="66">
        <f t="shared" si="2475"/>
        <v>0</v>
      </c>
      <c r="DN727" s="66">
        <f t="shared" si="2476"/>
        <v>0</v>
      </c>
      <c r="DO727" s="66">
        <f t="shared" si="2477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426"/>
        <v/>
      </c>
      <c r="CA728" s="373" t="str">
        <f t="shared" si="2427"/>
        <v/>
      </c>
      <c r="CB728" s="373" t="str">
        <f t="shared" si="2428"/>
        <v/>
      </c>
      <c r="CC728" s="462" t="str">
        <f t="shared" si="2429"/>
        <v/>
      </c>
      <c r="CD728" s="1109" t="str">
        <f t="shared" si="2440"/>
        <v/>
      </c>
      <c r="CE728" s="1110" t="str">
        <f t="shared" si="2441"/>
        <v/>
      </c>
      <c r="CF728" s="1111" t="str">
        <f t="shared" si="2442"/>
        <v/>
      </c>
      <c r="CG728" s="1111" t="str">
        <f t="shared" si="2443"/>
        <v/>
      </c>
      <c r="CH728" s="1111" t="str">
        <f t="shared" si="2444"/>
        <v/>
      </c>
      <c r="CI728" s="1111" t="str">
        <f t="shared" si="2445"/>
        <v/>
      </c>
      <c r="CJ728" s="1111" t="str">
        <f t="shared" si="2446"/>
        <v/>
      </c>
      <c r="CK728" s="1112" t="str">
        <f t="shared" si="2447"/>
        <v/>
      </c>
      <c r="CL728" s="1112" t="str">
        <f t="shared" si="2448"/>
        <v/>
      </c>
      <c r="CM728" s="1112" t="str">
        <f t="shared" si="2449"/>
        <v/>
      </c>
      <c r="CN728" s="1111" t="str">
        <f t="shared" si="2450"/>
        <v/>
      </c>
      <c r="CO728" s="1111" t="str">
        <f t="shared" si="2451"/>
        <v/>
      </c>
      <c r="CP728" s="1111" t="str">
        <f t="shared" si="2452"/>
        <v/>
      </c>
      <c r="CQ728" s="1111" t="str">
        <f t="shared" si="2453"/>
        <v/>
      </c>
      <c r="CR728" s="1111" t="str">
        <f t="shared" si="2454"/>
        <v/>
      </c>
      <c r="CS728" s="1110" t="str">
        <f t="shared" si="2455"/>
        <v/>
      </c>
      <c r="CT728" s="1113" t="str">
        <f t="shared" si="2456"/>
        <v/>
      </c>
      <c r="CU728" s="324" t="str">
        <f t="shared" si="2457"/>
        <v/>
      </c>
      <c r="CV728" s="325" t="str">
        <f t="shared" si="2458"/>
        <v/>
      </c>
      <c r="CW728" s="326" t="str">
        <f t="shared" si="2459"/>
        <v/>
      </c>
      <c r="CX728" s="326" t="str">
        <f t="shared" si="2460"/>
        <v/>
      </c>
      <c r="CY728" s="326" t="str">
        <f t="shared" si="2461"/>
        <v/>
      </c>
      <c r="CZ728" s="326" t="str">
        <f t="shared" si="2462"/>
        <v/>
      </c>
      <c r="DA728" s="326" t="str">
        <f t="shared" si="2463"/>
        <v/>
      </c>
      <c r="DB728" s="327" t="str">
        <f t="shared" si="2464"/>
        <v/>
      </c>
      <c r="DC728" s="327" t="str">
        <f t="shared" si="2465"/>
        <v/>
      </c>
      <c r="DD728" s="327" t="str">
        <f t="shared" si="2466"/>
        <v/>
      </c>
      <c r="DE728" s="326" t="str">
        <f t="shared" si="2467"/>
        <v/>
      </c>
      <c r="DF728" s="326" t="str">
        <f t="shared" si="2468"/>
        <v/>
      </c>
      <c r="DG728" s="326" t="str">
        <f t="shared" si="2469"/>
        <v/>
      </c>
      <c r="DH728" s="326" t="str">
        <f t="shared" si="2470"/>
        <v/>
      </c>
      <c r="DI728" s="326" t="str">
        <f t="shared" si="2471"/>
        <v/>
      </c>
      <c r="DJ728" s="325" t="str">
        <f t="shared" si="2472"/>
        <v/>
      </c>
      <c r="DK728" s="324" t="str">
        <f t="shared" si="2473"/>
        <v/>
      </c>
      <c r="DL728" s="428">
        <f t="shared" si="2474"/>
        <v>0</v>
      </c>
      <c r="DM728" s="66">
        <f t="shared" si="2475"/>
        <v>0</v>
      </c>
      <c r="DN728" s="66">
        <f t="shared" si="2476"/>
        <v>0</v>
      </c>
      <c r="DO728" s="66">
        <f t="shared" si="2477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426"/>
        <v/>
      </c>
      <c r="CA729" s="373" t="str">
        <f t="shared" si="2427"/>
        <v/>
      </c>
      <c r="CB729" s="373" t="str">
        <f t="shared" si="2428"/>
        <v/>
      </c>
      <c r="CC729" s="462" t="str">
        <f t="shared" si="2429"/>
        <v/>
      </c>
      <c r="CD729" s="1109" t="str">
        <f t="shared" si="2440"/>
        <v/>
      </c>
      <c r="CE729" s="1110" t="str">
        <f t="shared" si="2441"/>
        <v/>
      </c>
      <c r="CF729" s="1111" t="str">
        <f t="shared" si="2442"/>
        <v/>
      </c>
      <c r="CG729" s="1111" t="str">
        <f t="shared" si="2443"/>
        <v/>
      </c>
      <c r="CH729" s="1111" t="str">
        <f t="shared" si="2444"/>
        <v/>
      </c>
      <c r="CI729" s="1111" t="str">
        <f t="shared" si="2445"/>
        <v/>
      </c>
      <c r="CJ729" s="1111" t="str">
        <f t="shared" si="2446"/>
        <v/>
      </c>
      <c r="CK729" s="1112" t="str">
        <f t="shared" si="2447"/>
        <v/>
      </c>
      <c r="CL729" s="1112" t="str">
        <f t="shared" si="2448"/>
        <v/>
      </c>
      <c r="CM729" s="1112" t="str">
        <f t="shared" si="2449"/>
        <v/>
      </c>
      <c r="CN729" s="1111" t="str">
        <f t="shared" si="2450"/>
        <v/>
      </c>
      <c r="CO729" s="1111" t="str">
        <f t="shared" si="2451"/>
        <v/>
      </c>
      <c r="CP729" s="1111" t="str">
        <f t="shared" si="2452"/>
        <v/>
      </c>
      <c r="CQ729" s="1111" t="str">
        <f t="shared" si="2453"/>
        <v/>
      </c>
      <c r="CR729" s="1111" t="str">
        <f t="shared" si="2454"/>
        <v/>
      </c>
      <c r="CS729" s="1110" t="str">
        <f t="shared" si="2455"/>
        <v/>
      </c>
      <c r="CT729" s="1113" t="str">
        <f t="shared" si="2456"/>
        <v/>
      </c>
      <c r="CU729" s="324" t="str">
        <f t="shared" si="2457"/>
        <v/>
      </c>
      <c r="CV729" s="325" t="str">
        <f t="shared" si="2458"/>
        <v/>
      </c>
      <c r="CW729" s="326" t="str">
        <f t="shared" si="2459"/>
        <v/>
      </c>
      <c r="CX729" s="326" t="str">
        <f t="shared" si="2460"/>
        <v/>
      </c>
      <c r="CY729" s="326" t="str">
        <f t="shared" si="2461"/>
        <v/>
      </c>
      <c r="CZ729" s="326" t="str">
        <f t="shared" si="2462"/>
        <v/>
      </c>
      <c r="DA729" s="326" t="str">
        <f t="shared" si="2463"/>
        <v/>
      </c>
      <c r="DB729" s="327" t="str">
        <f t="shared" si="2464"/>
        <v/>
      </c>
      <c r="DC729" s="327" t="str">
        <f t="shared" si="2465"/>
        <v/>
      </c>
      <c r="DD729" s="327" t="str">
        <f t="shared" si="2466"/>
        <v/>
      </c>
      <c r="DE729" s="326" t="str">
        <f t="shared" si="2467"/>
        <v/>
      </c>
      <c r="DF729" s="326" t="str">
        <f t="shared" si="2468"/>
        <v/>
      </c>
      <c r="DG729" s="326" t="str">
        <f t="shared" si="2469"/>
        <v/>
      </c>
      <c r="DH729" s="326" t="str">
        <f t="shared" si="2470"/>
        <v/>
      </c>
      <c r="DI729" s="326" t="str">
        <f t="shared" si="2471"/>
        <v/>
      </c>
      <c r="DJ729" s="325" t="str">
        <f t="shared" si="2472"/>
        <v/>
      </c>
      <c r="DK729" s="324" t="str">
        <f t="shared" si="2473"/>
        <v/>
      </c>
      <c r="DL729" s="428">
        <f t="shared" si="2474"/>
        <v>0</v>
      </c>
      <c r="DM729" s="66">
        <f t="shared" si="2475"/>
        <v>0</v>
      </c>
      <c r="DN729" s="66">
        <f t="shared" si="2476"/>
        <v>0</v>
      </c>
      <c r="DO729" s="66">
        <f t="shared" si="2477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426"/>
        <v/>
      </c>
      <c r="CA730" s="373" t="str">
        <f t="shared" si="2427"/>
        <v/>
      </c>
      <c r="CB730" s="373" t="str">
        <f t="shared" si="2428"/>
        <v/>
      </c>
      <c r="CC730" s="462" t="str">
        <f t="shared" si="2429"/>
        <v/>
      </c>
      <c r="CD730" s="1109" t="str">
        <f t="shared" si="2440"/>
        <v/>
      </c>
      <c r="CE730" s="1110" t="str">
        <f t="shared" si="2441"/>
        <v/>
      </c>
      <c r="CF730" s="1111" t="str">
        <f t="shared" si="2442"/>
        <v/>
      </c>
      <c r="CG730" s="1111" t="str">
        <f t="shared" si="2443"/>
        <v/>
      </c>
      <c r="CH730" s="1111" t="str">
        <f t="shared" si="2444"/>
        <v/>
      </c>
      <c r="CI730" s="1111" t="str">
        <f t="shared" si="2445"/>
        <v/>
      </c>
      <c r="CJ730" s="1111" t="str">
        <f t="shared" si="2446"/>
        <v/>
      </c>
      <c r="CK730" s="1112" t="str">
        <f t="shared" si="2447"/>
        <v/>
      </c>
      <c r="CL730" s="1112" t="str">
        <f t="shared" si="2448"/>
        <v/>
      </c>
      <c r="CM730" s="1112" t="str">
        <f t="shared" si="2449"/>
        <v/>
      </c>
      <c r="CN730" s="1111" t="str">
        <f t="shared" si="2450"/>
        <v/>
      </c>
      <c r="CO730" s="1111" t="str">
        <f t="shared" si="2451"/>
        <v/>
      </c>
      <c r="CP730" s="1111" t="str">
        <f t="shared" si="2452"/>
        <v/>
      </c>
      <c r="CQ730" s="1111" t="str">
        <f t="shared" si="2453"/>
        <v/>
      </c>
      <c r="CR730" s="1111" t="str">
        <f t="shared" si="2454"/>
        <v/>
      </c>
      <c r="CS730" s="1110" t="str">
        <f t="shared" si="2455"/>
        <v/>
      </c>
      <c r="CT730" s="1113" t="str">
        <f t="shared" si="2456"/>
        <v/>
      </c>
      <c r="CU730" s="324" t="str">
        <f t="shared" si="2457"/>
        <v/>
      </c>
      <c r="CV730" s="325" t="str">
        <f t="shared" si="2458"/>
        <v/>
      </c>
      <c r="CW730" s="326" t="str">
        <f t="shared" si="2459"/>
        <v/>
      </c>
      <c r="CX730" s="326" t="str">
        <f t="shared" si="2460"/>
        <v/>
      </c>
      <c r="CY730" s="326" t="str">
        <f t="shared" si="2461"/>
        <v/>
      </c>
      <c r="CZ730" s="326" t="str">
        <f t="shared" si="2462"/>
        <v/>
      </c>
      <c r="DA730" s="326" t="str">
        <f t="shared" si="2463"/>
        <v/>
      </c>
      <c r="DB730" s="327" t="str">
        <f t="shared" si="2464"/>
        <v/>
      </c>
      <c r="DC730" s="327" t="str">
        <f t="shared" si="2465"/>
        <v/>
      </c>
      <c r="DD730" s="327" t="str">
        <f t="shared" si="2466"/>
        <v/>
      </c>
      <c r="DE730" s="326" t="str">
        <f t="shared" si="2467"/>
        <v/>
      </c>
      <c r="DF730" s="326" t="str">
        <f t="shared" si="2468"/>
        <v/>
      </c>
      <c r="DG730" s="326" t="str">
        <f t="shared" si="2469"/>
        <v/>
      </c>
      <c r="DH730" s="326" t="str">
        <f t="shared" si="2470"/>
        <v/>
      </c>
      <c r="DI730" s="326" t="str">
        <f t="shared" si="2471"/>
        <v/>
      </c>
      <c r="DJ730" s="325" t="str">
        <f t="shared" si="2472"/>
        <v/>
      </c>
      <c r="DK730" s="324" t="str">
        <f t="shared" si="2473"/>
        <v/>
      </c>
      <c r="DL730" s="428">
        <f t="shared" si="2474"/>
        <v>0</v>
      </c>
      <c r="DM730" s="66">
        <f t="shared" si="2475"/>
        <v>0</v>
      </c>
      <c r="DN730" s="66">
        <f t="shared" si="2476"/>
        <v>0</v>
      </c>
      <c r="DO730" s="66">
        <f t="shared" si="2477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489">IF(B728="","",B727*B728*B729*B730)</f>
        <v/>
      </c>
      <c r="C731" s="382" t="str">
        <f t="shared" si="2489"/>
        <v/>
      </c>
      <c r="D731" s="382" t="str">
        <f t="shared" si="2489"/>
        <v/>
      </c>
      <c r="E731" s="382" t="str">
        <f t="shared" si="2489"/>
        <v/>
      </c>
      <c r="F731" s="382" t="str">
        <f t="shared" si="2489"/>
        <v/>
      </c>
      <c r="G731" s="382" t="str">
        <f t="shared" si="2489"/>
        <v/>
      </c>
      <c r="H731" s="382" t="str">
        <f t="shared" si="2489"/>
        <v/>
      </c>
      <c r="I731" s="382" t="str">
        <f t="shared" si="2489"/>
        <v/>
      </c>
      <c r="J731" s="382" t="str">
        <f t="shared" si="2489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490">IF(T728="","",T727*T728*T729*T730)</f>
        <v/>
      </c>
      <c r="U731" s="382" t="str">
        <f t="shared" si="2490"/>
        <v/>
      </c>
      <c r="V731" s="382" t="str">
        <f t="shared" si="2490"/>
        <v/>
      </c>
      <c r="W731" s="382" t="str">
        <f t="shared" si="2490"/>
        <v/>
      </c>
      <c r="X731" s="382" t="str">
        <f t="shared" si="2490"/>
        <v/>
      </c>
      <c r="Y731" s="382" t="str">
        <f t="shared" si="2490"/>
        <v/>
      </c>
      <c r="Z731" s="382" t="str">
        <f t="shared" si="2490"/>
        <v/>
      </c>
      <c r="AA731" s="382" t="str">
        <f t="shared" si="2490"/>
        <v/>
      </c>
      <c r="AB731" s="382" t="str">
        <f t="shared" si="2490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491">IF(AL728="","",AL727*AL728*AL729*AL730)</f>
        <v/>
      </c>
      <c r="AM731" s="382" t="str">
        <f t="shared" si="2491"/>
        <v/>
      </c>
      <c r="AN731" s="382" t="str">
        <f t="shared" si="2491"/>
        <v/>
      </c>
      <c r="AO731" s="382" t="str">
        <f t="shared" si="2491"/>
        <v/>
      </c>
      <c r="AP731" s="382" t="str">
        <f t="shared" si="2491"/>
        <v/>
      </c>
      <c r="AQ731" s="382" t="str">
        <f t="shared" si="2491"/>
        <v/>
      </c>
      <c r="AR731" s="382" t="str">
        <f t="shared" si="2491"/>
        <v/>
      </c>
      <c r="AS731" s="382" t="str">
        <f t="shared" si="2491"/>
        <v/>
      </c>
      <c r="AT731" s="382" t="str">
        <f t="shared" si="2491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492">IF(BD728="","",BD727*BD728*BD729*BD730)</f>
        <v/>
      </c>
      <c r="BE731" s="382" t="str">
        <f t="shared" si="2492"/>
        <v/>
      </c>
      <c r="BF731" s="382" t="str">
        <f t="shared" si="2492"/>
        <v/>
      </c>
      <c r="BG731" s="382" t="str">
        <f t="shared" si="2492"/>
        <v/>
      </c>
      <c r="BH731" s="382" t="str">
        <f t="shared" si="2492"/>
        <v/>
      </c>
      <c r="BI731" s="382" t="str">
        <f t="shared" si="2492"/>
        <v/>
      </c>
      <c r="BJ731" s="382" t="str">
        <f t="shared" si="2492"/>
        <v/>
      </c>
      <c r="BK731" s="382" t="str">
        <f t="shared" si="2492"/>
        <v/>
      </c>
      <c r="BL731" s="382" t="str">
        <f t="shared" si="2492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426"/>
        <v/>
      </c>
      <c r="CA731" s="373" t="str">
        <f t="shared" si="2427"/>
        <v/>
      </c>
      <c r="CB731" s="373" t="str">
        <f t="shared" si="2428"/>
        <v/>
      </c>
      <c r="CC731" s="462" t="str">
        <f t="shared" si="2429"/>
        <v/>
      </c>
      <c r="CD731" s="1109" t="str">
        <f t="shared" si="2440"/>
        <v/>
      </c>
      <c r="CE731" s="1110" t="str">
        <f t="shared" si="2441"/>
        <v/>
      </c>
      <c r="CF731" s="1111" t="str">
        <f t="shared" si="2442"/>
        <v/>
      </c>
      <c r="CG731" s="1111" t="str">
        <f t="shared" si="2443"/>
        <v/>
      </c>
      <c r="CH731" s="1111" t="str">
        <f t="shared" si="2444"/>
        <v/>
      </c>
      <c r="CI731" s="1111" t="str">
        <f t="shared" si="2445"/>
        <v/>
      </c>
      <c r="CJ731" s="1111" t="str">
        <f t="shared" si="2446"/>
        <v/>
      </c>
      <c r="CK731" s="1112" t="str">
        <f t="shared" si="2447"/>
        <v/>
      </c>
      <c r="CL731" s="1112" t="str">
        <f t="shared" si="2448"/>
        <v/>
      </c>
      <c r="CM731" s="1112" t="str">
        <f t="shared" si="2449"/>
        <v/>
      </c>
      <c r="CN731" s="1111" t="str">
        <f t="shared" si="2450"/>
        <v/>
      </c>
      <c r="CO731" s="1111" t="str">
        <f t="shared" si="2451"/>
        <v/>
      </c>
      <c r="CP731" s="1111" t="str">
        <f t="shared" si="2452"/>
        <v/>
      </c>
      <c r="CQ731" s="1111" t="str">
        <f t="shared" si="2453"/>
        <v/>
      </c>
      <c r="CR731" s="1111" t="str">
        <f t="shared" si="2454"/>
        <v/>
      </c>
      <c r="CS731" s="1110" t="str">
        <f t="shared" si="2455"/>
        <v/>
      </c>
      <c r="CT731" s="1113" t="str">
        <f t="shared" si="2456"/>
        <v/>
      </c>
      <c r="CU731" s="324" t="str">
        <f t="shared" si="2457"/>
        <v/>
      </c>
      <c r="CV731" s="325" t="str">
        <f t="shared" si="2458"/>
        <v/>
      </c>
      <c r="CW731" s="326" t="str">
        <f t="shared" si="2459"/>
        <v/>
      </c>
      <c r="CX731" s="326" t="str">
        <f t="shared" si="2460"/>
        <v/>
      </c>
      <c r="CY731" s="326" t="str">
        <f t="shared" si="2461"/>
        <v/>
      </c>
      <c r="CZ731" s="326" t="str">
        <f t="shared" si="2462"/>
        <v/>
      </c>
      <c r="DA731" s="326" t="str">
        <f t="shared" si="2463"/>
        <v/>
      </c>
      <c r="DB731" s="327" t="str">
        <f t="shared" si="2464"/>
        <v/>
      </c>
      <c r="DC731" s="327" t="str">
        <f t="shared" si="2465"/>
        <v/>
      </c>
      <c r="DD731" s="327" t="str">
        <f t="shared" si="2466"/>
        <v/>
      </c>
      <c r="DE731" s="326" t="str">
        <f t="shared" si="2467"/>
        <v/>
      </c>
      <c r="DF731" s="326" t="str">
        <f t="shared" si="2468"/>
        <v/>
      </c>
      <c r="DG731" s="326" t="str">
        <f t="shared" si="2469"/>
        <v/>
      </c>
      <c r="DH731" s="326" t="str">
        <f t="shared" si="2470"/>
        <v/>
      </c>
      <c r="DI731" s="326" t="str">
        <f t="shared" si="2471"/>
        <v/>
      </c>
      <c r="DJ731" s="325" t="str">
        <f t="shared" si="2472"/>
        <v/>
      </c>
      <c r="DK731" s="324" t="str">
        <f t="shared" si="2473"/>
        <v/>
      </c>
      <c r="DL731" s="428">
        <f t="shared" si="2474"/>
        <v>0</v>
      </c>
      <c r="DM731" s="66">
        <f t="shared" si="2475"/>
        <v>0</v>
      </c>
      <c r="DN731" s="66">
        <f t="shared" si="2476"/>
        <v>0</v>
      </c>
      <c r="DO731" s="66">
        <f t="shared" si="2477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4"/>
      <c r="CE732" s="1134"/>
      <c r="CF732" s="1134"/>
      <c r="CG732" s="1134"/>
      <c r="CH732" s="1134"/>
      <c r="CI732" s="1134"/>
      <c r="CJ732" s="1134"/>
      <c r="CK732" s="1134"/>
      <c r="CL732" s="1134"/>
      <c r="CM732" s="1134"/>
      <c r="CN732" s="1134"/>
      <c r="CO732" s="1134"/>
      <c r="CP732" s="1134"/>
      <c r="CQ732" s="1134"/>
      <c r="CR732" s="1134"/>
      <c r="CS732" s="1134"/>
      <c r="CT732" s="1135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493">IF(DL733&lt;3,"",(SUM(B733:R733)-MIN(B733:R733)-MAX(B733:R733))/(DL733-2))</f>
        <v/>
      </c>
      <c r="CA733" s="373" t="str">
        <f t="shared" ref="CA733:CA742" si="2494">IF(DM733&lt;3,"",(SUM(T733:AJ733)-MIN(T733:AJ733)-MAX(T733:AJ733))/(DM733-2))</f>
        <v/>
      </c>
      <c r="CB733" s="373" t="str">
        <f t="shared" ref="CB733:CB742" si="2495">IF(DN733&lt;3,"",(SUM(AL733:BB733)-MIN(AL733:BB733)-MAX(AL733:BB733))/(DN733-2))</f>
        <v/>
      </c>
      <c r="CC733" s="462" t="str">
        <f t="shared" ref="CC733:CC742" si="2496">IF(DO733&lt;3,"",(SUM(BD733:BT733)-MIN(BD733:BT733)-MAX(BD733:BT733))/(DO733-2))</f>
        <v/>
      </c>
      <c r="CD733" s="1109" t="str">
        <f t="shared" ref="CD733:CS733" si="249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0" t="str">
        <f t="shared" si="2497"/>
        <v/>
      </c>
      <c r="CF733" s="1111" t="str">
        <f t="shared" si="2497"/>
        <v/>
      </c>
      <c r="CG733" s="1111" t="str">
        <f t="shared" si="2497"/>
        <v/>
      </c>
      <c r="CH733" s="1111" t="str">
        <f t="shared" si="2497"/>
        <v/>
      </c>
      <c r="CI733" s="1111" t="str">
        <f t="shared" si="2497"/>
        <v/>
      </c>
      <c r="CJ733" s="1111" t="str">
        <f t="shared" si="2497"/>
        <v/>
      </c>
      <c r="CK733" s="1112" t="str">
        <f t="shared" si="2497"/>
        <v/>
      </c>
      <c r="CL733" s="1112" t="str">
        <f t="shared" si="2497"/>
        <v/>
      </c>
      <c r="CM733" s="1112" t="str">
        <f t="shared" si="2497"/>
        <v/>
      </c>
      <c r="CN733" s="1111" t="str">
        <f t="shared" si="2497"/>
        <v/>
      </c>
      <c r="CO733" s="1111" t="str">
        <f t="shared" si="2497"/>
        <v/>
      </c>
      <c r="CP733" s="1111" t="str">
        <f t="shared" si="2497"/>
        <v/>
      </c>
      <c r="CQ733" s="1111" t="str">
        <f t="shared" si="2497"/>
        <v/>
      </c>
      <c r="CR733" s="1111" t="str">
        <f t="shared" si="2497"/>
        <v/>
      </c>
      <c r="CS733" s="1110" t="str">
        <f t="shared" si="2497"/>
        <v/>
      </c>
      <c r="CT733" s="1113" t="str">
        <f t="shared" ref="CE733:CT736" si="249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49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499"/>
        <v/>
      </c>
      <c r="CW733" s="326" t="str">
        <f t="shared" si="2499"/>
        <v/>
      </c>
      <c r="CX733" s="326" t="str">
        <f t="shared" si="2499"/>
        <v/>
      </c>
      <c r="CY733" s="326" t="str">
        <f t="shared" si="2499"/>
        <v/>
      </c>
      <c r="CZ733" s="326" t="str">
        <f t="shared" si="2499"/>
        <v/>
      </c>
      <c r="DA733" s="326" t="str">
        <f t="shared" si="2499"/>
        <v/>
      </c>
      <c r="DB733" s="327" t="str">
        <f t="shared" si="2499"/>
        <v/>
      </c>
      <c r="DC733" s="327" t="str">
        <f t="shared" si="2499"/>
        <v/>
      </c>
      <c r="DD733" s="327" t="str">
        <f t="shared" si="2499"/>
        <v/>
      </c>
      <c r="DE733" s="326" t="str">
        <f t="shared" ref="DE733:DK736" si="250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500"/>
        <v/>
      </c>
      <c r="DG733" s="326" t="str">
        <f t="shared" si="2500"/>
        <v/>
      </c>
      <c r="DH733" s="326" t="str">
        <f t="shared" si="2500"/>
        <v/>
      </c>
      <c r="DI733" s="326" t="str">
        <f t="shared" si="2500"/>
        <v/>
      </c>
      <c r="DJ733" s="325" t="str">
        <f t="shared" si="2500"/>
        <v/>
      </c>
      <c r="DK733" s="324" t="str">
        <f t="shared" si="2500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493"/>
        <v/>
      </c>
      <c r="CA734" s="373" t="str">
        <f t="shared" si="2494"/>
        <v/>
      </c>
      <c r="CB734" s="373" t="str">
        <f t="shared" si="2495"/>
        <v/>
      </c>
      <c r="CC734" s="462" t="str">
        <f t="shared" si="2496"/>
        <v/>
      </c>
      <c r="CD734" s="110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0" t="str">
        <f t="shared" si="2498"/>
        <v/>
      </c>
      <c r="CF734" s="1111" t="str">
        <f t="shared" si="2498"/>
        <v/>
      </c>
      <c r="CG734" s="1111" t="str">
        <f t="shared" si="2498"/>
        <v/>
      </c>
      <c r="CH734" s="1111" t="str">
        <f t="shared" si="2498"/>
        <v/>
      </c>
      <c r="CI734" s="1111" t="str">
        <f t="shared" si="2498"/>
        <v/>
      </c>
      <c r="CJ734" s="1111" t="str">
        <f t="shared" si="2498"/>
        <v/>
      </c>
      <c r="CK734" s="1112" t="str">
        <f t="shared" si="2498"/>
        <v/>
      </c>
      <c r="CL734" s="1112" t="str">
        <f t="shared" si="2498"/>
        <v/>
      </c>
      <c r="CM734" s="1112" t="str">
        <f t="shared" si="2498"/>
        <v/>
      </c>
      <c r="CN734" s="1111" t="str">
        <f t="shared" si="2498"/>
        <v/>
      </c>
      <c r="CO734" s="1111" t="str">
        <f t="shared" si="2498"/>
        <v/>
      </c>
      <c r="CP734" s="1111" t="str">
        <f t="shared" si="2498"/>
        <v/>
      </c>
      <c r="CQ734" s="1111" t="str">
        <f t="shared" si="2498"/>
        <v/>
      </c>
      <c r="CR734" s="1111" t="str">
        <f t="shared" si="2498"/>
        <v/>
      </c>
      <c r="CS734" s="1110" t="str">
        <f t="shared" si="2498"/>
        <v/>
      </c>
      <c r="CT734" s="1113" t="str">
        <f t="shared" si="2498"/>
        <v/>
      </c>
      <c r="CU734" s="324" t="str">
        <f t="shared" si="2499"/>
        <v/>
      </c>
      <c r="CV734" s="325" t="str">
        <f t="shared" si="2499"/>
        <v/>
      </c>
      <c r="CW734" s="326" t="str">
        <f t="shared" si="2499"/>
        <v/>
      </c>
      <c r="CX734" s="326" t="str">
        <f t="shared" si="2499"/>
        <v/>
      </c>
      <c r="CY734" s="326" t="str">
        <f t="shared" si="2499"/>
        <v/>
      </c>
      <c r="CZ734" s="326" t="str">
        <f t="shared" si="2499"/>
        <v/>
      </c>
      <c r="DA734" s="326" t="str">
        <f t="shared" si="2499"/>
        <v/>
      </c>
      <c r="DB734" s="327" t="str">
        <f t="shared" si="2499"/>
        <v/>
      </c>
      <c r="DC734" s="327" t="str">
        <f t="shared" si="2499"/>
        <v/>
      </c>
      <c r="DD734" s="327" t="str">
        <f t="shared" si="2499"/>
        <v/>
      </c>
      <c r="DE734" s="326" t="str">
        <f t="shared" si="2500"/>
        <v/>
      </c>
      <c r="DF734" s="326" t="str">
        <f t="shared" si="2500"/>
        <v/>
      </c>
      <c r="DG734" s="326" t="str">
        <f t="shared" si="2500"/>
        <v/>
      </c>
      <c r="DH734" s="326" t="str">
        <f t="shared" si="2500"/>
        <v/>
      </c>
      <c r="DI734" s="326" t="str">
        <f t="shared" si="2500"/>
        <v/>
      </c>
      <c r="DJ734" s="325" t="str">
        <f t="shared" si="2500"/>
        <v/>
      </c>
      <c r="DK734" s="324" t="str">
        <f t="shared" si="2500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493"/>
        <v/>
      </c>
      <c r="CA735" s="373" t="str">
        <f t="shared" si="2494"/>
        <v/>
      </c>
      <c r="CB735" s="373" t="str">
        <f t="shared" si="2495"/>
        <v/>
      </c>
      <c r="CC735" s="462" t="str">
        <f t="shared" si="2496"/>
        <v/>
      </c>
      <c r="CD735" s="110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0" t="str">
        <f t="shared" si="2498"/>
        <v/>
      </c>
      <c r="CF735" s="1111" t="str">
        <f t="shared" si="2498"/>
        <v/>
      </c>
      <c r="CG735" s="1111" t="str">
        <f t="shared" si="2498"/>
        <v/>
      </c>
      <c r="CH735" s="1111" t="str">
        <f t="shared" si="2498"/>
        <v/>
      </c>
      <c r="CI735" s="1111" t="str">
        <f t="shared" si="2498"/>
        <v/>
      </c>
      <c r="CJ735" s="1111" t="str">
        <f t="shared" si="2498"/>
        <v/>
      </c>
      <c r="CK735" s="1112" t="str">
        <f t="shared" si="2498"/>
        <v/>
      </c>
      <c r="CL735" s="1112" t="str">
        <f t="shared" si="2498"/>
        <v/>
      </c>
      <c r="CM735" s="1112" t="str">
        <f t="shared" si="2498"/>
        <v/>
      </c>
      <c r="CN735" s="1111" t="str">
        <f t="shared" si="2498"/>
        <v/>
      </c>
      <c r="CO735" s="1111" t="str">
        <f t="shared" si="2498"/>
        <v/>
      </c>
      <c r="CP735" s="1111" t="str">
        <f t="shared" si="2498"/>
        <v/>
      </c>
      <c r="CQ735" s="1111" t="str">
        <f t="shared" si="2498"/>
        <v/>
      </c>
      <c r="CR735" s="1111" t="str">
        <f t="shared" si="2498"/>
        <v/>
      </c>
      <c r="CS735" s="1110" t="str">
        <f t="shared" si="2498"/>
        <v/>
      </c>
      <c r="CT735" s="1113" t="str">
        <f t="shared" si="2498"/>
        <v/>
      </c>
      <c r="CU735" s="324" t="str">
        <f t="shared" si="2499"/>
        <v/>
      </c>
      <c r="CV735" s="325" t="str">
        <f t="shared" si="2499"/>
        <v/>
      </c>
      <c r="CW735" s="326" t="str">
        <f t="shared" si="2499"/>
        <v/>
      </c>
      <c r="CX735" s="326" t="str">
        <f t="shared" si="2499"/>
        <v/>
      </c>
      <c r="CY735" s="326" t="str">
        <f t="shared" si="2499"/>
        <v/>
      </c>
      <c r="CZ735" s="326" t="str">
        <f t="shared" si="2499"/>
        <v/>
      </c>
      <c r="DA735" s="326" t="str">
        <f t="shared" si="2499"/>
        <v/>
      </c>
      <c r="DB735" s="327" t="str">
        <f t="shared" si="2499"/>
        <v/>
      </c>
      <c r="DC735" s="327" t="str">
        <f t="shared" si="2499"/>
        <v/>
      </c>
      <c r="DD735" s="327" t="str">
        <f t="shared" si="2499"/>
        <v/>
      </c>
      <c r="DE735" s="326" t="str">
        <f t="shared" si="2500"/>
        <v/>
      </c>
      <c r="DF735" s="326" t="str">
        <f t="shared" si="2500"/>
        <v/>
      </c>
      <c r="DG735" s="326" t="str">
        <f t="shared" si="2500"/>
        <v/>
      </c>
      <c r="DH735" s="326" t="str">
        <f t="shared" si="2500"/>
        <v/>
      </c>
      <c r="DI735" s="326" t="str">
        <f t="shared" si="2500"/>
        <v/>
      </c>
      <c r="DJ735" s="325" t="str">
        <f t="shared" si="2500"/>
        <v/>
      </c>
      <c r="DK735" s="324" t="str">
        <f t="shared" si="2500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501">IF(B733="","",B732*B733*B734*B735)</f>
        <v/>
      </c>
      <c r="C736" s="383" t="str">
        <f t="shared" si="2501"/>
        <v/>
      </c>
      <c r="D736" s="383" t="str">
        <f t="shared" si="2501"/>
        <v/>
      </c>
      <c r="E736" s="383" t="str">
        <f t="shared" si="2501"/>
        <v/>
      </c>
      <c r="F736" s="383" t="str">
        <f t="shared" si="2501"/>
        <v/>
      </c>
      <c r="G736" s="383" t="str">
        <f t="shared" si="2501"/>
        <v/>
      </c>
      <c r="H736" s="383" t="str">
        <f t="shared" si="2501"/>
        <v/>
      </c>
      <c r="I736" s="383" t="str">
        <f t="shared" si="2501"/>
        <v/>
      </c>
      <c r="J736" s="383" t="str">
        <f t="shared" si="2501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502">IF(T733="","",T732*T733*T734*T735)</f>
        <v/>
      </c>
      <c r="U736" s="383" t="str">
        <f t="shared" si="2502"/>
        <v/>
      </c>
      <c r="V736" s="383" t="str">
        <f t="shared" si="2502"/>
        <v/>
      </c>
      <c r="W736" s="383" t="str">
        <f t="shared" si="2502"/>
        <v/>
      </c>
      <c r="X736" s="383" t="str">
        <f t="shared" si="2502"/>
        <v/>
      </c>
      <c r="Y736" s="383" t="str">
        <f t="shared" si="2502"/>
        <v/>
      </c>
      <c r="Z736" s="383" t="str">
        <f t="shared" si="2502"/>
        <v/>
      </c>
      <c r="AA736" s="383" t="str">
        <f t="shared" si="2502"/>
        <v/>
      </c>
      <c r="AB736" s="383" t="str">
        <f t="shared" si="2502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503">IF(AL733="","",AL732*AL733*AL734*AL735)</f>
        <v/>
      </c>
      <c r="AM736" s="383" t="str">
        <f t="shared" si="2503"/>
        <v/>
      </c>
      <c r="AN736" s="383" t="str">
        <f t="shared" si="2503"/>
        <v/>
      </c>
      <c r="AO736" s="383" t="str">
        <f t="shared" si="2503"/>
        <v/>
      </c>
      <c r="AP736" s="383" t="str">
        <f t="shared" si="2503"/>
        <v/>
      </c>
      <c r="AQ736" s="383" t="str">
        <f t="shared" si="2503"/>
        <v/>
      </c>
      <c r="AR736" s="383" t="str">
        <f t="shared" si="2503"/>
        <v/>
      </c>
      <c r="AS736" s="383" t="str">
        <f t="shared" si="2503"/>
        <v/>
      </c>
      <c r="AT736" s="383" t="str">
        <f t="shared" si="2503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504">IF(BD733="","",BD732*BD733*BD734*BD735)</f>
        <v/>
      </c>
      <c r="BE736" s="383" t="str">
        <f t="shared" si="2504"/>
        <v/>
      </c>
      <c r="BF736" s="383" t="str">
        <f t="shared" si="2504"/>
        <v/>
      </c>
      <c r="BG736" s="383" t="str">
        <f t="shared" si="2504"/>
        <v/>
      </c>
      <c r="BH736" s="383" t="str">
        <f t="shared" si="2504"/>
        <v/>
      </c>
      <c r="BI736" s="383" t="str">
        <f t="shared" si="2504"/>
        <v/>
      </c>
      <c r="BJ736" s="383" t="str">
        <f t="shared" si="2504"/>
        <v/>
      </c>
      <c r="BK736" s="383" t="str">
        <f t="shared" si="2504"/>
        <v/>
      </c>
      <c r="BL736" s="383" t="str">
        <f t="shared" si="2504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493"/>
        <v/>
      </c>
      <c r="CA736" s="373" t="str">
        <f t="shared" si="2494"/>
        <v/>
      </c>
      <c r="CB736" s="373" t="str">
        <f t="shared" si="2495"/>
        <v/>
      </c>
      <c r="CC736" s="462" t="str">
        <f t="shared" si="2496"/>
        <v/>
      </c>
      <c r="CD736" s="110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0" t="str">
        <f t="shared" si="2498"/>
        <v/>
      </c>
      <c r="CF736" s="1111" t="str">
        <f t="shared" si="2498"/>
        <v/>
      </c>
      <c r="CG736" s="1111" t="str">
        <f t="shared" si="2498"/>
        <v/>
      </c>
      <c r="CH736" s="1111" t="str">
        <f t="shared" si="2498"/>
        <v/>
      </c>
      <c r="CI736" s="1111" t="str">
        <f t="shared" si="2498"/>
        <v/>
      </c>
      <c r="CJ736" s="1111" t="str">
        <f t="shared" si="2498"/>
        <v/>
      </c>
      <c r="CK736" s="1112" t="str">
        <f t="shared" si="2498"/>
        <v/>
      </c>
      <c r="CL736" s="1112" t="str">
        <f t="shared" si="2498"/>
        <v/>
      </c>
      <c r="CM736" s="1112" t="str">
        <f t="shared" si="2498"/>
        <v/>
      </c>
      <c r="CN736" s="1111" t="str">
        <f t="shared" si="2498"/>
        <v/>
      </c>
      <c r="CO736" s="1111" t="str">
        <f t="shared" si="2498"/>
        <v/>
      </c>
      <c r="CP736" s="1111" t="str">
        <f t="shared" si="2498"/>
        <v/>
      </c>
      <c r="CQ736" s="1111" t="str">
        <f t="shared" si="2498"/>
        <v/>
      </c>
      <c r="CR736" s="1111" t="str">
        <f t="shared" si="2498"/>
        <v/>
      </c>
      <c r="CS736" s="1110" t="str">
        <f t="shared" si="2498"/>
        <v/>
      </c>
      <c r="CT736" s="1113" t="str">
        <f t="shared" si="2498"/>
        <v/>
      </c>
      <c r="CU736" s="324" t="str">
        <f t="shared" si="2499"/>
        <v/>
      </c>
      <c r="CV736" s="325" t="str">
        <f t="shared" si="2499"/>
        <v/>
      </c>
      <c r="CW736" s="326" t="str">
        <f t="shared" si="2499"/>
        <v/>
      </c>
      <c r="CX736" s="326" t="str">
        <f t="shared" si="2499"/>
        <v/>
      </c>
      <c r="CY736" s="326" t="str">
        <f t="shared" si="2499"/>
        <v/>
      </c>
      <c r="CZ736" s="326" t="str">
        <f t="shared" si="2499"/>
        <v/>
      </c>
      <c r="DA736" s="326" t="str">
        <f t="shared" si="2499"/>
        <v/>
      </c>
      <c r="DB736" s="327" t="str">
        <f t="shared" si="2499"/>
        <v/>
      </c>
      <c r="DC736" s="327" t="str">
        <f t="shared" si="2499"/>
        <v/>
      </c>
      <c r="DD736" s="327" t="str">
        <f t="shared" si="2499"/>
        <v/>
      </c>
      <c r="DE736" s="326" t="str">
        <f t="shared" si="2500"/>
        <v/>
      </c>
      <c r="DF736" s="326" t="str">
        <f t="shared" si="2500"/>
        <v/>
      </c>
      <c r="DG736" s="326" t="str">
        <f t="shared" si="2500"/>
        <v/>
      </c>
      <c r="DH736" s="326" t="str">
        <f t="shared" si="2500"/>
        <v/>
      </c>
      <c r="DI736" s="326" t="str">
        <f t="shared" si="2500"/>
        <v/>
      </c>
      <c r="DJ736" s="325" t="str">
        <f t="shared" si="2500"/>
        <v/>
      </c>
      <c r="DK736" s="324" t="str">
        <f t="shared" si="2500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493"/>
        <v/>
      </c>
      <c r="CA737" s="365" t="str">
        <f t="shared" si="2494"/>
        <v/>
      </c>
      <c r="CB737" s="365" t="str">
        <f t="shared" si="2495"/>
        <v/>
      </c>
      <c r="CC737" s="461" t="str">
        <f t="shared" si="2496"/>
        <v/>
      </c>
      <c r="CD737" s="1120"/>
      <c r="CE737" s="1120"/>
      <c r="CF737" s="1120"/>
      <c r="CG737" s="1120"/>
      <c r="CH737" s="1120"/>
      <c r="CI737" s="1120"/>
      <c r="CJ737" s="1120"/>
      <c r="CK737" s="1120"/>
      <c r="CL737" s="1120"/>
      <c r="CM737" s="1120"/>
      <c r="CN737" s="1120"/>
      <c r="CO737" s="1120"/>
      <c r="CP737" s="1120"/>
      <c r="CQ737" s="1120"/>
      <c r="CR737" s="1120"/>
      <c r="CS737" s="1120"/>
      <c r="CT737" s="1121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493"/>
        <v/>
      </c>
      <c r="CA738" s="373" t="str">
        <f t="shared" si="2494"/>
        <v/>
      </c>
      <c r="CB738" s="373" t="str">
        <f t="shared" si="2495"/>
        <v/>
      </c>
      <c r="CC738" s="462" t="str">
        <f t="shared" si="2496"/>
        <v/>
      </c>
      <c r="CD738" s="1109" t="str">
        <f t="shared" ref="CD738:CM741" si="250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0" t="str">
        <f t="shared" si="2505"/>
        <v/>
      </c>
      <c r="CF738" s="1111" t="str">
        <f t="shared" si="2505"/>
        <v/>
      </c>
      <c r="CG738" s="1111" t="str">
        <f t="shared" si="2505"/>
        <v/>
      </c>
      <c r="CH738" s="1111" t="str">
        <f t="shared" si="2505"/>
        <v/>
      </c>
      <c r="CI738" s="1111" t="str">
        <f t="shared" si="2505"/>
        <v/>
      </c>
      <c r="CJ738" s="1111" t="str">
        <f t="shared" si="2505"/>
        <v/>
      </c>
      <c r="CK738" s="1112" t="str">
        <f t="shared" si="2505"/>
        <v/>
      </c>
      <c r="CL738" s="1112" t="str">
        <f t="shared" si="2505"/>
        <v/>
      </c>
      <c r="CM738" s="1112" t="str">
        <f t="shared" si="2505"/>
        <v/>
      </c>
      <c r="CN738" s="1111" t="str">
        <f t="shared" ref="CN738:CT741" si="250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1" t="str">
        <f t="shared" si="2506"/>
        <v/>
      </c>
      <c r="CP738" s="1111" t="str">
        <f t="shared" si="2506"/>
        <v/>
      </c>
      <c r="CQ738" s="1111" t="str">
        <f t="shared" si="2506"/>
        <v/>
      </c>
      <c r="CR738" s="1111" t="str">
        <f t="shared" si="2506"/>
        <v/>
      </c>
      <c r="CS738" s="1110" t="str">
        <f t="shared" si="2506"/>
        <v/>
      </c>
      <c r="CT738" s="1113" t="str">
        <f t="shared" si="2506"/>
        <v/>
      </c>
      <c r="CU738" s="324" t="str">
        <f t="shared" ref="CU738:DD742" si="250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507"/>
        <v/>
      </c>
      <c r="CW738" s="326" t="str">
        <f t="shared" si="2507"/>
        <v/>
      </c>
      <c r="CX738" s="326" t="str">
        <f t="shared" si="2507"/>
        <v/>
      </c>
      <c r="CY738" s="326" t="str">
        <f t="shared" si="2507"/>
        <v/>
      </c>
      <c r="CZ738" s="326" t="str">
        <f t="shared" si="2507"/>
        <v/>
      </c>
      <c r="DA738" s="326" t="str">
        <f t="shared" si="2507"/>
        <v/>
      </c>
      <c r="DB738" s="327" t="str">
        <f t="shared" si="2507"/>
        <v/>
      </c>
      <c r="DC738" s="327" t="str">
        <f t="shared" si="2507"/>
        <v/>
      </c>
      <c r="DD738" s="327" t="str">
        <f t="shared" si="2507"/>
        <v/>
      </c>
      <c r="DE738" s="326" t="str">
        <f t="shared" ref="DE738:DK742" si="250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508"/>
        <v/>
      </c>
      <c r="DG738" s="326" t="str">
        <f t="shared" si="2508"/>
        <v/>
      </c>
      <c r="DH738" s="326" t="str">
        <f t="shared" si="2508"/>
        <v/>
      </c>
      <c r="DI738" s="326" t="str">
        <f t="shared" si="2508"/>
        <v/>
      </c>
      <c r="DJ738" s="325" t="str">
        <f t="shared" si="2508"/>
        <v/>
      </c>
      <c r="DK738" s="324" t="str">
        <f t="shared" si="2508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493"/>
        <v/>
      </c>
      <c r="CA739" s="373" t="str">
        <f t="shared" si="2494"/>
        <v/>
      </c>
      <c r="CB739" s="373" t="str">
        <f t="shared" si="2495"/>
        <v/>
      </c>
      <c r="CC739" s="462" t="str">
        <f t="shared" si="2496"/>
        <v/>
      </c>
      <c r="CD739" s="1109" t="str">
        <f t="shared" si="2505"/>
        <v/>
      </c>
      <c r="CE739" s="1110" t="str">
        <f t="shared" si="2505"/>
        <v/>
      </c>
      <c r="CF739" s="1111" t="str">
        <f t="shared" si="2505"/>
        <v/>
      </c>
      <c r="CG739" s="1111" t="str">
        <f t="shared" si="2505"/>
        <v/>
      </c>
      <c r="CH739" s="1111" t="str">
        <f t="shared" si="2505"/>
        <v/>
      </c>
      <c r="CI739" s="1111" t="str">
        <f t="shared" si="2505"/>
        <v/>
      </c>
      <c r="CJ739" s="1111" t="str">
        <f t="shared" si="2505"/>
        <v/>
      </c>
      <c r="CK739" s="1112" t="str">
        <f t="shared" si="2505"/>
        <v/>
      </c>
      <c r="CL739" s="1112" t="str">
        <f t="shared" si="2505"/>
        <v/>
      </c>
      <c r="CM739" s="1112" t="str">
        <f t="shared" si="2505"/>
        <v/>
      </c>
      <c r="CN739" s="1111" t="str">
        <f t="shared" si="2506"/>
        <v/>
      </c>
      <c r="CO739" s="1111" t="str">
        <f t="shared" si="2506"/>
        <v/>
      </c>
      <c r="CP739" s="1111" t="str">
        <f t="shared" si="2506"/>
        <v/>
      </c>
      <c r="CQ739" s="1111" t="str">
        <f t="shared" si="2506"/>
        <v/>
      </c>
      <c r="CR739" s="1111" t="str">
        <f t="shared" si="2506"/>
        <v/>
      </c>
      <c r="CS739" s="1110" t="str">
        <f t="shared" si="2506"/>
        <v/>
      </c>
      <c r="CT739" s="1113" t="str">
        <f t="shared" si="2506"/>
        <v/>
      </c>
      <c r="CU739" s="324" t="str">
        <f t="shared" si="2507"/>
        <v/>
      </c>
      <c r="CV739" s="325" t="str">
        <f t="shared" si="2507"/>
        <v/>
      </c>
      <c r="CW739" s="326" t="str">
        <f t="shared" si="2507"/>
        <v/>
      </c>
      <c r="CX739" s="326" t="str">
        <f t="shared" si="2507"/>
        <v/>
      </c>
      <c r="CY739" s="326" t="str">
        <f t="shared" si="2507"/>
        <v/>
      </c>
      <c r="CZ739" s="326" t="str">
        <f t="shared" si="2507"/>
        <v/>
      </c>
      <c r="DA739" s="326" t="str">
        <f t="shared" si="2507"/>
        <v/>
      </c>
      <c r="DB739" s="327" t="str">
        <f t="shared" si="2507"/>
        <v/>
      </c>
      <c r="DC739" s="327" t="str">
        <f t="shared" si="2507"/>
        <v/>
      </c>
      <c r="DD739" s="327" t="str">
        <f t="shared" si="2507"/>
        <v/>
      </c>
      <c r="DE739" s="326" t="str">
        <f t="shared" si="2508"/>
        <v/>
      </c>
      <c r="DF739" s="326" t="str">
        <f t="shared" si="2508"/>
        <v/>
      </c>
      <c r="DG739" s="326" t="str">
        <f t="shared" si="2508"/>
        <v/>
      </c>
      <c r="DH739" s="326" t="str">
        <f t="shared" si="2508"/>
        <v/>
      </c>
      <c r="DI739" s="326" t="str">
        <f t="shared" si="2508"/>
        <v/>
      </c>
      <c r="DJ739" s="325" t="str">
        <f t="shared" si="2508"/>
        <v/>
      </c>
      <c r="DK739" s="324" t="str">
        <f t="shared" si="2508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493"/>
        <v/>
      </c>
      <c r="CA740" s="373" t="str">
        <f t="shared" si="2494"/>
        <v/>
      </c>
      <c r="CB740" s="373" t="str">
        <f t="shared" si="2495"/>
        <v/>
      </c>
      <c r="CC740" s="462" t="str">
        <f t="shared" si="2496"/>
        <v/>
      </c>
      <c r="CD740" s="1109" t="str">
        <f t="shared" si="2505"/>
        <v/>
      </c>
      <c r="CE740" s="1110" t="str">
        <f t="shared" si="2505"/>
        <v/>
      </c>
      <c r="CF740" s="1111" t="str">
        <f t="shared" si="2505"/>
        <v/>
      </c>
      <c r="CG740" s="1111" t="str">
        <f t="shared" si="2505"/>
        <v/>
      </c>
      <c r="CH740" s="1111" t="str">
        <f t="shared" si="2505"/>
        <v/>
      </c>
      <c r="CI740" s="1111" t="str">
        <f t="shared" si="2505"/>
        <v/>
      </c>
      <c r="CJ740" s="1111" t="str">
        <f t="shared" si="2505"/>
        <v/>
      </c>
      <c r="CK740" s="1112" t="str">
        <f t="shared" si="2505"/>
        <v/>
      </c>
      <c r="CL740" s="1112" t="str">
        <f t="shared" si="2505"/>
        <v/>
      </c>
      <c r="CM740" s="1112" t="str">
        <f t="shared" si="2505"/>
        <v/>
      </c>
      <c r="CN740" s="1111" t="str">
        <f t="shared" si="2506"/>
        <v/>
      </c>
      <c r="CO740" s="1111" t="str">
        <f t="shared" si="2506"/>
        <v/>
      </c>
      <c r="CP740" s="1111" t="str">
        <f t="shared" si="2506"/>
        <v/>
      </c>
      <c r="CQ740" s="1111" t="str">
        <f t="shared" si="2506"/>
        <v/>
      </c>
      <c r="CR740" s="1111" t="str">
        <f t="shared" si="2506"/>
        <v/>
      </c>
      <c r="CS740" s="1110" t="str">
        <f t="shared" si="2506"/>
        <v/>
      </c>
      <c r="CT740" s="1113" t="str">
        <f t="shared" si="2506"/>
        <v/>
      </c>
      <c r="CU740" s="324" t="str">
        <f t="shared" si="2507"/>
        <v/>
      </c>
      <c r="CV740" s="325" t="str">
        <f t="shared" si="2507"/>
        <v/>
      </c>
      <c r="CW740" s="326" t="str">
        <f t="shared" si="2507"/>
        <v/>
      </c>
      <c r="CX740" s="326" t="str">
        <f t="shared" si="2507"/>
        <v/>
      </c>
      <c r="CY740" s="326" t="str">
        <f t="shared" si="2507"/>
        <v/>
      </c>
      <c r="CZ740" s="326" t="str">
        <f t="shared" si="2507"/>
        <v/>
      </c>
      <c r="DA740" s="326" t="str">
        <f t="shared" si="2507"/>
        <v/>
      </c>
      <c r="DB740" s="327" t="str">
        <f t="shared" si="2507"/>
        <v/>
      </c>
      <c r="DC740" s="327" t="str">
        <f t="shared" si="2507"/>
        <v/>
      </c>
      <c r="DD740" s="327" t="str">
        <f t="shared" si="2507"/>
        <v/>
      </c>
      <c r="DE740" s="326" t="str">
        <f t="shared" si="2508"/>
        <v/>
      </c>
      <c r="DF740" s="326" t="str">
        <f t="shared" si="2508"/>
        <v/>
      </c>
      <c r="DG740" s="326" t="str">
        <f t="shared" si="2508"/>
        <v/>
      </c>
      <c r="DH740" s="326" t="str">
        <f t="shared" si="2508"/>
        <v/>
      </c>
      <c r="DI740" s="326" t="str">
        <f t="shared" si="2508"/>
        <v/>
      </c>
      <c r="DJ740" s="325" t="str">
        <f t="shared" si="2508"/>
        <v/>
      </c>
      <c r="DK740" s="324" t="str">
        <f t="shared" si="2508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493"/>
        <v/>
      </c>
      <c r="CA741" s="373" t="str">
        <f t="shared" si="2494"/>
        <v/>
      </c>
      <c r="CB741" s="373" t="str">
        <f t="shared" si="2495"/>
        <v/>
      </c>
      <c r="CC741" s="462" t="str">
        <f t="shared" si="2496"/>
        <v/>
      </c>
      <c r="CD741" s="1109" t="str">
        <f t="shared" si="2505"/>
        <v/>
      </c>
      <c r="CE741" s="1110" t="str">
        <f t="shared" si="2505"/>
        <v/>
      </c>
      <c r="CF741" s="1111" t="str">
        <f t="shared" si="2505"/>
        <v/>
      </c>
      <c r="CG741" s="1111" t="str">
        <f t="shared" si="2505"/>
        <v/>
      </c>
      <c r="CH741" s="1111" t="str">
        <f t="shared" si="2505"/>
        <v/>
      </c>
      <c r="CI741" s="1111" t="str">
        <f t="shared" si="2505"/>
        <v/>
      </c>
      <c r="CJ741" s="1111" t="str">
        <f t="shared" si="2505"/>
        <v/>
      </c>
      <c r="CK741" s="1112" t="str">
        <f t="shared" si="2505"/>
        <v/>
      </c>
      <c r="CL741" s="1112" t="str">
        <f t="shared" si="2505"/>
        <v/>
      </c>
      <c r="CM741" s="1112" t="str">
        <f t="shared" si="2505"/>
        <v/>
      </c>
      <c r="CN741" s="1111" t="str">
        <f t="shared" si="2506"/>
        <v/>
      </c>
      <c r="CO741" s="1111" t="str">
        <f t="shared" si="2506"/>
        <v/>
      </c>
      <c r="CP741" s="1111" t="str">
        <f t="shared" si="2506"/>
        <v/>
      </c>
      <c r="CQ741" s="1111" t="str">
        <f t="shared" si="2506"/>
        <v/>
      </c>
      <c r="CR741" s="1111" t="str">
        <f t="shared" si="2506"/>
        <v/>
      </c>
      <c r="CS741" s="1110" t="str">
        <f t="shared" si="2506"/>
        <v/>
      </c>
      <c r="CT741" s="1113" t="str">
        <f t="shared" si="2506"/>
        <v/>
      </c>
      <c r="CU741" s="324" t="str">
        <f t="shared" si="2507"/>
        <v/>
      </c>
      <c r="CV741" s="325" t="str">
        <f t="shared" si="2507"/>
        <v/>
      </c>
      <c r="CW741" s="326" t="str">
        <f t="shared" si="2507"/>
        <v/>
      </c>
      <c r="CX741" s="326" t="str">
        <f t="shared" si="2507"/>
        <v/>
      </c>
      <c r="CY741" s="326" t="str">
        <f t="shared" si="2507"/>
        <v/>
      </c>
      <c r="CZ741" s="326" t="str">
        <f t="shared" si="2507"/>
        <v/>
      </c>
      <c r="DA741" s="326" t="str">
        <f t="shared" si="2507"/>
        <v/>
      </c>
      <c r="DB741" s="327" t="str">
        <f t="shared" si="2507"/>
        <v/>
      </c>
      <c r="DC741" s="327" t="str">
        <f t="shared" si="2507"/>
        <v/>
      </c>
      <c r="DD741" s="327" t="str">
        <f t="shared" si="2507"/>
        <v/>
      </c>
      <c r="DE741" s="326" t="str">
        <f t="shared" si="2508"/>
        <v/>
      </c>
      <c r="DF741" s="326" t="str">
        <f t="shared" si="2508"/>
        <v/>
      </c>
      <c r="DG741" s="326" t="str">
        <f t="shared" si="2508"/>
        <v/>
      </c>
      <c r="DH741" s="326" t="str">
        <f t="shared" si="2508"/>
        <v/>
      </c>
      <c r="DI741" s="326" t="str">
        <f t="shared" si="2508"/>
        <v/>
      </c>
      <c r="DJ741" s="325" t="str">
        <f t="shared" si="2508"/>
        <v/>
      </c>
      <c r="DK741" s="324" t="str">
        <f t="shared" si="2508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493"/>
        <v>0</v>
      </c>
      <c r="CA742" s="373">
        <f t="shared" si="2494"/>
        <v>128.57142857142858</v>
      </c>
      <c r="CB742" s="373">
        <f t="shared" si="2495"/>
        <v>0</v>
      </c>
      <c r="CC742" s="462">
        <f t="shared" si="2496"/>
        <v>0</v>
      </c>
      <c r="CD742" s="1109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0" t="str">
        <f t="shared" ref="CE742:CT742" si="250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1" t="str">
        <f t="shared" si="2509"/>
        <v/>
      </c>
      <c r="CG742" s="1111" t="str">
        <f t="shared" si="2509"/>
        <v/>
      </c>
      <c r="CH742" s="1111">
        <f t="shared" si="2509"/>
        <v>0</v>
      </c>
      <c r="CI742" s="1111">
        <f t="shared" si="2509"/>
        <v>0</v>
      </c>
      <c r="CJ742" s="1111">
        <f t="shared" si="2509"/>
        <v>0</v>
      </c>
      <c r="CK742" s="1112">
        <f t="shared" si="2509"/>
        <v>0</v>
      </c>
      <c r="CL742" s="1112">
        <f t="shared" si="2509"/>
        <v>0</v>
      </c>
      <c r="CM742" s="1112">
        <f t="shared" si="2509"/>
        <v>0</v>
      </c>
      <c r="CN742" s="1111">
        <f t="shared" si="2509"/>
        <v>0</v>
      </c>
      <c r="CO742" s="1111">
        <f t="shared" si="2509"/>
        <v>0</v>
      </c>
      <c r="CP742" s="1111">
        <f t="shared" si="2509"/>
        <v>0</v>
      </c>
      <c r="CQ742" s="1111" t="str">
        <f t="shared" si="2509"/>
        <v/>
      </c>
      <c r="CR742" s="1111" t="str">
        <f t="shared" si="2509"/>
        <v/>
      </c>
      <c r="CS742" s="1110" t="str">
        <f t="shared" si="2509"/>
        <v/>
      </c>
      <c r="CT742" s="1113" t="str">
        <f t="shared" si="2509"/>
        <v/>
      </c>
      <c r="CU742" s="324" t="str">
        <f t="shared" si="2507"/>
        <v/>
      </c>
      <c r="CV742" s="325" t="str">
        <f t="shared" si="2507"/>
        <v/>
      </c>
      <c r="CW742" s="326" t="str">
        <f t="shared" si="2507"/>
        <v/>
      </c>
      <c r="CX742" s="326" t="str">
        <f t="shared" si="2507"/>
        <v/>
      </c>
      <c r="CY742" s="326">
        <f t="shared" si="2507"/>
        <v>0</v>
      </c>
      <c r="CZ742" s="326">
        <f t="shared" si="2507"/>
        <v>0</v>
      </c>
      <c r="DA742" s="326">
        <f t="shared" si="2507"/>
        <v>0</v>
      </c>
      <c r="DB742" s="327">
        <f t="shared" si="2507"/>
        <v>0</v>
      </c>
      <c r="DC742" s="327">
        <f t="shared" si="2507"/>
        <v>0</v>
      </c>
      <c r="DD742" s="327">
        <f t="shared" si="2507"/>
        <v>0</v>
      </c>
      <c r="DE742" s="326">
        <f t="shared" si="2508"/>
        <v>0</v>
      </c>
      <c r="DF742" s="326">
        <f t="shared" si="2508"/>
        <v>900</v>
      </c>
      <c r="DG742" s="326">
        <f t="shared" si="2508"/>
        <v>920</v>
      </c>
      <c r="DH742" s="326" t="str">
        <f t="shared" si="2508"/>
        <v/>
      </c>
      <c r="DI742" s="326" t="str">
        <f t="shared" si="2508"/>
        <v/>
      </c>
      <c r="DJ742" s="325" t="str">
        <f t="shared" si="2508"/>
        <v/>
      </c>
      <c r="DK742" s="324" t="str">
        <f t="shared" si="2508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0"/>
      <c r="CE743" s="1120"/>
      <c r="CF743" s="1120"/>
      <c r="CG743" s="1120"/>
      <c r="CH743" s="1120"/>
      <c r="CI743" s="1120"/>
      <c r="CJ743" s="1120"/>
      <c r="CK743" s="1120"/>
      <c r="CL743" s="1120"/>
      <c r="CM743" s="1120"/>
      <c r="CN743" s="1120"/>
      <c r="CO743" s="1120"/>
      <c r="CP743" s="1120"/>
      <c r="CQ743" s="1120"/>
      <c r="CR743" s="1120"/>
      <c r="CS743" s="1120"/>
      <c r="CT743" s="1120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510">IF(DL744&lt;3,"",(SUM(B744:R744)-MIN(B744:R744)-MAX(B744:R744))/(DL744-2))</f>
        <v/>
      </c>
      <c r="CA744" s="373" t="str">
        <f t="shared" ref="CA744:CA759" si="2511">IF(DM744&lt;3,"",(SUM(T744:AJ744)-MIN(T744:AJ744)-MAX(T744:AJ744))/(DM744-2))</f>
        <v/>
      </c>
      <c r="CB744" s="373" t="str">
        <f t="shared" ref="CB744:CB759" si="2512">IF(DN744&lt;3,"",(SUM(AL744:BB744)-MIN(AL744:BB744)-MAX(AL744:BB744))/(DN744-2))</f>
        <v/>
      </c>
      <c r="CC744" s="462" t="str">
        <f t="shared" ref="CC744:CC759" si="2513">IF(DO744&lt;3,"",(SUM(BD744:BT744)-MIN(BD744:BT744)-MAX(BD744:BT744))/(DO744-2))</f>
        <v/>
      </c>
      <c r="CD744" s="1109" t="str">
        <f t="shared" ref="CD744:CM747" si="251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0" t="str">
        <f t="shared" si="2514"/>
        <v/>
      </c>
      <c r="CF744" s="1111" t="str">
        <f t="shared" si="2514"/>
        <v/>
      </c>
      <c r="CG744" s="1111" t="str">
        <f t="shared" si="2514"/>
        <v/>
      </c>
      <c r="CH744" s="1111" t="str">
        <f t="shared" si="2514"/>
        <v/>
      </c>
      <c r="CI744" s="1111" t="str">
        <f t="shared" si="2514"/>
        <v/>
      </c>
      <c r="CJ744" s="1111" t="str">
        <f t="shared" si="2514"/>
        <v/>
      </c>
      <c r="CK744" s="1112" t="str">
        <f t="shared" si="2514"/>
        <v/>
      </c>
      <c r="CL744" s="1112" t="str">
        <f t="shared" si="2514"/>
        <v/>
      </c>
      <c r="CM744" s="1112" t="str">
        <f t="shared" si="2514"/>
        <v/>
      </c>
      <c r="CN744" s="1111" t="str">
        <f t="shared" ref="CN744:CT747" si="251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1" t="str">
        <f t="shared" si="2515"/>
        <v/>
      </c>
      <c r="CP744" s="1111" t="str">
        <f t="shared" si="2515"/>
        <v/>
      </c>
      <c r="CQ744" s="1111" t="str">
        <f t="shared" si="2515"/>
        <v/>
      </c>
      <c r="CR744" s="1111" t="str">
        <f t="shared" si="2515"/>
        <v/>
      </c>
      <c r="CS744" s="1110" t="str">
        <f t="shared" si="2515"/>
        <v/>
      </c>
      <c r="CT744" s="1113" t="str">
        <f t="shared" si="2515"/>
        <v/>
      </c>
      <c r="CU744" s="324" t="str">
        <f t="shared" ref="CU744:DD748" si="251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516"/>
        <v/>
      </c>
      <c r="CW744" s="326" t="str">
        <f t="shared" si="2516"/>
        <v/>
      </c>
      <c r="CX744" s="326" t="str">
        <f t="shared" si="2516"/>
        <v/>
      </c>
      <c r="CY744" s="326" t="str">
        <f t="shared" si="2516"/>
        <v/>
      </c>
      <c r="CZ744" s="326" t="str">
        <f t="shared" si="2516"/>
        <v/>
      </c>
      <c r="DA744" s="326" t="str">
        <f t="shared" si="2516"/>
        <v/>
      </c>
      <c r="DB744" s="327" t="str">
        <f t="shared" si="2516"/>
        <v/>
      </c>
      <c r="DC744" s="327" t="str">
        <f t="shared" si="2516"/>
        <v/>
      </c>
      <c r="DD744" s="327" t="str">
        <f t="shared" si="2516"/>
        <v/>
      </c>
      <c r="DE744" s="326" t="str">
        <f t="shared" ref="DE744:DK748" si="251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517"/>
        <v/>
      </c>
      <c r="DG744" s="326" t="str">
        <f t="shared" si="2517"/>
        <v/>
      </c>
      <c r="DH744" s="326" t="str">
        <f t="shared" si="2517"/>
        <v/>
      </c>
      <c r="DI744" s="326" t="str">
        <f t="shared" si="2517"/>
        <v/>
      </c>
      <c r="DJ744" s="325" t="str">
        <f t="shared" si="2517"/>
        <v/>
      </c>
      <c r="DK744" s="324" t="str">
        <f t="shared" si="2517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510"/>
        <v/>
      </c>
      <c r="CA745" s="373" t="str">
        <f t="shared" si="2511"/>
        <v/>
      </c>
      <c r="CB745" s="373" t="str">
        <f t="shared" si="2512"/>
        <v/>
      </c>
      <c r="CC745" s="462" t="str">
        <f t="shared" si="2513"/>
        <v/>
      </c>
      <c r="CD745" s="1109" t="str">
        <f t="shared" si="2514"/>
        <v/>
      </c>
      <c r="CE745" s="1110" t="str">
        <f t="shared" si="2514"/>
        <v/>
      </c>
      <c r="CF745" s="1111" t="str">
        <f t="shared" si="2514"/>
        <v/>
      </c>
      <c r="CG745" s="1111" t="str">
        <f t="shared" si="2514"/>
        <v/>
      </c>
      <c r="CH745" s="1111" t="str">
        <f t="shared" si="2514"/>
        <v/>
      </c>
      <c r="CI745" s="1111" t="str">
        <f t="shared" si="2514"/>
        <v/>
      </c>
      <c r="CJ745" s="1111" t="str">
        <f t="shared" si="2514"/>
        <v/>
      </c>
      <c r="CK745" s="1112" t="str">
        <f t="shared" si="2514"/>
        <v/>
      </c>
      <c r="CL745" s="1112" t="str">
        <f t="shared" si="2514"/>
        <v/>
      </c>
      <c r="CM745" s="1112" t="str">
        <f t="shared" si="2514"/>
        <v/>
      </c>
      <c r="CN745" s="1111" t="str">
        <f t="shared" si="2515"/>
        <v/>
      </c>
      <c r="CO745" s="1111" t="str">
        <f t="shared" si="2515"/>
        <v/>
      </c>
      <c r="CP745" s="1111" t="str">
        <f t="shared" si="2515"/>
        <v/>
      </c>
      <c r="CQ745" s="1111" t="str">
        <f t="shared" si="2515"/>
        <v/>
      </c>
      <c r="CR745" s="1111" t="str">
        <f t="shared" si="2515"/>
        <v/>
      </c>
      <c r="CS745" s="1110" t="str">
        <f t="shared" si="2515"/>
        <v/>
      </c>
      <c r="CT745" s="1113" t="str">
        <f t="shared" si="2515"/>
        <v/>
      </c>
      <c r="CU745" s="324" t="str">
        <f t="shared" si="2516"/>
        <v/>
      </c>
      <c r="CV745" s="325" t="str">
        <f t="shared" si="2516"/>
        <v/>
      </c>
      <c r="CW745" s="326" t="str">
        <f t="shared" si="2516"/>
        <v/>
      </c>
      <c r="CX745" s="326" t="str">
        <f t="shared" si="2516"/>
        <v/>
      </c>
      <c r="CY745" s="326" t="str">
        <f t="shared" si="2516"/>
        <v/>
      </c>
      <c r="CZ745" s="326" t="str">
        <f t="shared" si="2516"/>
        <v/>
      </c>
      <c r="DA745" s="326" t="str">
        <f t="shared" si="2516"/>
        <v/>
      </c>
      <c r="DB745" s="327" t="str">
        <f t="shared" si="2516"/>
        <v/>
      </c>
      <c r="DC745" s="327" t="str">
        <f t="shared" si="2516"/>
        <v/>
      </c>
      <c r="DD745" s="327" t="str">
        <f t="shared" si="2516"/>
        <v/>
      </c>
      <c r="DE745" s="326" t="str">
        <f t="shared" si="2517"/>
        <v/>
      </c>
      <c r="DF745" s="326" t="str">
        <f t="shared" si="2517"/>
        <v/>
      </c>
      <c r="DG745" s="326" t="str">
        <f t="shared" si="2517"/>
        <v/>
      </c>
      <c r="DH745" s="326" t="str">
        <f t="shared" si="2517"/>
        <v/>
      </c>
      <c r="DI745" s="326" t="str">
        <f t="shared" si="2517"/>
        <v/>
      </c>
      <c r="DJ745" s="325" t="str">
        <f t="shared" si="2517"/>
        <v/>
      </c>
      <c r="DK745" s="324" t="str">
        <f t="shared" si="2517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510"/>
        <v/>
      </c>
      <c r="CA746" s="373" t="str">
        <f t="shared" si="2511"/>
        <v/>
      </c>
      <c r="CB746" s="373" t="str">
        <f t="shared" si="2512"/>
        <v/>
      </c>
      <c r="CC746" s="462" t="str">
        <f t="shared" si="2513"/>
        <v/>
      </c>
      <c r="CD746" s="1109" t="str">
        <f t="shared" si="2514"/>
        <v/>
      </c>
      <c r="CE746" s="1110" t="str">
        <f t="shared" si="2514"/>
        <v/>
      </c>
      <c r="CF746" s="1111" t="str">
        <f t="shared" si="2514"/>
        <v/>
      </c>
      <c r="CG746" s="1111" t="str">
        <f t="shared" si="2514"/>
        <v/>
      </c>
      <c r="CH746" s="1111" t="str">
        <f t="shared" si="2514"/>
        <v/>
      </c>
      <c r="CI746" s="1111" t="str">
        <f t="shared" si="2514"/>
        <v/>
      </c>
      <c r="CJ746" s="1111" t="str">
        <f t="shared" si="2514"/>
        <v/>
      </c>
      <c r="CK746" s="1112" t="str">
        <f t="shared" si="2514"/>
        <v/>
      </c>
      <c r="CL746" s="1112" t="str">
        <f t="shared" si="2514"/>
        <v/>
      </c>
      <c r="CM746" s="1112" t="str">
        <f t="shared" si="2514"/>
        <v/>
      </c>
      <c r="CN746" s="1111" t="str">
        <f t="shared" si="2515"/>
        <v/>
      </c>
      <c r="CO746" s="1111" t="str">
        <f t="shared" si="2515"/>
        <v/>
      </c>
      <c r="CP746" s="1111" t="str">
        <f t="shared" si="2515"/>
        <v/>
      </c>
      <c r="CQ746" s="1111" t="str">
        <f t="shared" si="2515"/>
        <v/>
      </c>
      <c r="CR746" s="1111" t="str">
        <f t="shared" si="2515"/>
        <v/>
      </c>
      <c r="CS746" s="1110" t="str">
        <f t="shared" si="2515"/>
        <v/>
      </c>
      <c r="CT746" s="1113" t="str">
        <f t="shared" si="2515"/>
        <v/>
      </c>
      <c r="CU746" s="324" t="str">
        <f t="shared" si="2516"/>
        <v/>
      </c>
      <c r="CV746" s="325" t="str">
        <f t="shared" si="2516"/>
        <v/>
      </c>
      <c r="CW746" s="326" t="str">
        <f t="shared" si="2516"/>
        <v/>
      </c>
      <c r="CX746" s="326" t="str">
        <f t="shared" si="2516"/>
        <v/>
      </c>
      <c r="CY746" s="326" t="str">
        <f t="shared" si="2516"/>
        <v/>
      </c>
      <c r="CZ746" s="326" t="str">
        <f t="shared" si="2516"/>
        <v/>
      </c>
      <c r="DA746" s="326" t="str">
        <f t="shared" si="2516"/>
        <v/>
      </c>
      <c r="DB746" s="327" t="str">
        <f t="shared" si="2516"/>
        <v/>
      </c>
      <c r="DC746" s="327" t="str">
        <f t="shared" si="2516"/>
        <v/>
      </c>
      <c r="DD746" s="327" t="str">
        <f t="shared" si="2516"/>
        <v/>
      </c>
      <c r="DE746" s="326" t="str">
        <f t="shared" si="2517"/>
        <v/>
      </c>
      <c r="DF746" s="326" t="str">
        <f t="shared" si="2517"/>
        <v/>
      </c>
      <c r="DG746" s="326" t="str">
        <f t="shared" si="2517"/>
        <v/>
      </c>
      <c r="DH746" s="326" t="str">
        <f t="shared" si="2517"/>
        <v/>
      </c>
      <c r="DI746" s="326" t="str">
        <f t="shared" si="2517"/>
        <v/>
      </c>
      <c r="DJ746" s="325" t="str">
        <f t="shared" si="2517"/>
        <v/>
      </c>
      <c r="DK746" s="324" t="str">
        <f t="shared" si="2517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510"/>
        <v/>
      </c>
      <c r="CA747" s="373" t="str">
        <f t="shared" si="2511"/>
        <v/>
      </c>
      <c r="CB747" s="373" t="str">
        <f t="shared" si="2512"/>
        <v/>
      </c>
      <c r="CC747" s="462" t="str">
        <f t="shared" si="2513"/>
        <v/>
      </c>
      <c r="CD747" s="1109" t="str">
        <f t="shared" si="2514"/>
        <v/>
      </c>
      <c r="CE747" s="1110" t="str">
        <f t="shared" si="2514"/>
        <v/>
      </c>
      <c r="CF747" s="1111" t="str">
        <f t="shared" si="2514"/>
        <v/>
      </c>
      <c r="CG747" s="1111" t="str">
        <f t="shared" si="2514"/>
        <v/>
      </c>
      <c r="CH747" s="1111" t="str">
        <f t="shared" si="2514"/>
        <v/>
      </c>
      <c r="CI747" s="1111" t="str">
        <f t="shared" si="2514"/>
        <v/>
      </c>
      <c r="CJ747" s="1111" t="str">
        <f t="shared" si="2514"/>
        <v/>
      </c>
      <c r="CK747" s="1112" t="str">
        <f t="shared" si="2514"/>
        <v/>
      </c>
      <c r="CL747" s="1112" t="str">
        <f t="shared" si="2514"/>
        <v/>
      </c>
      <c r="CM747" s="1112" t="str">
        <f t="shared" si="2514"/>
        <v/>
      </c>
      <c r="CN747" s="1111" t="str">
        <f t="shared" si="2515"/>
        <v/>
      </c>
      <c r="CO747" s="1111" t="str">
        <f t="shared" si="2515"/>
        <v/>
      </c>
      <c r="CP747" s="1111" t="str">
        <f t="shared" si="2515"/>
        <v/>
      </c>
      <c r="CQ747" s="1111" t="str">
        <f t="shared" si="2515"/>
        <v/>
      </c>
      <c r="CR747" s="1111" t="str">
        <f t="shared" si="2515"/>
        <v/>
      </c>
      <c r="CS747" s="1110" t="str">
        <f t="shared" si="2515"/>
        <v/>
      </c>
      <c r="CT747" s="1113" t="str">
        <f t="shared" si="2515"/>
        <v/>
      </c>
      <c r="CU747" s="324" t="str">
        <f t="shared" si="2516"/>
        <v/>
      </c>
      <c r="CV747" s="325" t="str">
        <f t="shared" si="2516"/>
        <v/>
      </c>
      <c r="CW747" s="326" t="str">
        <f t="shared" si="2516"/>
        <v/>
      </c>
      <c r="CX747" s="326" t="str">
        <f t="shared" si="2516"/>
        <v/>
      </c>
      <c r="CY747" s="326" t="str">
        <f t="shared" si="2516"/>
        <v/>
      </c>
      <c r="CZ747" s="326" t="str">
        <f t="shared" si="2516"/>
        <v/>
      </c>
      <c r="DA747" s="326" t="str">
        <f t="shared" si="2516"/>
        <v/>
      </c>
      <c r="DB747" s="327" t="str">
        <f t="shared" si="2516"/>
        <v/>
      </c>
      <c r="DC747" s="327" t="str">
        <f t="shared" si="2516"/>
        <v/>
      </c>
      <c r="DD747" s="327" t="str">
        <f t="shared" si="2516"/>
        <v/>
      </c>
      <c r="DE747" s="326" t="str">
        <f t="shared" si="2517"/>
        <v/>
      </c>
      <c r="DF747" s="326" t="str">
        <f t="shared" si="2517"/>
        <v/>
      </c>
      <c r="DG747" s="326" t="str">
        <f t="shared" si="2517"/>
        <v/>
      </c>
      <c r="DH747" s="326" t="str">
        <f t="shared" si="2517"/>
        <v/>
      </c>
      <c r="DI747" s="326" t="str">
        <f t="shared" si="2517"/>
        <v/>
      </c>
      <c r="DJ747" s="325" t="str">
        <f t="shared" si="2517"/>
        <v/>
      </c>
      <c r="DK747" s="324" t="str">
        <f t="shared" si="2517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510"/>
        <v>0</v>
      </c>
      <c r="CA748" s="373">
        <f t="shared" si="2511"/>
        <v>0</v>
      </c>
      <c r="CB748" s="373">
        <f t="shared" si="2512"/>
        <v>0</v>
      </c>
      <c r="CC748" s="462">
        <f t="shared" si="2513"/>
        <v>0</v>
      </c>
      <c r="CD748" s="1109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0" t="str">
        <f t="shared" ref="CE748:CT748" si="251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1" t="str">
        <f t="shared" si="2518"/>
        <v/>
      </c>
      <c r="CG748" s="1111" t="str">
        <f t="shared" si="2518"/>
        <v/>
      </c>
      <c r="CH748" s="1111">
        <f t="shared" si="2518"/>
        <v>0</v>
      </c>
      <c r="CI748" s="1111">
        <f t="shared" si="2518"/>
        <v>0</v>
      </c>
      <c r="CJ748" s="1111">
        <f t="shared" si="2518"/>
        <v>0</v>
      </c>
      <c r="CK748" s="1112">
        <f t="shared" si="2518"/>
        <v>0</v>
      </c>
      <c r="CL748" s="1112">
        <f t="shared" si="2518"/>
        <v>0</v>
      </c>
      <c r="CM748" s="1112">
        <f t="shared" si="2518"/>
        <v>0</v>
      </c>
      <c r="CN748" s="1111">
        <f t="shared" si="2518"/>
        <v>0</v>
      </c>
      <c r="CO748" s="1111">
        <f t="shared" si="2518"/>
        <v>0</v>
      </c>
      <c r="CP748" s="1111">
        <f t="shared" si="2518"/>
        <v>0</v>
      </c>
      <c r="CQ748" s="1111" t="str">
        <f t="shared" si="2518"/>
        <v/>
      </c>
      <c r="CR748" s="1111" t="str">
        <f t="shared" si="2518"/>
        <v/>
      </c>
      <c r="CS748" s="1110" t="str">
        <f t="shared" si="2518"/>
        <v/>
      </c>
      <c r="CT748" s="1113" t="str">
        <f t="shared" si="2518"/>
        <v/>
      </c>
      <c r="CU748" s="324" t="str">
        <f t="shared" si="2516"/>
        <v/>
      </c>
      <c r="CV748" s="325" t="str">
        <f t="shared" si="2516"/>
        <v/>
      </c>
      <c r="CW748" s="326" t="str">
        <f t="shared" si="2516"/>
        <v/>
      </c>
      <c r="CX748" s="326" t="str">
        <f t="shared" si="2516"/>
        <v/>
      </c>
      <c r="CY748" s="326">
        <f t="shared" si="2516"/>
        <v>0</v>
      </c>
      <c r="CZ748" s="326">
        <f t="shared" si="2516"/>
        <v>0</v>
      </c>
      <c r="DA748" s="326">
        <f t="shared" si="2516"/>
        <v>0</v>
      </c>
      <c r="DB748" s="327">
        <f t="shared" si="2516"/>
        <v>0</v>
      </c>
      <c r="DC748" s="327">
        <f t="shared" si="2516"/>
        <v>0</v>
      </c>
      <c r="DD748" s="327">
        <f t="shared" si="2516"/>
        <v>0</v>
      </c>
      <c r="DE748" s="326">
        <f t="shared" si="2517"/>
        <v>0</v>
      </c>
      <c r="DF748" s="326">
        <f t="shared" si="2517"/>
        <v>0</v>
      </c>
      <c r="DG748" s="326">
        <f t="shared" si="2517"/>
        <v>0</v>
      </c>
      <c r="DH748" s="326" t="str">
        <f t="shared" si="2517"/>
        <v/>
      </c>
      <c r="DI748" s="326" t="str">
        <f t="shared" si="2517"/>
        <v/>
      </c>
      <c r="DJ748" s="325" t="str">
        <f t="shared" si="2517"/>
        <v/>
      </c>
      <c r="DK748" s="324" t="str">
        <f t="shared" si="2517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510"/>
        <v/>
      </c>
      <c r="CA749" s="365" t="str">
        <f t="shared" si="2511"/>
        <v/>
      </c>
      <c r="CB749" s="365" t="str">
        <f t="shared" si="2512"/>
        <v/>
      </c>
      <c r="CC749" s="461" t="str">
        <f t="shared" si="2513"/>
        <v/>
      </c>
      <c r="CD749" s="1120"/>
      <c r="CE749" s="1120"/>
      <c r="CF749" s="1120"/>
      <c r="CG749" s="1120"/>
      <c r="CH749" s="1120"/>
      <c r="CI749" s="1120"/>
      <c r="CJ749" s="1120"/>
      <c r="CK749" s="1120"/>
      <c r="CL749" s="1120"/>
      <c r="CM749" s="1120"/>
      <c r="CN749" s="1120"/>
      <c r="CO749" s="1120"/>
      <c r="CP749" s="1120"/>
      <c r="CQ749" s="1120"/>
      <c r="CR749" s="1120"/>
      <c r="CS749" s="1120"/>
      <c r="CT749" s="1120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510"/>
        <v/>
      </c>
      <c r="CA750" s="373" t="str">
        <f t="shared" si="2511"/>
        <v/>
      </c>
      <c r="CB750" s="373" t="str">
        <f t="shared" si="2512"/>
        <v/>
      </c>
      <c r="CC750" s="462" t="str">
        <f t="shared" si="2513"/>
        <v/>
      </c>
      <c r="CD750" s="1109" t="str">
        <f t="shared" ref="CD750:CM753" si="251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0" t="str">
        <f t="shared" si="2519"/>
        <v/>
      </c>
      <c r="CF750" s="1111" t="str">
        <f t="shared" si="2519"/>
        <v/>
      </c>
      <c r="CG750" s="1111" t="str">
        <f t="shared" si="2519"/>
        <v/>
      </c>
      <c r="CH750" s="1111" t="str">
        <f t="shared" si="2519"/>
        <v/>
      </c>
      <c r="CI750" s="1111" t="str">
        <f t="shared" si="2519"/>
        <v/>
      </c>
      <c r="CJ750" s="1111" t="str">
        <f t="shared" si="2519"/>
        <v/>
      </c>
      <c r="CK750" s="1112" t="str">
        <f t="shared" si="2519"/>
        <v/>
      </c>
      <c r="CL750" s="1112" t="str">
        <f t="shared" si="2519"/>
        <v/>
      </c>
      <c r="CM750" s="1112" t="str">
        <f t="shared" si="2519"/>
        <v/>
      </c>
      <c r="CN750" s="1111" t="str">
        <f t="shared" ref="CN750:CT753" si="252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1" t="str">
        <f t="shared" si="2520"/>
        <v/>
      </c>
      <c r="CP750" s="1111" t="str">
        <f t="shared" si="2520"/>
        <v/>
      </c>
      <c r="CQ750" s="1111" t="str">
        <f t="shared" si="2520"/>
        <v/>
      </c>
      <c r="CR750" s="1111" t="str">
        <f t="shared" si="2520"/>
        <v/>
      </c>
      <c r="CS750" s="1110" t="str">
        <f t="shared" si="2520"/>
        <v/>
      </c>
      <c r="CT750" s="1113" t="str">
        <f t="shared" si="2520"/>
        <v/>
      </c>
      <c r="CU750" s="324" t="str">
        <f t="shared" ref="CU750:DD754" si="252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521"/>
        <v/>
      </c>
      <c r="CW750" s="326" t="str">
        <f t="shared" si="2521"/>
        <v/>
      </c>
      <c r="CX750" s="326" t="str">
        <f t="shared" si="2521"/>
        <v/>
      </c>
      <c r="CY750" s="326" t="str">
        <f t="shared" si="2521"/>
        <v/>
      </c>
      <c r="CZ750" s="326" t="str">
        <f t="shared" si="2521"/>
        <v/>
      </c>
      <c r="DA750" s="326" t="str">
        <f t="shared" si="2521"/>
        <v/>
      </c>
      <c r="DB750" s="327" t="str">
        <f t="shared" si="2521"/>
        <v/>
      </c>
      <c r="DC750" s="327" t="str">
        <f t="shared" si="2521"/>
        <v/>
      </c>
      <c r="DD750" s="327" t="str">
        <f t="shared" si="2521"/>
        <v/>
      </c>
      <c r="DE750" s="326" t="str">
        <f t="shared" ref="DE750:DK754" si="252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522"/>
        <v/>
      </c>
      <c r="DG750" s="326" t="str">
        <f t="shared" si="2522"/>
        <v/>
      </c>
      <c r="DH750" s="326" t="str">
        <f t="shared" si="2522"/>
        <v/>
      </c>
      <c r="DI750" s="326" t="str">
        <f t="shared" si="2522"/>
        <v/>
      </c>
      <c r="DJ750" s="325" t="str">
        <f t="shared" si="2522"/>
        <v/>
      </c>
      <c r="DK750" s="324" t="str">
        <f t="shared" si="2522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510"/>
        <v/>
      </c>
      <c r="CA751" s="373" t="str">
        <f t="shared" si="2511"/>
        <v/>
      </c>
      <c r="CB751" s="373" t="str">
        <f t="shared" si="2512"/>
        <v/>
      </c>
      <c r="CC751" s="462" t="str">
        <f t="shared" si="2513"/>
        <v/>
      </c>
      <c r="CD751" s="1109" t="str">
        <f t="shared" si="2519"/>
        <v/>
      </c>
      <c r="CE751" s="1110" t="str">
        <f t="shared" si="2519"/>
        <v/>
      </c>
      <c r="CF751" s="1111" t="str">
        <f t="shared" si="2519"/>
        <v/>
      </c>
      <c r="CG751" s="1111" t="str">
        <f t="shared" si="2519"/>
        <v/>
      </c>
      <c r="CH751" s="1111" t="str">
        <f t="shared" si="2519"/>
        <v/>
      </c>
      <c r="CI751" s="1111" t="str">
        <f t="shared" si="2519"/>
        <v/>
      </c>
      <c r="CJ751" s="1111" t="str">
        <f t="shared" si="2519"/>
        <v/>
      </c>
      <c r="CK751" s="1112" t="str">
        <f t="shared" si="2519"/>
        <v/>
      </c>
      <c r="CL751" s="1112" t="str">
        <f t="shared" si="2519"/>
        <v/>
      </c>
      <c r="CM751" s="1112" t="str">
        <f t="shared" si="2519"/>
        <v/>
      </c>
      <c r="CN751" s="1111" t="str">
        <f t="shared" si="2520"/>
        <v/>
      </c>
      <c r="CO751" s="1111" t="str">
        <f t="shared" si="2520"/>
        <v/>
      </c>
      <c r="CP751" s="1111" t="str">
        <f t="shared" si="2520"/>
        <v/>
      </c>
      <c r="CQ751" s="1111" t="str">
        <f t="shared" si="2520"/>
        <v/>
      </c>
      <c r="CR751" s="1111" t="str">
        <f t="shared" si="2520"/>
        <v/>
      </c>
      <c r="CS751" s="1110" t="str">
        <f t="shared" si="2520"/>
        <v/>
      </c>
      <c r="CT751" s="1113" t="str">
        <f t="shared" si="2520"/>
        <v/>
      </c>
      <c r="CU751" s="324" t="str">
        <f t="shared" si="2521"/>
        <v/>
      </c>
      <c r="CV751" s="325" t="str">
        <f t="shared" si="2521"/>
        <v/>
      </c>
      <c r="CW751" s="326" t="str">
        <f t="shared" si="2521"/>
        <v/>
      </c>
      <c r="CX751" s="326" t="str">
        <f t="shared" si="2521"/>
        <v/>
      </c>
      <c r="CY751" s="326" t="str">
        <f t="shared" si="2521"/>
        <v/>
      </c>
      <c r="CZ751" s="326" t="str">
        <f t="shared" si="2521"/>
        <v/>
      </c>
      <c r="DA751" s="326" t="str">
        <f t="shared" si="2521"/>
        <v/>
      </c>
      <c r="DB751" s="327" t="str">
        <f t="shared" si="2521"/>
        <v/>
      </c>
      <c r="DC751" s="327" t="str">
        <f t="shared" si="2521"/>
        <v/>
      </c>
      <c r="DD751" s="327" t="str">
        <f t="shared" si="2521"/>
        <v/>
      </c>
      <c r="DE751" s="326" t="str">
        <f t="shared" si="2522"/>
        <v/>
      </c>
      <c r="DF751" s="326" t="str">
        <f t="shared" si="2522"/>
        <v/>
      </c>
      <c r="DG751" s="326" t="str">
        <f t="shared" si="2522"/>
        <v/>
      </c>
      <c r="DH751" s="326" t="str">
        <f t="shared" si="2522"/>
        <v/>
      </c>
      <c r="DI751" s="326" t="str">
        <f t="shared" si="2522"/>
        <v/>
      </c>
      <c r="DJ751" s="325" t="str">
        <f t="shared" si="2522"/>
        <v/>
      </c>
      <c r="DK751" s="324" t="str">
        <f t="shared" si="2522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510"/>
        <v/>
      </c>
      <c r="CA752" s="373" t="str">
        <f t="shared" si="2511"/>
        <v/>
      </c>
      <c r="CB752" s="373" t="str">
        <f t="shared" si="2512"/>
        <v/>
      </c>
      <c r="CC752" s="462" t="str">
        <f t="shared" si="2513"/>
        <v/>
      </c>
      <c r="CD752" s="1109" t="str">
        <f t="shared" si="2519"/>
        <v/>
      </c>
      <c r="CE752" s="1110" t="str">
        <f t="shared" si="2519"/>
        <v/>
      </c>
      <c r="CF752" s="1111" t="str">
        <f t="shared" si="2519"/>
        <v/>
      </c>
      <c r="CG752" s="1111" t="str">
        <f t="shared" si="2519"/>
        <v/>
      </c>
      <c r="CH752" s="1111" t="str">
        <f t="shared" si="2519"/>
        <v/>
      </c>
      <c r="CI752" s="1111" t="str">
        <f t="shared" si="2519"/>
        <v/>
      </c>
      <c r="CJ752" s="1111" t="str">
        <f t="shared" si="2519"/>
        <v/>
      </c>
      <c r="CK752" s="1112" t="str">
        <f t="shared" si="2519"/>
        <v/>
      </c>
      <c r="CL752" s="1112" t="str">
        <f t="shared" si="2519"/>
        <v/>
      </c>
      <c r="CM752" s="1112" t="str">
        <f t="shared" si="2519"/>
        <v/>
      </c>
      <c r="CN752" s="1111" t="str">
        <f t="shared" si="2520"/>
        <v/>
      </c>
      <c r="CO752" s="1111" t="str">
        <f t="shared" si="2520"/>
        <v/>
      </c>
      <c r="CP752" s="1111" t="str">
        <f t="shared" si="2520"/>
        <v/>
      </c>
      <c r="CQ752" s="1111" t="str">
        <f t="shared" si="2520"/>
        <v/>
      </c>
      <c r="CR752" s="1111" t="str">
        <f t="shared" si="2520"/>
        <v/>
      </c>
      <c r="CS752" s="1110" t="str">
        <f t="shared" si="2520"/>
        <v/>
      </c>
      <c r="CT752" s="1113" t="str">
        <f t="shared" si="2520"/>
        <v/>
      </c>
      <c r="CU752" s="324" t="str">
        <f t="shared" si="2521"/>
        <v/>
      </c>
      <c r="CV752" s="325" t="str">
        <f t="shared" si="2521"/>
        <v/>
      </c>
      <c r="CW752" s="326" t="str">
        <f t="shared" si="2521"/>
        <v/>
      </c>
      <c r="CX752" s="326" t="str">
        <f t="shared" si="2521"/>
        <v/>
      </c>
      <c r="CY752" s="326" t="str">
        <f t="shared" si="2521"/>
        <v/>
      </c>
      <c r="CZ752" s="326" t="str">
        <f t="shared" si="2521"/>
        <v/>
      </c>
      <c r="DA752" s="326" t="str">
        <f t="shared" si="2521"/>
        <v/>
      </c>
      <c r="DB752" s="327" t="str">
        <f t="shared" si="2521"/>
        <v/>
      </c>
      <c r="DC752" s="327" t="str">
        <f t="shared" si="2521"/>
        <v/>
      </c>
      <c r="DD752" s="327" t="str">
        <f t="shared" si="2521"/>
        <v/>
      </c>
      <c r="DE752" s="326" t="str">
        <f t="shared" si="2522"/>
        <v/>
      </c>
      <c r="DF752" s="326" t="str">
        <f t="shared" si="2522"/>
        <v/>
      </c>
      <c r="DG752" s="326" t="str">
        <f t="shared" si="2522"/>
        <v/>
      </c>
      <c r="DH752" s="326" t="str">
        <f t="shared" si="2522"/>
        <v/>
      </c>
      <c r="DI752" s="326" t="str">
        <f t="shared" si="2522"/>
        <v/>
      </c>
      <c r="DJ752" s="325" t="str">
        <f t="shared" si="2522"/>
        <v/>
      </c>
      <c r="DK752" s="324" t="str">
        <f t="shared" si="2522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510"/>
        <v/>
      </c>
      <c r="CA753" s="373" t="str">
        <f t="shared" si="2511"/>
        <v/>
      </c>
      <c r="CB753" s="373" t="str">
        <f t="shared" si="2512"/>
        <v/>
      </c>
      <c r="CC753" s="462" t="str">
        <f t="shared" si="2513"/>
        <v/>
      </c>
      <c r="CD753" s="1109" t="str">
        <f t="shared" si="2519"/>
        <v/>
      </c>
      <c r="CE753" s="1110" t="str">
        <f t="shared" si="2519"/>
        <v/>
      </c>
      <c r="CF753" s="1111" t="str">
        <f t="shared" si="2519"/>
        <v/>
      </c>
      <c r="CG753" s="1111" t="str">
        <f t="shared" si="2519"/>
        <v/>
      </c>
      <c r="CH753" s="1111" t="str">
        <f t="shared" si="2519"/>
        <v/>
      </c>
      <c r="CI753" s="1111" t="str">
        <f t="shared" si="2519"/>
        <v/>
      </c>
      <c r="CJ753" s="1111" t="str">
        <f t="shared" si="2519"/>
        <v/>
      </c>
      <c r="CK753" s="1112" t="str">
        <f t="shared" si="2519"/>
        <v/>
      </c>
      <c r="CL753" s="1112" t="str">
        <f t="shared" si="2519"/>
        <v/>
      </c>
      <c r="CM753" s="1112" t="str">
        <f t="shared" si="2519"/>
        <v/>
      </c>
      <c r="CN753" s="1111" t="str">
        <f t="shared" si="2520"/>
        <v/>
      </c>
      <c r="CO753" s="1111" t="str">
        <f t="shared" si="2520"/>
        <v/>
      </c>
      <c r="CP753" s="1111" t="str">
        <f t="shared" si="2520"/>
        <v/>
      </c>
      <c r="CQ753" s="1111" t="str">
        <f t="shared" si="2520"/>
        <v/>
      </c>
      <c r="CR753" s="1111" t="str">
        <f t="shared" si="2520"/>
        <v/>
      </c>
      <c r="CS753" s="1110" t="str">
        <f t="shared" si="2520"/>
        <v/>
      </c>
      <c r="CT753" s="1113" t="str">
        <f t="shared" si="2520"/>
        <v/>
      </c>
      <c r="CU753" s="324" t="str">
        <f t="shared" si="2521"/>
        <v/>
      </c>
      <c r="CV753" s="325" t="str">
        <f t="shared" si="2521"/>
        <v/>
      </c>
      <c r="CW753" s="326" t="str">
        <f t="shared" si="2521"/>
        <v/>
      </c>
      <c r="CX753" s="326" t="str">
        <f t="shared" si="2521"/>
        <v/>
      </c>
      <c r="CY753" s="326" t="str">
        <f t="shared" si="2521"/>
        <v/>
      </c>
      <c r="CZ753" s="326" t="str">
        <f t="shared" si="2521"/>
        <v/>
      </c>
      <c r="DA753" s="326" t="str">
        <f t="shared" si="2521"/>
        <v/>
      </c>
      <c r="DB753" s="327" t="str">
        <f t="shared" si="2521"/>
        <v/>
      </c>
      <c r="DC753" s="327" t="str">
        <f t="shared" si="2521"/>
        <v/>
      </c>
      <c r="DD753" s="327" t="str">
        <f t="shared" si="2521"/>
        <v/>
      </c>
      <c r="DE753" s="326" t="str">
        <f t="shared" si="2522"/>
        <v/>
      </c>
      <c r="DF753" s="326" t="str">
        <f t="shared" si="2522"/>
        <v/>
      </c>
      <c r="DG753" s="326" t="str">
        <f t="shared" si="2522"/>
        <v/>
      </c>
      <c r="DH753" s="326" t="str">
        <f t="shared" si="2522"/>
        <v/>
      </c>
      <c r="DI753" s="326" t="str">
        <f t="shared" si="2522"/>
        <v/>
      </c>
      <c r="DJ753" s="325" t="str">
        <f t="shared" si="2522"/>
        <v/>
      </c>
      <c r="DK753" s="324" t="str">
        <f t="shared" si="2522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510"/>
        <v>382</v>
      </c>
      <c r="CA754" s="373">
        <f t="shared" si="2511"/>
        <v>502.14285714285717</v>
      </c>
      <c r="CB754" s="373">
        <f t="shared" si="2512"/>
        <v>411.42857142857144</v>
      </c>
      <c r="CC754" s="462">
        <f t="shared" si="2513"/>
        <v>1354.2857142857142</v>
      </c>
      <c r="CD754" s="1109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0" t="str">
        <f t="shared" ref="CE754:CT754" si="252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1" t="str">
        <f t="shared" si="2523"/>
        <v/>
      </c>
      <c r="CG754" s="1111" t="str">
        <f t="shared" si="2523"/>
        <v/>
      </c>
      <c r="CH754" s="1111">
        <f t="shared" si="2523"/>
        <v>0</v>
      </c>
      <c r="CI754" s="1111">
        <f t="shared" si="2523"/>
        <v>0</v>
      </c>
      <c r="CJ754" s="1111">
        <f t="shared" si="2523"/>
        <v>0</v>
      </c>
      <c r="CK754" s="1112">
        <f t="shared" si="2523"/>
        <v>80</v>
      </c>
      <c r="CL754" s="1112">
        <f t="shared" si="2523"/>
        <v>228</v>
      </c>
      <c r="CM754" s="1112">
        <f t="shared" si="2523"/>
        <v>675</v>
      </c>
      <c r="CN754" s="1111">
        <f t="shared" si="2523"/>
        <v>780</v>
      </c>
      <c r="CO754" s="1111">
        <f t="shared" si="2523"/>
        <v>911</v>
      </c>
      <c r="CP754" s="1111">
        <f t="shared" si="2523"/>
        <v>1350</v>
      </c>
      <c r="CQ754" s="1111" t="str">
        <f t="shared" si="2523"/>
        <v/>
      </c>
      <c r="CR754" s="1111" t="str">
        <f t="shared" si="2523"/>
        <v/>
      </c>
      <c r="CS754" s="1110" t="str">
        <f t="shared" si="2523"/>
        <v/>
      </c>
      <c r="CT754" s="1113" t="str">
        <f t="shared" si="2523"/>
        <v/>
      </c>
      <c r="CU754" s="324" t="str">
        <f t="shared" si="2521"/>
        <v/>
      </c>
      <c r="CV754" s="325" t="str">
        <f t="shared" si="2521"/>
        <v/>
      </c>
      <c r="CW754" s="326" t="str">
        <f t="shared" si="2521"/>
        <v/>
      </c>
      <c r="CX754" s="326" t="str">
        <f t="shared" si="2521"/>
        <v/>
      </c>
      <c r="CY754" s="326">
        <f t="shared" si="2521"/>
        <v>0</v>
      </c>
      <c r="CZ754" s="326">
        <f t="shared" si="2521"/>
        <v>0</v>
      </c>
      <c r="DA754" s="326">
        <f t="shared" si="2521"/>
        <v>270</v>
      </c>
      <c r="DB754" s="327">
        <f t="shared" si="2521"/>
        <v>495</v>
      </c>
      <c r="DC754" s="327">
        <f t="shared" si="2521"/>
        <v>540</v>
      </c>
      <c r="DD754" s="327">
        <f t="shared" si="2521"/>
        <v>600</v>
      </c>
      <c r="DE754" s="326">
        <f t="shared" si="2522"/>
        <v>610</v>
      </c>
      <c r="DF754" s="326">
        <f t="shared" si="2522"/>
        <v>1000</v>
      </c>
      <c r="DG754" s="326">
        <f t="shared" si="2522"/>
        <v>1536</v>
      </c>
      <c r="DH754" s="326" t="str">
        <f t="shared" si="2522"/>
        <v/>
      </c>
      <c r="DI754" s="326" t="str">
        <f t="shared" si="2522"/>
        <v/>
      </c>
      <c r="DJ754" s="325" t="str">
        <f t="shared" si="2522"/>
        <v/>
      </c>
      <c r="DK754" s="324" t="str">
        <f t="shared" si="2522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510"/>
        <v/>
      </c>
      <c r="CA755" s="365" t="str">
        <f t="shared" si="2511"/>
        <v/>
      </c>
      <c r="CB755" s="365" t="str">
        <f t="shared" si="2512"/>
        <v/>
      </c>
      <c r="CC755" s="461" t="str">
        <f t="shared" si="2513"/>
        <v/>
      </c>
      <c r="CD755" s="1120"/>
      <c r="CE755" s="1120"/>
      <c r="CF755" s="1120"/>
      <c r="CG755" s="1120"/>
      <c r="CH755" s="1120"/>
      <c r="CI755" s="1120"/>
      <c r="CJ755" s="1120"/>
      <c r="CK755" s="1120"/>
      <c r="CL755" s="1120"/>
      <c r="CM755" s="1120"/>
      <c r="CN755" s="1120"/>
      <c r="CO755" s="1120"/>
      <c r="CP755" s="1120"/>
      <c r="CQ755" s="1120"/>
      <c r="CR755" s="1120"/>
      <c r="CS755" s="1120"/>
      <c r="CT755" s="1120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510"/>
        <v/>
      </c>
      <c r="CA756" s="373" t="str">
        <f t="shared" si="2511"/>
        <v/>
      </c>
      <c r="CB756" s="373" t="str">
        <f t="shared" si="2512"/>
        <v/>
      </c>
      <c r="CC756" s="462" t="str">
        <f t="shared" si="2513"/>
        <v/>
      </c>
      <c r="CD756" s="1109" t="str">
        <f t="shared" ref="CD756:CM758" si="252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0" t="str">
        <f t="shared" si="2524"/>
        <v/>
      </c>
      <c r="CF756" s="1111" t="str">
        <f t="shared" si="2524"/>
        <v/>
      </c>
      <c r="CG756" s="1111" t="str">
        <f t="shared" si="2524"/>
        <v/>
      </c>
      <c r="CH756" s="1111" t="str">
        <f t="shared" si="2524"/>
        <v/>
      </c>
      <c r="CI756" s="1111" t="str">
        <f t="shared" si="2524"/>
        <v/>
      </c>
      <c r="CJ756" s="1111" t="str">
        <f t="shared" si="2524"/>
        <v/>
      </c>
      <c r="CK756" s="1112" t="str">
        <f t="shared" si="2524"/>
        <v/>
      </c>
      <c r="CL756" s="1112" t="str">
        <f t="shared" si="2524"/>
        <v/>
      </c>
      <c r="CM756" s="1112" t="str">
        <f t="shared" si="2524"/>
        <v/>
      </c>
      <c r="CN756" s="1111" t="str">
        <f t="shared" ref="CN756:CT758" si="252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1" t="str">
        <f t="shared" si="2525"/>
        <v/>
      </c>
      <c r="CP756" s="1111" t="str">
        <f t="shared" si="2525"/>
        <v/>
      </c>
      <c r="CQ756" s="1111" t="str">
        <f t="shared" si="2525"/>
        <v/>
      </c>
      <c r="CR756" s="1111" t="str">
        <f t="shared" si="2525"/>
        <v/>
      </c>
      <c r="CS756" s="1110" t="str">
        <f t="shared" si="2525"/>
        <v/>
      </c>
      <c r="CT756" s="1113" t="str">
        <f t="shared" si="2525"/>
        <v/>
      </c>
      <c r="CU756" s="324" t="str">
        <f t="shared" ref="CU756:DD759" si="252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526"/>
        <v/>
      </c>
      <c r="CW756" s="326" t="str">
        <f t="shared" si="2526"/>
        <v/>
      </c>
      <c r="CX756" s="326" t="str">
        <f t="shared" si="2526"/>
        <v/>
      </c>
      <c r="CY756" s="326" t="str">
        <f t="shared" si="2526"/>
        <v/>
      </c>
      <c r="CZ756" s="326" t="str">
        <f t="shared" si="2526"/>
        <v/>
      </c>
      <c r="DA756" s="326" t="str">
        <f t="shared" si="2526"/>
        <v/>
      </c>
      <c r="DB756" s="327" t="str">
        <f t="shared" si="2526"/>
        <v/>
      </c>
      <c r="DC756" s="327" t="str">
        <f t="shared" si="2526"/>
        <v/>
      </c>
      <c r="DD756" s="327" t="str">
        <f t="shared" si="2526"/>
        <v/>
      </c>
      <c r="DE756" s="326" t="str">
        <f t="shared" ref="DE756:DK759" si="252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527"/>
        <v/>
      </c>
      <c r="DG756" s="326" t="str">
        <f t="shared" si="2527"/>
        <v/>
      </c>
      <c r="DH756" s="326" t="str">
        <f t="shared" si="2527"/>
        <v/>
      </c>
      <c r="DI756" s="326" t="str">
        <f t="shared" si="2527"/>
        <v/>
      </c>
      <c r="DJ756" s="325" t="str">
        <f t="shared" si="2527"/>
        <v/>
      </c>
      <c r="DK756" s="324" t="str">
        <f t="shared" si="2527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510"/>
        <v/>
      </c>
      <c r="CA757" s="373" t="str">
        <f t="shared" si="2511"/>
        <v/>
      </c>
      <c r="CB757" s="373" t="str">
        <f t="shared" si="2512"/>
        <v/>
      </c>
      <c r="CC757" s="462" t="str">
        <f t="shared" si="2513"/>
        <v/>
      </c>
      <c r="CD757" s="1109" t="str">
        <f t="shared" si="2524"/>
        <v/>
      </c>
      <c r="CE757" s="1110" t="str">
        <f t="shared" si="2524"/>
        <v/>
      </c>
      <c r="CF757" s="1111" t="str">
        <f t="shared" si="2524"/>
        <v/>
      </c>
      <c r="CG757" s="1111" t="str">
        <f t="shared" si="2524"/>
        <v/>
      </c>
      <c r="CH757" s="1111" t="str">
        <f t="shared" si="2524"/>
        <v/>
      </c>
      <c r="CI757" s="1111" t="str">
        <f t="shared" si="2524"/>
        <v/>
      </c>
      <c r="CJ757" s="1111" t="str">
        <f t="shared" si="2524"/>
        <v/>
      </c>
      <c r="CK757" s="1112" t="str">
        <f t="shared" si="2524"/>
        <v/>
      </c>
      <c r="CL757" s="1112" t="str">
        <f t="shared" si="2524"/>
        <v/>
      </c>
      <c r="CM757" s="1112" t="str">
        <f t="shared" si="2524"/>
        <v/>
      </c>
      <c r="CN757" s="1111" t="str">
        <f t="shared" si="2525"/>
        <v/>
      </c>
      <c r="CO757" s="1111" t="str">
        <f t="shared" si="2525"/>
        <v/>
      </c>
      <c r="CP757" s="1111" t="str">
        <f t="shared" si="2525"/>
        <v/>
      </c>
      <c r="CQ757" s="1111" t="str">
        <f t="shared" si="2525"/>
        <v/>
      </c>
      <c r="CR757" s="1111" t="str">
        <f t="shared" si="2525"/>
        <v/>
      </c>
      <c r="CS757" s="1110" t="str">
        <f t="shared" si="2525"/>
        <v/>
      </c>
      <c r="CT757" s="1113" t="str">
        <f t="shared" si="2525"/>
        <v/>
      </c>
      <c r="CU757" s="324" t="str">
        <f t="shared" si="2526"/>
        <v/>
      </c>
      <c r="CV757" s="325" t="str">
        <f t="shared" si="2526"/>
        <v/>
      </c>
      <c r="CW757" s="326" t="str">
        <f t="shared" si="2526"/>
        <v/>
      </c>
      <c r="CX757" s="326" t="str">
        <f t="shared" si="2526"/>
        <v/>
      </c>
      <c r="CY757" s="326" t="str">
        <f t="shared" si="2526"/>
        <v/>
      </c>
      <c r="CZ757" s="326" t="str">
        <f t="shared" si="2526"/>
        <v/>
      </c>
      <c r="DA757" s="326" t="str">
        <f t="shared" si="2526"/>
        <v/>
      </c>
      <c r="DB757" s="327" t="str">
        <f t="shared" si="2526"/>
        <v/>
      </c>
      <c r="DC757" s="327" t="str">
        <f t="shared" si="2526"/>
        <v/>
      </c>
      <c r="DD757" s="327" t="str">
        <f t="shared" si="2526"/>
        <v/>
      </c>
      <c r="DE757" s="326" t="str">
        <f t="shared" si="2527"/>
        <v/>
      </c>
      <c r="DF757" s="326" t="str">
        <f t="shared" si="2527"/>
        <v/>
      </c>
      <c r="DG757" s="326" t="str">
        <f t="shared" si="2527"/>
        <v/>
      </c>
      <c r="DH757" s="326" t="str">
        <f t="shared" si="2527"/>
        <v/>
      </c>
      <c r="DI757" s="326" t="str">
        <f t="shared" si="2527"/>
        <v/>
      </c>
      <c r="DJ757" s="325" t="str">
        <f t="shared" si="2527"/>
        <v/>
      </c>
      <c r="DK757" s="324" t="str">
        <f t="shared" si="2527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510"/>
        <v/>
      </c>
      <c r="CA758" s="373" t="str">
        <f t="shared" si="2511"/>
        <v/>
      </c>
      <c r="CB758" s="373" t="str">
        <f t="shared" si="2512"/>
        <v/>
      </c>
      <c r="CC758" s="462" t="str">
        <f t="shared" si="2513"/>
        <v/>
      </c>
      <c r="CD758" s="1109" t="str">
        <f t="shared" si="2524"/>
        <v/>
      </c>
      <c r="CE758" s="1110" t="str">
        <f t="shared" si="2524"/>
        <v/>
      </c>
      <c r="CF758" s="1111" t="str">
        <f t="shared" si="2524"/>
        <v/>
      </c>
      <c r="CG758" s="1111" t="str">
        <f t="shared" si="2524"/>
        <v/>
      </c>
      <c r="CH758" s="1111" t="str">
        <f t="shared" si="2524"/>
        <v/>
      </c>
      <c r="CI758" s="1111" t="str">
        <f t="shared" si="2524"/>
        <v/>
      </c>
      <c r="CJ758" s="1111" t="str">
        <f t="shared" si="2524"/>
        <v/>
      </c>
      <c r="CK758" s="1112" t="str">
        <f t="shared" si="2524"/>
        <v/>
      </c>
      <c r="CL758" s="1112" t="str">
        <f t="shared" si="2524"/>
        <v/>
      </c>
      <c r="CM758" s="1112" t="str">
        <f t="shared" si="2524"/>
        <v/>
      </c>
      <c r="CN758" s="1111" t="str">
        <f t="shared" si="2525"/>
        <v/>
      </c>
      <c r="CO758" s="1111" t="str">
        <f t="shared" si="2525"/>
        <v/>
      </c>
      <c r="CP758" s="1111" t="str">
        <f t="shared" si="2525"/>
        <v/>
      </c>
      <c r="CQ758" s="1111" t="str">
        <f t="shared" si="2525"/>
        <v/>
      </c>
      <c r="CR758" s="1111" t="str">
        <f t="shared" si="2525"/>
        <v/>
      </c>
      <c r="CS758" s="1110" t="str">
        <f t="shared" si="2525"/>
        <v/>
      </c>
      <c r="CT758" s="1113" t="str">
        <f t="shared" si="2525"/>
        <v/>
      </c>
      <c r="CU758" s="324" t="str">
        <f t="shared" si="2526"/>
        <v/>
      </c>
      <c r="CV758" s="325" t="str">
        <f t="shared" si="2526"/>
        <v/>
      </c>
      <c r="CW758" s="326" t="str">
        <f t="shared" si="2526"/>
        <v/>
      </c>
      <c r="CX758" s="326" t="str">
        <f t="shared" si="2526"/>
        <v/>
      </c>
      <c r="CY758" s="326" t="str">
        <f t="shared" si="2526"/>
        <v/>
      </c>
      <c r="CZ758" s="326" t="str">
        <f t="shared" si="2526"/>
        <v/>
      </c>
      <c r="DA758" s="326" t="str">
        <f t="shared" si="2526"/>
        <v/>
      </c>
      <c r="DB758" s="327" t="str">
        <f t="shared" si="2526"/>
        <v/>
      </c>
      <c r="DC758" s="327" t="str">
        <f t="shared" si="2526"/>
        <v/>
      </c>
      <c r="DD758" s="327" t="str">
        <f t="shared" si="2526"/>
        <v/>
      </c>
      <c r="DE758" s="326" t="str">
        <f t="shared" si="2527"/>
        <v/>
      </c>
      <c r="DF758" s="326" t="str">
        <f t="shared" si="2527"/>
        <v/>
      </c>
      <c r="DG758" s="326" t="str">
        <f t="shared" si="2527"/>
        <v/>
      </c>
      <c r="DH758" s="326" t="str">
        <f t="shared" si="2527"/>
        <v/>
      </c>
      <c r="DI758" s="326" t="str">
        <f t="shared" si="2527"/>
        <v/>
      </c>
      <c r="DJ758" s="325" t="str">
        <f t="shared" si="2527"/>
        <v/>
      </c>
      <c r="DK758" s="324" t="str">
        <f t="shared" si="2527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510"/>
        <v>317.71428571428572</v>
      </c>
      <c r="CA759" s="373">
        <f t="shared" si="2511"/>
        <v>512.14285714285711</v>
      </c>
      <c r="CB759" s="373">
        <f t="shared" si="2512"/>
        <v>11666.571428571429</v>
      </c>
      <c r="CC759" s="462">
        <f t="shared" si="2513"/>
        <v>12637.142857142857</v>
      </c>
      <c r="CD759" s="1109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0" t="str">
        <f t="shared" ref="CE759:CT759" si="252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1" t="str">
        <f t="shared" si="2528"/>
        <v/>
      </c>
      <c r="CG759" s="1111" t="str">
        <f t="shared" si="2528"/>
        <v/>
      </c>
      <c r="CH759" s="1111">
        <f t="shared" si="2528"/>
        <v>0</v>
      </c>
      <c r="CI759" s="1111">
        <f t="shared" si="2528"/>
        <v>0</v>
      </c>
      <c r="CJ759" s="1111">
        <f t="shared" si="2528"/>
        <v>0</v>
      </c>
      <c r="CK759" s="1112">
        <f t="shared" si="2528"/>
        <v>0</v>
      </c>
      <c r="CL759" s="1112">
        <f t="shared" si="2528"/>
        <v>240</v>
      </c>
      <c r="CM759" s="1112">
        <f t="shared" si="2528"/>
        <v>576</v>
      </c>
      <c r="CN759" s="1111">
        <f t="shared" si="2528"/>
        <v>640</v>
      </c>
      <c r="CO759" s="1111">
        <f t="shared" si="2528"/>
        <v>768</v>
      </c>
      <c r="CP759" s="1111">
        <f t="shared" si="2528"/>
        <v>960</v>
      </c>
      <c r="CQ759" s="1111" t="str">
        <f t="shared" si="2528"/>
        <v/>
      </c>
      <c r="CR759" s="1111" t="str">
        <f t="shared" si="2528"/>
        <v/>
      </c>
      <c r="CS759" s="1110" t="str">
        <f t="shared" si="2528"/>
        <v/>
      </c>
      <c r="CT759" s="1113" t="str">
        <f t="shared" si="2528"/>
        <v/>
      </c>
      <c r="CU759" s="324" t="str">
        <f t="shared" si="2526"/>
        <v/>
      </c>
      <c r="CV759" s="325" t="str">
        <f t="shared" si="2526"/>
        <v/>
      </c>
      <c r="CW759" s="326" t="str">
        <f t="shared" si="2526"/>
        <v/>
      </c>
      <c r="CX759" s="326" t="str">
        <f t="shared" si="2526"/>
        <v/>
      </c>
      <c r="CY759" s="326">
        <f t="shared" si="2526"/>
        <v>100</v>
      </c>
      <c r="CZ759" s="326">
        <f t="shared" si="2526"/>
        <v>300</v>
      </c>
      <c r="DA759" s="326">
        <f t="shared" si="2526"/>
        <v>320</v>
      </c>
      <c r="DB759" s="327">
        <f t="shared" si="2526"/>
        <v>375</v>
      </c>
      <c r="DC759" s="327">
        <f t="shared" si="2526"/>
        <v>470</v>
      </c>
      <c r="DD759" s="327">
        <f t="shared" si="2526"/>
        <v>600</v>
      </c>
      <c r="DE759" s="326">
        <f t="shared" si="2527"/>
        <v>720</v>
      </c>
      <c r="DF759" s="326">
        <f t="shared" si="2527"/>
        <v>800</v>
      </c>
      <c r="DG759" s="326">
        <f t="shared" si="2527"/>
        <v>840</v>
      </c>
      <c r="DH759" s="326" t="str">
        <f t="shared" si="2527"/>
        <v/>
      </c>
      <c r="DI759" s="326" t="str">
        <f t="shared" si="2527"/>
        <v/>
      </c>
      <c r="DJ759" s="325" t="str">
        <f t="shared" si="2527"/>
        <v/>
      </c>
      <c r="DK759" s="324" t="str">
        <f t="shared" si="2527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4"/>
      <c r="CE760" s="1134"/>
      <c r="CF760" s="1134"/>
      <c r="CG760" s="1134"/>
      <c r="CH760" s="1134"/>
      <c r="CI760" s="1134"/>
      <c r="CJ760" s="1134"/>
      <c r="CK760" s="1134"/>
      <c r="CL760" s="1134"/>
      <c r="CM760" s="1134"/>
      <c r="CN760" s="1134"/>
      <c r="CO760" s="1134"/>
      <c r="CP760" s="1134"/>
      <c r="CQ760" s="1134"/>
      <c r="CR760" s="1134"/>
      <c r="CS760" s="1134"/>
      <c r="CT760" s="1135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529">IF(DL761&lt;3,"",(SUM(B761:R761)-MIN(B761:R761)-MAX(B761:R761))/(DL761-2))</f>
        <v/>
      </c>
      <c r="CA761" s="373" t="str">
        <f t="shared" ref="CA761:CA775" si="2530">IF(DM761&lt;3,"",(SUM(T761:AJ761)-MIN(T761:AJ761)-MAX(T761:AJ761))/(DM761-2))</f>
        <v/>
      </c>
      <c r="CB761" s="373" t="str">
        <f t="shared" ref="CB761:CB775" si="2531">IF(DN761&lt;3,"",(SUM(AL761:BB761)-MIN(AL761:BB761)-MAX(AL761:BB761))/(DN761-2))</f>
        <v/>
      </c>
      <c r="CC761" s="462" t="str">
        <f t="shared" ref="CC761:CC775" si="2532">IF(DO761&lt;3,"",(SUM(BD761:BT761)-MIN(BD761:BT761)-MAX(BD761:BT761))/(DO761-2))</f>
        <v/>
      </c>
      <c r="CD761" s="1109" t="str">
        <f t="shared" ref="CD761:CS761" si="253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0" t="str">
        <f t="shared" si="2533"/>
        <v/>
      </c>
      <c r="CF761" s="1111" t="str">
        <f t="shared" si="2533"/>
        <v/>
      </c>
      <c r="CG761" s="1111" t="str">
        <f t="shared" si="2533"/>
        <v/>
      </c>
      <c r="CH761" s="1111" t="str">
        <f t="shared" si="2533"/>
        <v/>
      </c>
      <c r="CI761" s="1111" t="str">
        <f t="shared" si="2533"/>
        <v/>
      </c>
      <c r="CJ761" s="1111" t="str">
        <f t="shared" si="2533"/>
        <v/>
      </c>
      <c r="CK761" s="1112" t="str">
        <f t="shared" si="2533"/>
        <v/>
      </c>
      <c r="CL761" s="1112" t="str">
        <f t="shared" si="2533"/>
        <v/>
      </c>
      <c r="CM761" s="1112" t="str">
        <f t="shared" si="2533"/>
        <v/>
      </c>
      <c r="CN761" s="1111" t="str">
        <f t="shared" si="2533"/>
        <v/>
      </c>
      <c r="CO761" s="1111" t="str">
        <f t="shared" si="2533"/>
        <v/>
      </c>
      <c r="CP761" s="1111" t="str">
        <f t="shared" si="2533"/>
        <v/>
      </c>
      <c r="CQ761" s="1111" t="str">
        <f t="shared" si="2533"/>
        <v/>
      </c>
      <c r="CR761" s="1111" t="str">
        <f t="shared" si="2533"/>
        <v/>
      </c>
      <c r="CS761" s="1110" t="str">
        <f t="shared" si="2533"/>
        <v/>
      </c>
      <c r="CT761" s="1113" t="str">
        <f t="shared" ref="CE761:CT764" si="253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53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535"/>
        <v/>
      </c>
      <c r="CW761" s="326" t="str">
        <f t="shared" si="2535"/>
        <v/>
      </c>
      <c r="CX761" s="326" t="str">
        <f t="shared" si="2535"/>
        <v/>
      </c>
      <c r="CY761" s="326" t="str">
        <f t="shared" si="2535"/>
        <v/>
      </c>
      <c r="CZ761" s="326" t="str">
        <f t="shared" si="2535"/>
        <v/>
      </c>
      <c r="DA761" s="326" t="str">
        <f t="shared" si="2535"/>
        <v/>
      </c>
      <c r="DB761" s="327" t="str">
        <f t="shared" si="2535"/>
        <v/>
      </c>
      <c r="DC761" s="327" t="str">
        <f t="shared" si="2535"/>
        <v/>
      </c>
      <c r="DD761" s="327" t="str">
        <f t="shared" si="2535"/>
        <v/>
      </c>
      <c r="DE761" s="326" t="str">
        <f t="shared" ref="DE761:DK764" si="253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536"/>
        <v/>
      </c>
      <c r="DG761" s="326" t="str">
        <f t="shared" si="2536"/>
        <v/>
      </c>
      <c r="DH761" s="326" t="str">
        <f t="shared" si="2536"/>
        <v/>
      </c>
      <c r="DI761" s="326" t="str">
        <f t="shared" si="2536"/>
        <v/>
      </c>
      <c r="DJ761" s="325" t="str">
        <f t="shared" si="2536"/>
        <v/>
      </c>
      <c r="DK761" s="324" t="str">
        <f t="shared" si="2536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529"/>
        <v/>
      </c>
      <c r="CA762" s="373" t="str">
        <f t="shared" si="2530"/>
        <v/>
      </c>
      <c r="CB762" s="373" t="str">
        <f t="shared" si="2531"/>
        <v/>
      </c>
      <c r="CC762" s="462" t="str">
        <f t="shared" si="2532"/>
        <v/>
      </c>
      <c r="CD762" s="110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534"/>
        <v/>
      </c>
      <c r="CF762" s="1111" t="str">
        <f t="shared" si="2534"/>
        <v/>
      </c>
      <c r="CG762" s="1111" t="str">
        <f t="shared" si="2534"/>
        <v/>
      </c>
      <c r="CH762" s="1111" t="str">
        <f t="shared" si="2534"/>
        <v/>
      </c>
      <c r="CI762" s="1111" t="str">
        <f t="shared" si="2534"/>
        <v/>
      </c>
      <c r="CJ762" s="1111" t="str">
        <f t="shared" si="2534"/>
        <v/>
      </c>
      <c r="CK762" s="1112" t="str">
        <f t="shared" si="2534"/>
        <v/>
      </c>
      <c r="CL762" s="1112" t="str">
        <f t="shared" si="2534"/>
        <v/>
      </c>
      <c r="CM762" s="1112" t="str">
        <f t="shared" si="2534"/>
        <v/>
      </c>
      <c r="CN762" s="1111" t="str">
        <f t="shared" si="2534"/>
        <v/>
      </c>
      <c r="CO762" s="1111" t="str">
        <f t="shared" si="2534"/>
        <v/>
      </c>
      <c r="CP762" s="1111" t="str">
        <f t="shared" si="2534"/>
        <v/>
      </c>
      <c r="CQ762" s="1111" t="str">
        <f t="shared" si="2534"/>
        <v/>
      </c>
      <c r="CR762" s="1111" t="str">
        <f t="shared" si="2534"/>
        <v/>
      </c>
      <c r="CS762" s="1110" t="str">
        <f t="shared" si="2534"/>
        <v/>
      </c>
      <c r="CT762" s="1113" t="str">
        <f t="shared" si="2534"/>
        <v/>
      </c>
      <c r="CU762" s="324" t="str">
        <f t="shared" si="2535"/>
        <v/>
      </c>
      <c r="CV762" s="325" t="str">
        <f t="shared" si="2535"/>
        <v/>
      </c>
      <c r="CW762" s="326" t="str">
        <f t="shared" si="2535"/>
        <v/>
      </c>
      <c r="CX762" s="326" t="str">
        <f t="shared" si="2535"/>
        <v/>
      </c>
      <c r="CY762" s="326" t="str">
        <f t="shared" si="2535"/>
        <v/>
      </c>
      <c r="CZ762" s="326" t="str">
        <f t="shared" si="2535"/>
        <v/>
      </c>
      <c r="DA762" s="326" t="str">
        <f t="shared" si="2535"/>
        <v/>
      </c>
      <c r="DB762" s="327" t="str">
        <f t="shared" si="2535"/>
        <v/>
      </c>
      <c r="DC762" s="327" t="str">
        <f t="shared" si="2535"/>
        <v/>
      </c>
      <c r="DD762" s="327" t="str">
        <f t="shared" si="2535"/>
        <v/>
      </c>
      <c r="DE762" s="326" t="str">
        <f t="shared" si="2536"/>
        <v/>
      </c>
      <c r="DF762" s="326" t="str">
        <f t="shared" si="2536"/>
        <v/>
      </c>
      <c r="DG762" s="326" t="str">
        <f t="shared" si="2536"/>
        <v/>
      </c>
      <c r="DH762" s="326" t="str">
        <f t="shared" si="2536"/>
        <v/>
      </c>
      <c r="DI762" s="326" t="str">
        <f t="shared" si="2536"/>
        <v/>
      </c>
      <c r="DJ762" s="325" t="str">
        <f t="shared" si="2536"/>
        <v/>
      </c>
      <c r="DK762" s="324" t="str">
        <f t="shared" si="2536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529"/>
        <v/>
      </c>
      <c r="CA763" s="373" t="str">
        <f t="shared" si="2530"/>
        <v/>
      </c>
      <c r="CB763" s="373" t="str">
        <f t="shared" si="2531"/>
        <v/>
      </c>
      <c r="CC763" s="462" t="str">
        <f t="shared" si="2532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si="2534"/>
        <v/>
      </c>
      <c r="CF763" s="1111" t="str">
        <f t="shared" si="2534"/>
        <v/>
      </c>
      <c r="CG763" s="1111" t="str">
        <f t="shared" si="2534"/>
        <v/>
      </c>
      <c r="CH763" s="1111" t="str">
        <f t="shared" si="2534"/>
        <v/>
      </c>
      <c r="CI763" s="1111" t="str">
        <f t="shared" si="2534"/>
        <v/>
      </c>
      <c r="CJ763" s="1111" t="str">
        <f t="shared" si="2534"/>
        <v/>
      </c>
      <c r="CK763" s="1112" t="str">
        <f t="shared" si="2534"/>
        <v/>
      </c>
      <c r="CL763" s="1112" t="str">
        <f t="shared" si="2534"/>
        <v/>
      </c>
      <c r="CM763" s="1112" t="str">
        <f t="shared" si="2534"/>
        <v/>
      </c>
      <c r="CN763" s="1111" t="str">
        <f t="shared" si="2534"/>
        <v/>
      </c>
      <c r="CO763" s="1111" t="str">
        <f t="shared" si="2534"/>
        <v/>
      </c>
      <c r="CP763" s="1111" t="str">
        <f t="shared" si="2534"/>
        <v/>
      </c>
      <c r="CQ763" s="1111" t="str">
        <f t="shared" si="2534"/>
        <v/>
      </c>
      <c r="CR763" s="1111" t="str">
        <f t="shared" si="2534"/>
        <v/>
      </c>
      <c r="CS763" s="1110" t="str">
        <f t="shared" si="2534"/>
        <v/>
      </c>
      <c r="CT763" s="1113" t="str">
        <f t="shared" si="2534"/>
        <v/>
      </c>
      <c r="CU763" s="324" t="str">
        <f t="shared" si="2535"/>
        <v/>
      </c>
      <c r="CV763" s="325" t="str">
        <f t="shared" si="2535"/>
        <v/>
      </c>
      <c r="CW763" s="326" t="str">
        <f t="shared" si="2535"/>
        <v/>
      </c>
      <c r="CX763" s="326" t="str">
        <f t="shared" si="2535"/>
        <v/>
      </c>
      <c r="CY763" s="326" t="str">
        <f t="shared" si="2535"/>
        <v/>
      </c>
      <c r="CZ763" s="326" t="str">
        <f t="shared" si="2535"/>
        <v/>
      </c>
      <c r="DA763" s="326" t="str">
        <f t="shared" si="2535"/>
        <v/>
      </c>
      <c r="DB763" s="327" t="str">
        <f t="shared" si="2535"/>
        <v/>
      </c>
      <c r="DC763" s="327" t="str">
        <f t="shared" si="2535"/>
        <v/>
      </c>
      <c r="DD763" s="327" t="str">
        <f t="shared" si="2535"/>
        <v/>
      </c>
      <c r="DE763" s="326" t="str">
        <f t="shared" si="2536"/>
        <v/>
      </c>
      <c r="DF763" s="326" t="str">
        <f t="shared" si="2536"/>
        <v/>
      </c>
      <c r="DG763" s="326" t="str">
        <f t="shared" si="2536"/>
        <v/>
      </c>
      <c r="DH763" s="326" t="str">
        <f t="shared" si="2536"/>
        <v/>
      </c>
      <c r="DI763" s="326" t="str">
        <f t="shared" si="2536"/>
        <v/>
      </c>
      <c r="DJ763" s="325" t="str">
        <f t="shared" si="2536"/>
        <v/>
      </c>
      <c r="DK763" s="324" t="str">
        <f t="shared" si="2536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537">IF(B761="","",B761*B762*B763)</f>
        <v/>
      </c>
      <c r="C764" s="383" t="str">
        <f t="shared" si="2537"/>
        <v/>
      </c>
      <c r="D764" s="383" t="str">
        <f t="shared" si="2537"/>
        <v/>
      </c>
      <c r="E764" s="383" t="str">
        <f t="shared" si="2537"/>
        <v/>
      </c>
      <c r="F764" s="383" t="str">
        <f t="shared" si="2537"/>
        <v/>
      </c>
      <c r="G764" s="383" t="str">
        <f t="shared" si="2537"/>
        <v/>
      </c>
      <c r="H764" s="383" t="str">
        <f t="shared" si="2537"/>
        <v/>
      </c>
      <c r="I764" s="383" t="str">
        <f t="shared" si="2537"/>
        <v/>
      </c>
      <c r="J764" s="383" t="str">
        <f t="shared" si="2537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538">IF(T761="","",T761*T762*T763)</f>
        <v/>
      </c>
      <c r="U764" s="383" t="str">
        <f t="shared" si="2538"/>
        <v/>
      </c>
      <c r="V764" s="383" t="str">
        <f t="shared" si="2538"/>
        <v/>
      </c>
      <c r="W764" s="383" t="str">
        <f t="shared" si="2538"/>
        <v/>
      </c>
      <c r="X764" s="383" t="str">
        <f t="shared" si="2538"/>
        <v/>
      </c>
      <c r="Y764" s="383" t="str">
        <f t="shared" si="2538"/>
        <v/>
      </c>
      <c r="Z764" s="383" t="str">
        <f t="shared" si="2538"/>
        <v/>
      </c>
      <c r="AA764" s="383" t="str">
        <f t="shared" si="2538"/>
        <v/>
      </c>
      <c r="AB764" s="383" t="str">
        <f t="shared" si="2538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539">IF(AL761="","",AL761*AL762*AL763)</f>
        <v/>
      </c>
      <c r="AM764" s="383" t="str">
        <f t="shared" si="2539"/>
        <v/>
      </c>
      <c r="AN764" s="383" t="str">
        <f t="shared" si="2539"/>
        <v/>
      </c>
      <c r="AO764" s="383" t="str">
        <f t="shared" si="2539"/>
        <v/>
      </c>
      <c r="AP764" s="383" t="str">
        <f t="shared" si="2539"/>
        <v/>
      </c>
      <c r="AQ764" s="383" t="str">
        <f t="shared" si="2539"/>
        <v/>
      </c>
      <c r="AR764" s="383" t="str">
        <f t="shared" si="2539"/>
        <v/>
      </c>
      <c r="AS764" s="383" t="str">
        <f t="shared" si="2539"/>
        <v/>
      </c>
      <c r="AT764" s="383" t="str">
        <f t="shared" si="2539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540">IF(BD761="","",BD761*BD762*BD763)</f>
        <v/>
      </c>
      <c r="BE764" s="383" t="str">
        <f t="shared" si="2540"/>
        <v/>
      </c>
      <c r="BF764" s="383" t="str">
        <f t="shared" si="2540"/>
        <v/>
      </c>
      <c r="BG764" s="383" t="str">
        <f t="shared" si="2540"/>
        <v/>
      </c>
      <c r="BH764" s="383" t="str">
        <f t="shared" si="2540"/>
        <v/>
      </c>
      <c r="BI764" s="383" t="str">
        <f t="shared" si="2540"/>
        <v/>
      </c>
      <c r="BJ764" s="383" t="str">
        <f t="shared" si="2540"/>
        <v/>
      </c>
      <c r="BK764" s="383" t="str">
        <f t="shared" si="2540"/>
        <v/>
      </c>
      <c r="BL764" s="383" t="str">
        <f t="shared" si="2540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529"/>
        <v/>
      </c>
      <c r="CA764" s="373" t="str">
        <f t="shared" si="2530"/>
        <v/>
      </c>
      <c r="CB764" s="373" t="str">
        <f t="shared" si="2531"/>
        <v/>
      </c>
      <c r="CC764" s="462" t="str">
        <f t="shared" si="2532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534"/>
        <v/>
      </c>
      <c r="CF764" s="1111" t="str">
        <f t="shared" si="2534"/>
        <v/>
      </c>
      <c r="CG764" s="1111" t="str">
        <f t="shared" si="2534"/>
        <v/>
      </c>
      <c r="CH764" s="1111" t="str">
        <f t="shared" si="2534"/>
        <v/>
      </c>
      <c r="CI764" s="1111" t="str">
        <f t="shared" si="2534"/>
        <v/>
      </c>
      <c r="CJ764" s="1111" t="str">
        <f t="shared" si="2534"/>
        <v/>
      </c>
      <c r="CK764" s="1112" t="str">
        <f t="shared" si="2534"/>
        <v/>
      </c>
      <c r="CL764" s="1112" t="str">
        <f t="shared" si="2534"/>
        <v/>
      </c>
      <c r="CM764" s="1112" t="str">
        <f t="shared" si="2534"/>
        <v/>
      </c>
      <c r="CN764" s="1111" t="str">
        <f t="shared" si="2534"/>
        <v/>
      </c>
      <c r="CO764" s="1111" t="str">
        <f t="shared" si="2534"/>
        <v/>
      </c>
      <c r="CP764" s="1111" t="str">
        <f t="shared" si="2534"/>
        <v/>
      </c>
      <c r="CQ764" s="1111" t="str">
        <f t="shared" si="2534"/>
        <v/>
      </c>
      <c r="CR764" s="1111" t="str">
        <f t="shared" si="2534"/>
        <v/>
      </c>
      <c r="CS764" s="1110" t="str">
        <f t="shared" si="2534"/>
        <v/>
      </c>
      <c r="CT764" s="1113" t="str">
        <f t="shared" si="2534"/>
        <v/>
      </c>
      <c r="CU764" s="324" t="str">
        <f t="shared" si="2535"/>
        <v/>
      </c>
      <c r="CV764" s="325" t="str">
        <f t="shared" si="2535"/>
        <v/>
      </c>
      <c r="CW764" s="326" t="str">
        <f t="shared" si="2535"/>
        <v/>
      </c>
      <c r="CX764" s="326" t="str">
        <f t="shared" si="2535"/>
        <v/>
      </c>
      <c r="CY764" s="326" t="str">
        <f t="shared" si="2535"/>
        <v/>
      </c>
      <c r="CZ764" s="326" t="str">
        <f t="shared" si="2535"/>
        <v/>
      </c>
      <c r="DA764" s="326" t="str">
        <f t="shared" si="2535"/>
        <v/>
      </c>
      <c r="DB764" s="327" t="str">
        <f t="shared" si="2535"/>
        <v/>
      </c>
      <c r="DC764" s="327" t="str">
        <f t="shared" si="2535"/>
        <v/>
      </c>
      <c r="DD764" s="327" t="str">
        <f t="shared" si="2535"/>
        <v/>
      </c>
      <c r="DE764" s="326" t="str">
        <f t="shared" si="2536"/>
        <v/>
      </c>
      <c r="DF764" s="326" t="str">
        <f t="shared" si="2536"/>
        <v/>
      </c>
      <c r="DG764" s="326" t="str">
        <f t="shared" si="2536"/>
        <v/>
      </c>
      <c r="DH764" s="326" t="str">
        <f t="shared" si="2536"/>
        <v/>
      </c>
      <c r="DI764" s="326" t="str">
        <f t="shared" si="2536"/>
        <v/>
      </c>
      <c r="DJ764" s="325" t="str">
        <f t="shared" si="2536"/>
        <v/>
      </c>
      <c r="DK764" s="324" t="str">
        <f t="shared" si="2536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529"/>
        <v/>
      </c>
      <c r="CA765" s="365" t="str">
        <f t="shared" si="2530"/>
        <v/>
      </c>
      <c r="CB765" s="365" t="str">
        <f t="shared" si="2531"/>
        <v/>
      </c>
      <c r="CC765" s="461" t="str">
        <f t="shared" si="2532"/>
        <v/>
      </c>
      <c r="CD765" s="1120"/>
      <c r="CE765" s="1120"/>
      <c r="CF765" s="1120"/>
      <c r="CG765" s="1120"/>
      <c r="CH765" s="1120"/>
      <c r="CI765" s="1120"/>
      <c r="CJ765" s="1120"/>
      <c r="CK765" s="1120"/>
      <c r="CL765" s="1120"/>
      <c r="CM765" s="1120"/>
      <c r="CN765" s="1120"/>
      <c r="CO765" s="1120"/>
      <c r="CP765" s="1120"/>
      <c r="CQ765" s="1120"/>
      <c r="CR765" s="1120"/>
      <c r="CS765" s="1120"/>
      <c r="CT765" s="1120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529"/>
        <v/>
      </c>
      <c r="CA766" s="373" t="str">
        <f t="shared" si="2530"/>
        <v/>
      </c>
      <c r="CB766" s="373" t="str">
        <f t="shared" si="2531"/>
        <v/>
      </c>
      <c r="CC766" s="462" t="str">
        <f t="shared" si="2532"/>
        <v/>
      </c>
      <c r="CD766" s="1109" t="str">
        <f t="shared" ref="CD766:CS766" si="254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0" t="str">
        <f t="shared" si="2541"/>
        <v/>
      </c>
      <c r="CF766" s="1111" t="str">
        <f t="shared" si="2541"/>
        <v/>
      </c>
      <c r="CG766" s="1111" t="str">
        <f t="shared" si="2541"/>
        <v/>
      </c>
      <c r="CH766" s="1111" t="str">
        <f t="shared" si="2541"/>
        <v/>
      </c>
      <c r="CI766" s="1111" t="str">
        <f t="shared" si="2541"/>
        <v/>
      </c>
      <c r="CJ766" s="1111" t="str">
        <f t="shared" si="2541"/>
        <v/>
      </c>
      <c r="CK766" s="1112" t="str">
        <f t="shared" si="2541"/>
        <v/>
      </c>
      <c r="CL766" s="1112" t="str">
        <f t="shared" si="2541"/>
        <v/>
      </c>
      <c r="CM766" s="1112" t="str">
        <f t="shared" si="2541"/>
        <v/>
      </c>
      <c r="CN766" s="1111" t="str">
        <f t="shared" si="2541"/>
        <v/>
      </c>
      <c r="CO766" s="1111" t="str">
        <f t="shared" si="2541"/>
        <v/>
      </c>
      <c r="CP766" s="1111" t="str">
        <f t="shared" si="2541"/>
        <v/>
      </c>
      <c r="CQ766" s="1111" t="str">
        <f t="shared" si="2541"/>
        <v/>
      </c>
      <c r="CR766" s="1111" t="str">
        <f t="shared" si="2541"/>
        <v/>
      </c>
      <c r="CS766" s="1110" t="str">
        <f t="shared" si="2541"/>
        <v/>
      </c>
      <c r="CT766" s="1113" t="str">
        <f t="shared" ref="CE766:CT769" si="254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54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543"/>
        <v/>
      </c>
      <c r="CW766" s="326" t="str">
        <f t="shared" si="2543"/>
        <v/>
      </c>
      <c r="CX766" s="326" t="str">
        <f t="shared" si="2543"/>
        <v/>
      </c>
      <c r="CY766" s="326" t="str">
        <f t="shared" si="2543"/>
        <v/>
      </c>
      <c r="CZ766" s="326" t="str">
        <f t="shared" si="2543"/>
        <v/>
      </c>
      <c r="DA766" s="326" t="str">
        <f t="shared" si="2543"/>
        <v/>
      </c>
      <c r="DB766" s="327" t="str">
        <f t="shared" si="2543"/>
        <v/>
      </c>
      <c r="DC766" s="327" t="str">
        <f t="shared" si="2543"/>
        <v/>
      </c>
      <c r="DD766" s="327" t="str">
        <f t="shared" si="2543"/>
        <v/>
      </c>
      <c r="DE766" s="326" t="str">
        <f t="shared" ref="DE766:DK769" si="254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544"/>
        <v/>
      </c>
      <c r="DG766" s="326" t="str">
        <f t="shared" si="2544"/>
        <v/>
      </c>
      <c r="DH766" s="326" t="str">
        <f t="shared" si="2544"/>
        <v/>
      </c>
      <c r="DI766" s="326" t="str">
        <f t="shared" si="2544"/>
        <v/>
      </c>
      <c r="DJ766" s="325" t="str">
        <f t="shared" si="2544"/>
        <v/>
      </c>
      <c r="DK766" s="324" t="str">
        <f t="shared" si="2544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529"/>
        <v/>
      </c>
      <c r="CA767" s="373" t="str">
        <f t="shared" si="2530"/>
        <v/>
      </c>
      <c r="CB767" s="373" t="str">
        <f t="shared" si="2531"/>
        <v/>
      </c>
      <c r="CC767" s="462" t="str">
        <f t="shared" si="2532"/>
        <v/>
      </c>
      <c r="CD767" s="110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542"/>
        <v/>
      </c>
      <c r="CF767" s="1111" t="str">
        <f t="shared" si="2542"/>
        <v/>
      </c>
      <c r="CG767" s="1111" t="str">
        <f t="shared" si="2542"/>
        <v/>
      </c>
      <c r="CH767" s="1111" t="str">
        <f t="shared" si="2542"/>
        <v/>
      </c>
      <c r="CI767" s="1111" t="str">
        <f t="shared" si="2542"/>
        <v/>
      </c>
      <c r="CJ767" s="1111" t="str">
        <f t="shared" si="2542"/>
        <v/>
      </c>
      <c r="CK767" s="1112" t="str">
        <f t="shared" si="2542"/>
        <v/>
      </c>
      <c r="CL767" s="1112" t="str">
        <f t="shared" si="2542"/>
        <v/>
      </c>
      <c r="CM767" s="1112" t="str">
        <f t="shared" si="2542"/>
        <v/>
      </c>
      <c r="CN767" s="1111" t="str">
        <f t="shared" si="2542"/>
        <v/>
      </c>
      <c r="CO767" s="1111" t="str">
        <f t="shared" si="2542"/>
        <v/>
      </c>
      <c r="CP767" s="1111" t="str">
        <f t="shared" si="2542"/>
        <v/>
      </c>
      <c r="CQ767" s="1111" t="str">
        <f t="shared" si="2542"/>
        <v/>
      </c>
      <c r="CR767" s="1111" t="str">
        <f t="shared" si="2542"/>
        <v/>
      </c>
      <c r="CS767" s="1110" t="str">
        <f t="shared" si="2542"/>
        <v/>
      </c>
      <c r="CT767" s="1113" t="str">
        <f t="shared" si="2542"/>
        <v/>
      </c>
      <c r="CU767" s="324" t="str">
        <f t="shared" si="2543"/>
        <v/>
      </c>
      <c r="CV767" s="325" t="str">
        <f t="shared" si="2543"/>
        <v/>
      </c>
      <c r="CW767" s="326" t="str">
        <f t="shared" si="2543"/>
        <v/>
      </c>
      <c r="CX767" s="326" t="str">
        <f t="shared" si="2543"/>
        <v/>
      </c>
      <c r="CY767" s="326" t="str">
        <f t="shared" si="2543"/>
        <v/>
      </c>
      <c r="CZ767" s="326" t="str">
        <f t="shared" si="2543"/>
        <v/>
      </c>
      <c r="DA767" s="326" t="str">
        <f t="shared" si="2543"/>
        <v/>
      </c>
      <c r="DB767" s="327" t="str">
        <f t="shared" si="2543"/>
        <v/>
      </c>
      <c r="DC767" s="327" t="str">
        <f t="shared" si="2543"/>
        <v/>
      </c>
      <c r="DD767" s="327" t="str">
        <f t="shared" si="2543"/>
        <v/>
      </c>
      <c r="DE767" s="326" t="str">
        <f t="shared" si="2544"/>
        <v/>
      </c>
      <c r="DF767" s="326" t="str">
        <f t="shared" si="2544"/>
        <v/>
      </c>
      <c r="DG767" s="326" t="str">
        <f t="shared" si="2544"/>
        <v/>
      </c>
      <c r="DH767" s="326" t="str">
        <f t="shared" si="2544"/>
        <v/>
      </c>
      <c r="DI767" s="326" t="str">
        <f t="shared" si="2544"/>
        <v/>
      </c>
      <c r="DJ767" s="325" t="str">
        <f t="shared" si="2544"/>
        <v/>
      </c>
      <c r="DK767" s="324" t="str">
        <f t="shared" si="2544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529"/>
        <v/>
      </c>
      <c r="CA768" s="373" t="str">
        <f t="shared" si="2530"/>
        <v/>
      </c>
      <c r="CB768" s="373" t="str">
        <f t="shared" si="2531"/>
        <v/>
      </c>
      <c r="CC768" s="462" t="str">
        <f t="shared" si="2532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si="2542"/>
        <v/>
      </c>
      <c r="CF768" s="1111" t="str">
        <f t="shared" si="2542"/>
        <v/>
      </c>
      <c r="CG768" s="1111" t="str">
        <f t="shared" si="2542"/>
        <v/>
      </c>
      <c r="CH768" s="1111" t="str">
        <f t="shared" si="2542"/>
        <v/>
      </c>
      <c r="CI768" s="1111" t="str">
        <f t="shared" si="2542"/>
        <v/>
      </c>
      <c r="CJ768" s="1111" t="str">
        <f t="shared" si="2542"/>
        <v/>
      </c>
      <c r="CK768" s="1112" t="str">
        <f t="shared" si="2542"/>
        <v/>
      </c>
      <c r="CL768" s="1112" t="str">
        <f t="shared" si="2542"/>
        <v/>
      </c>
      <c r="CM768" s="1112" t="str">
        <f t="shared" si="2542"/>
        <v/>
      </c>
      <c r="CN768" s="1111" t="str">
        <f t="shared" si="2542"/>
        <v/>
      </c>
      <c r="CO768" s="1111" t="str">
        <f t="shared" si="2542"/>
        <v/>
      </c>
      <c r="CP768" s="1111" t="str">
        <f t="shared" si="2542"/>
        <v/>
      </c>
      <c r="CQ768" s="1111" t="str">
        <f t="shared" si="2542"/>
        <v/>
      </c>
      <c r="CR768" s="1111" t="str">
        <f t="shared" si="2542"/>
        <v/>
      </c>
      <c r="CS768" s="1110" t="str">
        <f t="shared" si="2542"/>
        <v/>
      </c>
      <c r="CT768" s="1113" t="str">
        <f t="shared" si="2542"/>
        <v/>
      </c>
      <c r="CU768" s="324" t="str">
        <f t="shared" si="2543"/>
        <v/>
      </c>
      <c r="CV768" s="325" t="str">
        <f t="shared" si="2543"/>
        <v/>
      </c>
      <c r="CW768" s="326" t="str">
        <f t="shared" si="2543"/>
        <v/>
      </c>
      <c r="CX768" s="326" t="str">
        <f t="shared" si="2543"/>
        <v/>
      </c>
      <c r="CY768" s="326" t="str">
        <f t="shared" si="2543"/>
        <v/>
      </c>
      <c r="CZ768" s="326" t="str">
        <f t="shared" si="2543"/>
        <v/>
      </c>
      <c r="DA768" s="326" t="str">
        <f t="shared" si="2543"/>
        <v/>
      </c>
      <c r="DB768" s="327" t="str">
        <f t="shared" si="2543"/>
        <v/>
      </c>
      <c r="DC768" s="327" t="str">
        <f t="shared" si="2543"/>
        <v/>
      </c>
      <c r="DD768" s="327" t="str">
        <f t="shared" si="2543"/>
        <v/>
      </c>
      <c r="DE768" s="326" t="str">
        <f t="shared" si="2544"/>
        <v/>
      </c>
      <c r="DF768" s="326" t="str">
        <f t="shared" si="2544"/>
        <v/>
      </c>
      <c r="DG768" s="326" t="str">
        <f t="shared" si="2544"/>
        <v/>
      </c>
      <c r="DH768" s="326" t="str">
        <f t="shared" si="2544"/>
        <v/>
      </c>
      <c r="DI768" s="326" t="str">
        <f t="shared" si="2544"/>
        <v/>
      </c>
      <c r="DJ768" s="325" t="str">
        <f t="shared" si="2544"/>
        <v/>
      </c>
      <c r="DK768" s="324" t="str">
        <f t="shared" si="2544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545">IF(B766="","",B766*B767*B768)</f>
        <v/>
      </c>
      <c r="C769" s="383" t="str">
        <f t="shared" si="2545"/>
        <v/>
      </c>
      <c r="D769" s="383" t="str">
        <f t="shared" si="2545"/>
        <v/>
      </c>
      <c r="E769" s="383" t="str">
        <f t="shared" si="2545"/>
        <v/>
      </c>
      <c r="F769" s="383" t="str">
        <f t="shared" si="2545"/>
        <v/>
      </c>
      <c r="G769" s="383" t="str">
        <f t="shared" si="2545"/>
        <v/>
      </c>
      <c r="H769" s="383" t="str">
        <f t="shared" si="2545"/>
        <v/>
      </c>
      <c r="I769" s="383" t="str">
        <f t="shared" si="2545"/>
        <v/>
      </c>
      <c r="J769" s="383" t="str">
        <f t="shared" si="2545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546">IF(T766="","",T766*T767*T768)</f>
        <v/>
      </c>
      <c r="U769" s="383" t="str">
        <f t="shared" si="2546"/>
        <v/>
      </c>
      <c r="V769" s="383" t="str">
        <f t="shared" si="2546"/>
        <v/>
      </c>
      <c r="W769" s="383" t="str">
        <f t="shared" si="2546"/>
        <v/>
      </c>
      <c r="X769" s="383" t="str">
        <f t="shared" si="2546"/>
        <v/>
      </c>
      <c r="Y769" s="383" t="str">
        <f t="shared" si="2546"/>
        <v/>
      </c>
      <c r="Z769" s="383" t="str">
        <f t="shared" si="2546"/>
        <v/>
      </c>
      <c r="AA769" s="383" t="str">
        <f t="shared" si="2546"/>
        <v/>
      </c>
      <c r="AB769" s="383" t="str">
        <f t="shared" si="2546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547">IF(AL766="","",AL766*AL767*AL768)</f>
        <v/>
      </c>
      <c r="AM769" s="383" t="str">
        <f t="shared" si="2547"/>
        <v/>
      </c>
      <c r="AN769" s="383" t="str">
        <f t="shared" si="2547"/>
        <v/>
      </c>
      <c r="AO769" s="383" t="str">
        <f t="shared" si="2547"/>
        <v/>
      </c>
      <c r="AP769" s="383" t="str">
        <f t="shared" si="2547"/>
        <v/>
      </c>
      <c r="AQ769" s="383" t="str">
        <f t="shared" si="2547"/>
        <v/>
      </c>
      <c r="AR769" s="383" t="str">
        <f t="shared" si="2547"/>
        <v/>
      </c>
      <c r="AS769" s="383" t="str">
        <f t="shared" si="2547"/>
        <v/>
      </c>
      <c r="AT769" s="383" t="str">
        <f t="shared" si="2547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548">IF(BD766="","",BD766*BD767*BD768)</f>
        <v/>
      </c>
      <c r="BE769" s="383" t="str">
        <f t="shared" si="2548"/>
        <v/>
      </c>
      <c r="BF769" s="383" t="str">
        <f t="shared" si="2548"/>
        <v/>
      </c>
      <c r="BG769" s="383" t="str">
        <f t="shared" si="2548"/>
        <v/>
      </c>
      <c r="BH769" s="383" t="str">
        <f t="shared" si="2548"/>
        <v/>
      </c>
      <c r="BI769" s="383" t="str">
        <f t="shared" si="2548"/>
        <v/>
      </c>
      <c r="BJ769" s="383" t="str">
        <f t="shared" si="2548"/>
        <v/>
      </c>
      <c r="BK769" s="383" t="str">
        <f t="shared" si="2548"/>
        <v/>
      </c>
      <c r="BL769" s="383" t="str">
        <f t="shared" si="2548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529"/>
        <v/>
      </c>
      <c r="CA769" s="373" t="str">
        <f t="shared" si="2530"/>
        <v/>
      </c>
      <c r="CB769" s="373" t="str">
        <f t="shared" si="2531"/>
        <v/>
      </c>
      <c r="CC769" s="462" t="str">
        <f t="shared" si="2532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542"/>
        <v/>
      </c>
      <c r="CF769" s="1111" t="str">
        <f t="shared" si="2542"/>
        <v/>
      </c>
      <c r="CG769" s="1111" t="str">
        <f t="shared" si="2542"/>
        <v/>
      </c>
      <c r="CH769" s="1111" t="str">
        <f t="shared" si="2542"/>
        <v/>
      </c>
      <c r="CI769" s="1111" t="str">
        <f t="shared" si="2542"/>
        <v/>
      </c>
      <c r="CJ769" s="1111" t="str">
        <f t="shared" si="2542"/>
        <v/>
      </c>
      <c r="CK769" s="1112" t="str">
        <f t="shared" si="2542"/>
        <v/>
      </c>
      <c r="CL769" s="1112" t="str">
        <f t="shared" si="2542"/>
        <v/>
      </c>
      <c r="CM769" s="1112" t="str">
        <f t="shared" si="2542"/>
        <v/>
      </c>
      <c r="CN769" s="1111" t="str">
        <f t="shared" si="2542"/>
        <v/>
      </c>
      <c r="CO769" s="1111" t="str">
        <f t="shared" si="2542"/>
        <v/>
      </c>
      <c r="CP769" s="1111" t="str">
        <f t="shared" si="2542"/>
        <v/>
      </c>
      <c r="CQ769" s="1111" t="str">
        <f t="shared" si="2542"/>
        <v/>
      </c>
      <c r="CR769" s="1111" t="str">
        <f t="shared" si="2542"/>
        <v/>
      </c>
      <c r="CS769" s="1110" t="str">
        <f t="shared" si="2542"/>
        <v/>
      </c>
      <c r="CT769" s="1113" t="str">
        <f t="shared" si="2542"/>
        <v/>
      </c>
      <c r="CU769" s="324" t="str">
        <f t="shared" si="2543"/>
        <v/>
      </c>
      <c r="CV769" s="325" t="str">
        <f t="shared" si="2543"/>
        <v/>
      </c>
      <c r="CW769" s="326" t="str">
        <f t="shared" si="2543"/>
        <v/>
      </c>
      <c r="CX769" s="326" t="str">
        <f t="shared" si="2543"/>
        <v/>
      </c>
      <c r="CY769" s="326" t="str">
        <f t="shared" si="2543"/>
        <v/>
      </c>
      <c r="CZ769" s="326" t="str">
        <f t="shared" si="2543"/>
        <v/>
      </c>
      <c r="DA769" s="326" t="str">
        <f t="shared" si="2543"/>
        <v/>
      </c>
      <c r="DB769" s="327" t="str">
        <f t="shared" si="2543"/>
        <v/>
      </c>
      <c r="DC769" s="327" t="str">
        <f t="shared" si="2543"/>
        <v/>
      </c>
      <c r="DD769" s="327" t="str">
        <f t="shared" si="2543"/>
        <v/>
      </c>
      <c r="DE769" s="326" t="str">
        <f t="shared" si="2544"/>
        <v/>
      </c>
      <c r="DF769" s="326" t="str">
        <f t="shared" si="2544"/>
        <v/>
      </c>
      <c r="DG769" s="326" t="str">
        <f t="shared" si="2544"/>
        <v/>
      </c>
      <c r="DH769" s="326" t="str">
        <f t="shared" si="2544"/>
        <v/>
      </c>
      <c r="DI769" s="326" t="str">
        <f t="shared" si="2544"/>
        <v/>
      </c>
      <c r="DJ769" s="325" t="str">
        <f t="shared" si="2544"/>
        <v/>
      </c>
      <c r="DK769" s="324" t="str">
        <f t="shared" si="2544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529"/>
        <v/>
      </c>
      <c r="CA770" s="365" t="str">
        <f t="shared" si="2530"/>
        <v/>
      </c>
      <c r="CB770" s="365" t="str">
        <f t="shared" si="2531"/>
        <v/>
      </c>
      <c r="CC770" s="461" t="str">
        <f t="shared" si="2532"/>
        <v/>
      </c>
      <c r="CD770" s="1138"/>
      <c r="CE770" s="1138"/>
      <c r="CF770" s="1138"/>
      <c r="CG770" s="1138"/>
      <c r="CH770" s="1138"/>
      <c r="CI770" s="1138"/>
      <c r="CJ770" s="1138"/>
      <c r="CK770" s="1138"/>
      <c r="CL770" s="1138"/>
      <c r="CM770" s="1138"/>
      <c r="CN770" s="1138"/>
      <c r="CO770" s="1138"/>
      <c r="CP770" s="1138"/>
      <c r="CQ770" s="1138"/>
      <c r="CR770" s="1138"/>
      <c r="CS770" s="1138"/>
      <c r="CT770" s="1138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529"/>
        <v/>
      </c>
      <c r="CA771" s="373" t="str">
        <f t="shared" si="2530"/>
        <v/>
      </c>
      <c r="CB771" s="373">
        <f t="shared" si="2531"/>
        <v>33.166666666666664</v>
      </c>
      <c r="CC771" s="462">
        <f t="shared" si="2532"/>
        <v>90.857142857142861</v>
      </c>
      <c r="CD771" s="1109" t="str">
        <f t="shared" ref="CD771:CS771" si="254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0" t="str">
        <f t="shared" si="2549"/>
        <v/>
      </c>
      <c r="CF771" s="1111" t="str">
        <f t="shared" si="2549"/>
        <v/>
      </c>
      <c r="CG771" s="1111" t="str">
        <f t="shared" si="2549"/>
        <v/>
      </c>
      <c r="CH771" s="1111" t="str">
        <f t="shared" si="2549"/>
        <v/>
      </c>
      <c r="CI771" s="1111" t="str">
        <f t="shared" si="2549"/>
        <v/>
      </c>
      <c r="CJ771" s="1111" t="str">
        <f t="shared" si="2549"/>
        <v/>
      </c>
      <c r="CK771" s="1112" t="str">
        <f t="shared" si="2549"/>
        <v/>
      </c>
      <c r="CL771" s="1112" t="str">
        <f t="shared" si="2549"/>
        <v/>
      </c>
      <c r="CM771" s="1112" t="str">
        <f t="shared" si="2549"/>
        <v/>
      </c>
      <c r="CN771" s="1111" t="str">
        <f t="shared" si="2549"/>
        <v/>
      </c>
      <c r="CO771" s="1111" t="str">
        <f t="shared" si="2549"/>
        <v/>
      </c>
      <c r="CP771" s="1111" t="str">
        <f t="shared" si="2549"/>
        <v/>
      </c>
      <c r="CQ771" s="1111" t="str">
        <f t="shared" si="2549"/>
        <v/>
      </c>
      <c r="CR771" s="1111" t="str">
        <f t="shared" si="2549"/>
        <v/>
      </c>
      <c r="CS771" s="1110" t="str">
        <f t="shared" si="2549"/>
        <v/>
      </c>
      <c r="CT771" s="1113" t="str">
        <f t="shared" ref="CE771:CT775" si="255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55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551"/>
        <v/>
      </c>
      <c r="CW771" s="326" t="str">
        <f t="shared" si="2551"/>
        <v/>
      </c>
      <c r="CX771" s="326" t="str">
        <f t="shared" si="2551"/>
        <v/>
      </c>
      <c r="CY771" s="326" t="str">
        <f t="shared" si="2551"/>
        <v/>
      </c>
      <c r="CZ771" s="326" t="str">
        <f t="shared" si="2551"/>
        <v/>
      </c>
      <c r="DA771" s="326" t="str">
        <f t="shared" si="2551"/>
        <v/>
      </c>
      <c r="DB771" s="327" t="str">
        <f t="shared" si="2551"/>
        <v/>
      </c>
      <c r="DC771" s="327">
        <f t="shared" si="2551"/>
        <v>6</v>
      </c>
      <c r="DD771" s="327" t="str">
        <f t="shared" si="2551"/>
        <v/>
      </c>
      <c r="DE771" s="326" t="str">
        <f t="shared" ref="DE771:DK775" si="255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552"/>
        <v/>
      </c>
      <c r="DG771" s="326" t="str">
        <f t="shared" si="2552"/>
        <v/>
      </c>
      <c r="DH771" s="326" t="str">
        <f t="shared" si="2552"/>
        <v/>
      </c>
      <c r="DI771" s="326" t="str">
        <f t="shared" si="2552"/>
        <v/>
      </c>
      <c r="DJ771" s="325" t="str">
        <f t="shared" si="2552"/>
        <v/>
      </c>
      <c r="DK771" s="324" t="str">
        <f t="shared" si="2552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529"/>
        <v>39</v>
      </c>
      <c r="CA772" s="373">
        <f t="shared" si="2530"/>
        <v>56.857142857142854</v>
      </c>
      <c r="CB772" s="373">
        <f t="shared" si="2531"/>
        <v>63.714285714285715</v>
      </c>
      <c r="CC772" s="462">
        <f t="shared" si="2532"/>
        <v>78</v>
      </c>
      <c r="CD772" s="110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0" t="str">
        <f t="shared" si="2550"/>
        <v/>
      </c>
      <c r="CF772" s="1111" t="str">
        <f t="shared" si="2550"/>
        <v/>
      </c>
      <c r="CG772" s="1111" t="str">
        <f t="shared" si="2550"/>
        <v/>
      </c>
      <c r="CH772" s="1111">
        <f t="shared" si="2550"/>
        <v>3</v>
      </c>
      <c r="CI772" s="1111">
        <f t="shared" si="2550"/>
        <v>15</v>
      </c>
      <c r="CJ772" s="1111">
        <f t="shared" si="2550"/>
        <v>24</v>
      </c>
      <c r="CK772" s="1112">
        <f t="shared" si="2550"/>
        <v>24</v>
      </c>
      <c r="CL772" s="1112">
        <f t="shared" si="2550"/>
        <v>36</v>
      </c>
      <c r="CM772" s="1112">
        <f t="shared" si="2550"/>
        <v>48</v>
      </c>
      <c r="CN772" s="1111">
        <f t="shared" si="2550"/>
        <v>48</v>
      </c>
      <c r="CO772" s="1111">
        <f t="shared" si="2550"/>
        <v>78</v>
      </c>
      <c r="CP772" s="1111">
        <f t="shared" si="2550"/>
        <v>80</v>
      </c>
      <c r="CQ772" s="1111" t="str">
        <f t="shared" si="2550"/>
        <v/>
      </c>
      <c r="CR772" s="1111" t="str">
        <f t="shared" si="2550"/>
        <v/>
      </c>
      <c r="CS772" s="1110" t="str">
        <f t="shared" si="2550"/>
        <v/>
      </c>
      <c r="CT772" s="1113" t="str">
        <f t="shared" si="2550"/>
        <v/>
      </c>
      <c r="CU772" s="324" t="str">
        <f t="shared" si="2551"/>
        <v/>
      </c>
      <c r="CV772" s="325" t="str">
        <f t="shared" si="2551"/>
        <v/>
      </c>
      <c r="CW772" s="326" t="str">
        <f t="shared" si="2551"/>
        <v/>
      </c>
      <c r="CX772" s="326" t="str">
        <f t="shared" si="2551"/>
        <v/>
      </c>
      <c r="CY772" s="326">
        <f t="shared" si="2551"/>
        <v>24</v>
      </c>
      <c r="CZ772" s="326">
        <f t="shared" si="2551"/>
        <v>26</v>
      </c>
      <c r="DA772" s="326">
        <f t="shared" si="2551"/>
        <v>48</v>
      </c>
      <c r="DB772" s="327">
        <f t="shared" si="2551"/>
        <v>48</v>
      </c>
      <c r="DC772" s="327">
        <f t="shared" si="2551"/>
        <v>54</v>
      </c>
      <c r="DD772" s="327">
        <f t="shared" si="2551"/>
        <v>60</v>
      </c>
      <c r="DE772" s="326">
        <f t="shared" si="2552"/>
        <v>66</v>
      </c>
      <c r="DF772" s="326">
        <f t="shared" si="2552"/>
        <v>96</v>
      </c>
      <c r="DG772" s="326">
        <f t="shared" si="2552"/>
        <v>120</v>
      </c>
      <c r="DH772" s="326" t="str">
        <f t="shared" si="2552"/>
        <v/>
      </c>
      <c r="DI772" s="326" t="str">
        <f t="shared" si="2552"/>
        <v/>
      </c>
      <c r="DJ772" s="325" t="str">
        <f t="shared" si="2552"/>
        <v/>
      </c>
      <c r="DK772" s="324" t="str">
        <f t="shared" si="2552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529"/>
        <v>97.142857142857139</v>
      </c>
      <c r="CA773" s="373">
        <f t="shared" si="2530"/>
        <v>136.28571428571428</v>
      </c>
      <c r="CB773" s="373">
        <f t="shared" si="2531"/>
        <v>274.28571428571428</v>
      </c>
      <c r="CC773" s="462">
        <f t="shared" si="2532"/>
        <v>282.85714285714283</v>
      </c>
      <c r="CD773" s="110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0" t="str">
        <f t="shared" si="2550"/>
        <v/>
      </c>
      <c r="CF773" s="1111" t="str">
        <f t="shared" si="2550"/>
        <v/>
      </c>
      <c r="CG773" s="1111" t="str">
        <f t="shared" si="2550"/>
        <v/>
      </c>
      <c r="CH773" s="1111">
        <f t="shared" si="2550"/>
        <v>8</v>
      </c>
      <c r="CI773" s="1111">
        <f t="shared" si="2550"/>
        <v>12</v>
      </c>
      <c r="CJ773" s="1111">
        <f t="shared" si="2550"/>
        <v>38</v>
      </c>
      <c r="CK773" s="1112">
        <f t="shared" si="2550"/>
        <v>76</v>
      </c>
      <c r="CL773" s="1112">
        <f t="shared" si="2550"/>
        <v>106</v>
      </c>
      <c r="CM773" s="1112">
        <f t="shared" si="2550"/>
        <v>144</v>
      </c>
      <c r="CN773" s="1111">
        <f t="shared" si="2550"/>
        <v>148</v>
      </c>
      <c r="CO773" s="1111">
        <f t="shared" si="2550"/>
        <v>156</v>
      </c>
      <c r="CP773" s="1111">
        <f t="shared" si="2550"/>
        <v>288</v>
      </c>
      <c r="CQ773" s="1111" t="str">
        <f t="shared" si="2550"/>
        <v/>
      </c>
      <c r="CR773" s="1111" t="str">
        <f t="shared" si="2550"/>
        <v/>
      </c>
      <c r="CS773" s="1110" t="str">
        <f t="shared" si="2550"/>
        <v/>
      </c>
      <c r="CT773" s="1113" t="str">
        <f t="shared" si="2550"/>
        <v/>
      </c>
      <c r="CU773" s="324" t="str">
        <f t="shared" si="2551"/>
        <v/>
      </c>
      <c r="CV773" s="325" t="str">
        <f t="shared" si="2551"/>
        <v/>
      </c>
      <c r="CW773" s="326" t="str">
        <f t="shared" si="2551"/>
        <v/>
      </c>
      <c r="CX773" s="326" t="str">
        <f t="shared" si="2551"/>
        <v/>
      </c>
      <c r="CY773" s="326">
        <f t="shared" si="2551"/>
        <v>66</v>
      </c>
      <c r="CZ773" s="326">
        <f t="shared" si="2551"/>
        <v>96</v>
      </c>
      <c r="DA773" s="326">
        <f t="shared" si="2551"/>
        <v>108</v>
      </c>
      <c r="DB773" s="327">
        <f t="shared" si="2551"/>
        <v>120</v>
      </c>
      <c r="DC773" s="327">
        <f t="shared" si="2551"/>
        <v>126</v>
      </c>
      <c r="DD773" s="327">
        <f t="shared" si="2551"/>
        <v>138</v>
      </c>
      <c r="DE773" s="326">
        <f t="shared" si="2552"/>
        <v>150</v>
      </c>
      <c r="DF773" s="326">
        <f t="shared" si="2552"/>
        <v>216</v>
      </c>
      <c r="DG773" s="326">
        <f t="shared" si="2552"/>
        <v>384</v>
      </c>
      <c r="DH773" s="326" t="str">
        <f t="shared" si="2552"/>
        <v/>
      </c>
      <c r="DI773" s="326" t="str">
        <f t="shared" si="2552"/>
        <v/>
      </c>
      <c r="DJ773" s="325" t="str">
        <f t="shared" si="2552"/>
        <v/>
      </c>
      <c r="DK773" s="324" t="str">
        <f t="shared" si="2552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529"/>
        <v>60</v>
      </c>
      <c r="CA774" s="373">
        <f t="shared" si="2530"/>
        <v>27</v>
      </c>
      <c r="CB774" s="373">
        <f t="shared" si="2531"/>
        <v>120.66666666666667</v>
      </c>
      <c r="CC774" s="462">
        <f t="shared" si="2532"/>
        <v>335.4</v>
      </c>
      <c r="CD774" s="110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0" t="str">
        <f t="shared" si="2550"/>
        <v/>
      </c>
      <c r="CF774" s="1111" t="str">
        <f t="shared" si="2550"/>
        <v/>
      </c>
      <c r="CG774" s="1111" t="str">
        <f t="shared" si="2550"/>
        <v/>
      </c>
      <c r="CH774" s="1111" t="str">
        <f t="shared" si="2550"/>
        <v/>
      </c>
      <c r="CI774" s="1111" t="str">
        <f t="shared" si="2550"/>
        <v/>
      </c>
      <c r="CJ774" s="1111">
        <f t="shared" si="2550"/>
        <v>12</v>
      </c>
      <c r="CK774" s="1112">
        <f t="shared" si="2550"/>
        <v>18</v>
      </c>
      <c r="CL774" s="1112">
        <f t="shared" si="2550"/>
        <v>40</v>
      </c>
      <c r="CM774" s="1112">
        <f t="shared" si="2550"/>
        <v>72</v>
      </c>
      <c r="CN774" s="1111">
        <f t="shared" si="2550"/>
        <v>110</v>
      </c>
      <c r="CO774" s="1111">
        <f t="shared" si="2550"/>
        <v>180</v>
      </c>
      <c r="CP774" s="1111" t="str">
        <f t="shared" si="2550"/>
        <v/>
      </c>
      <c r="CQ774" s="1111" t="str">
        <f t="shared" si="2550"/>
        <v/>
      </c>
      <c r="CR774" s="1111" t="str">
        <f t="shared" si="2550"/>
        <v/>
      </c>
      <c r="CS774" s="1110" t="str">
        <f t="shared" si="2550"/>
        <v/>
      </c>
      <c r="CT774" s="1113" t="str">
        <f t="shared" si="2550"/>
        <v/>
      </c>
      <c r="CU774" s="324" t="str">
        <f t="shared" si="2551"/>
        <v/>
      </c>
      <c r="CV774" s="325" t="str">
        <f t="shared" si="2551"/>
        <v/>
      </c>
      <c r="CW774" s="326" t="str">
        <f t="shared" si="2551"/>
        <v/>
      </c>
      <c r="CX774" s="326" t="str">
        <f t="shared" si="2551"/>
        <v/>
      </c>
      <c r="CY774" s="326" t="str">
        <f t="shared" si="2551"/>
        <v/>
      </c>
      <c r="CZ774" s="326" t="str">
        <f t="shared" si="2551"/>
        <v/>
      </c>
      <c r="DA774" s="326" t="str">
        <f t="shared" si="2551"/>
        <v/>
      </c>
      <c r="DB774" s="327">
        <f t="shared" si="2551"/>
        <v>2.5</v>
      </c>
      <c r="DC774" s="327">
        <f t="shared" si="2551"/>
        <v>24</v>
      </c>
      <c r="DD774" s="327">
        <f t="shared" si="2551"/>
        <v>30</v>
      </c>
      <c r="DE774" s="326">
        <f t="shared" si="2552"/>
        <v>78</v>
      </c>
      <c r="DF774" s="326" t="str">
        <f t="shared" si="2552"/>
        <v/>
      </c>
      <c r="DG774" s="326" t="str">
        <f t="shared" si="2552"/>
        <v/>
      </c>
      <c r="DH774" s="326" t="str">
        <f t="shared" si="2552"/>
        <v/>
      </c>
      <c r="DI774" s="326" t="str">
        <f t="shared" si="2552"/>
        <v/>
      </c>
      <c r="DJ774" s="325" t="str">
        <f t="shared" si="2552"/>
        <v/>
      </c>
      <c r="DK774" s="324" t="str">
        <f t="shared" si="2552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529"/>
        <v>112.14285714285714</v>
      </c>
      <c r="CA775" s="373">
        <f t="shared" si="2530"/>
        <v>138</v>
      </c>
      <c r="CB775" s="373">
        <f t="shared" si="2531"/>
        <v>213.33333333333334</v>
      </c>
      <c r="CC775" s="462">
        <f t="shared" si="2532"/>
        <v>194.66666666666666</v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550"/>
        <v/>
      </c>
      <c r="CF775" s="1111" t="str">
        <f t="shared" si="2550"/>
        <v/>
      </c>
      <c r="CG775" s="1111" t="str">
        <f t="shared" si="2550"/>
        <v/>
      </c>
      <c r="CH775" s="1111">
        <f t="shared" si="2550"/>
        <v>36</v>
      </c>
      <c r="CI775" s="1111">
        <f t="shared" si="2550"/>
        <v>60</v>
      </c>
      <c r="CJ775" s="1111">
        <f t="shared" si="2550"/>
        <v>72</v>
      </c>
      <c r="CK775" s="1112">
        <f t="shared" si="2550"/>
        <v>78</v>
      </c>
      <c r="CL775" s="1112">
        <f t="shared" si="2550"/>
        <v>102</v>
      </c>
      <c r="CM775" s="1112">
        <f t="shared" si="2550"/>
        <v>133</v>
      </c>
      <c r="CN775" s="1111">
        <f t="shared" si="2550"/>
        <v>144</v>
      </c>
      <c r="CO775" s="1111">
        <f t="shared" si="2550"/>
        <v>196</v>
      </c>
      <c r="CP775" s="1111">
        <f t="shared" si="2550"/>
        <v>216</v>
      </c>
      <c r="CQ775" s="1111" t="str">
        <f t="shared" si="2550"/>
        <v/>
      </c>
      <c r="CR775" s="1111" t="str">
        <f t="shared" si="2550"/>
        <v/>
      </c>
      <c r="CS775" s="1110" t="str">
        <f t="shared" si="2550"/>
        <v/>
      </c>
      <c r="CT775" s="1113" t="str">
        <f t="shared" si="2550"/>
        <v/>
      </c>
      <c r="CU775" s="324" t="str">
        <f t="shared" si="2551"/>
        <v/>
      </c>
      <c r="CV775" s="325" t="str">
        <f t="shared" si="2551"/>
        <v/>
      </c>
      <c r="CW775" s="326" t="str">
        <f t="shared" si="2551"/>
        <v/>
      </c>
      <c r="CX775" s="326" t="str">
        <f t="shared" si="2551"/>
        <v/>
      </c>
      <c r="CY775" s="326">
        <f t="shared" si="2551"/>
        <v>36</v>
      </c>
      <c r="CZ775" s="326">
        <f t="shared" si="2551"/>
        <v>36</v>
      </c>
      <c r="DA775" s="326">
        <f t="shared" si="2551"/>
        <v>48</v>
      </c>
      <c r="DB775" s="327">
        <f t="shared" si="2551"/>
        <v>90</v>
      </c>
      <c r="DC775" s="327">
        <f t="shared" si="2551"/>
        <v>144</v>
      </c>
      <c r="DD775" s="327">
        <f t="shared" si="2551"/>
        <v>144</v>
      </c>
      <c r="DE775" s="326">
        <f t="shared" si="2552"/>
        <v>192</v>
      </c>
      <c r="DF775" s="326">
        <f t="shared" si="2552"/>
        <v>312</v>
      </c>
      <c r="DG775" s="326">
        <f t="shared" si="2552"/>
        <v>576</v>
      </c>
      <c r="DH775" s="326" t="str">
        <f t="shared" si="2552"/>
        <v/>
      </c>
      <c r="DI775" s="326" t="str">
        <f t="shared" si="2552"/>
        <v/>
      </c>
      <c r="DJ775" s="325" t="str">
        <f t="shared" si="2552"/>
        <v/>
      </c>
      <c r="DK775" s="324" t="str">
        <f t="shared" si="2552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4"/>
      <c r="CE776" s="1134"/>
      <c r="CF776" s="1134"/>
      <c r="CG776" s="1134"/>
      <c r="CH776" s="1134"/>
      <c r="CI776" s="1134"/>
      <c r="CJ776" s="1134"/>
      <c r="CK776" s="1134"/>
      <c r="CL776" s="1134"/>
      <c r="CM776" s="1134"/>
      <c r="CN776" s="1134"/>
      <c r="CO776" s="1134"/>
      <c r="CP776" s="1134"/>
      <c r="CQ776" s="1134"/>
      <c r="CR776" s="1134"/>
      <c r="CS776" s="1134"/>
      <c r="CT776" s="1135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553">IF(DL777&lt;3,"",(SUM(B777:R777)-MIN(B777:R777)-MAX(B777:R777))/(DL777-2))</f>
        <v/>
      </c>
      <c r="CA777" s="373" t="str">
        <f t="shared" ref="CA777:CA784" si="2554">IF(DM777&lt;3,"",(SUM(T777:AJ777)-MIN(T777:AJ777)-MAX(T777:AJ777))/(DM777-2))</f>
        <v/>
      </c>
      <c r="CB777" s="373" t="str">
        <f t="shared" ref="CB777:CB784" si="2555">IF(DN777&lt;3,"",(SUM(AL777:BB777)-MIN(AL777:BB777)-MAX(AL777:BB777))/(DN777-2))</f>
        <v/>
      </c>
      <c r="CC777" s="462" t="str">
        <f t="shared" ref="CC777:CC784" si="2556">IF(DO777&lt;3,"",(SUM(BD777:BT777)-MIN(BD777:BT777)-MAX(BD777:BT777))/(DO777-2))</f>
        <v/>
      </c>
      <c r="CD777" s="1109" t="str">
        <f t="shared" ref="CD777:CS777" si="255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0" t="str">
        <f t="shared" si="2557"/>
        <v/>
      </c>
      <c r="CF777" s="1111" t="str">
        <f t="shared" si="2557"/>
        <v/>
      </c>
      <c r="CG777" s="1111" t="str">
        <f t="shared" si="2557"/>
        <v/>
      </c>
      <c r="CH777" s="1111" t="str">
        <f t="shared" si="2557"/>
        <v/>
      </c>
      <c r="CI777" s="1111" t="str">
        <f t="shared" si="2557"/>
        <v/>
      </c>
      <c r="CJ777" s="1111" t="str">
        <f t="shared" si="2557"/>
        <v/>
      </c>
      <c r="CK777" s="1112" t="str">
        <f t="shared" si="2557"/>
        <v/>
      </c>
      <c r="CL777" s="1112" t="str">
        <f t="shared" si="2557"/>
        <v/>
      </c>
      <c r="CM777" s="1112" t="str">
        <f t="shared" si="2557"/>
        <v/>
      </c>
      <c r="CN777" s="1111" t="str">
        <f t="shared" si="2557"/>
        <v/>
      </c>
      <c r="CO777" s="1111" t="str">
        <f t="shared" si="2557"/>
        <v/>
      </c>
      <c r="CP777" s="1111" t="str">
        <f t="shared" si="2557"/>
        <v/>
      </c>
      <c r="CQ777" s="1111" t="str">
        <f t="shared" si="2557"/>
        <v/>
      </c>
      <c r="CR777" s="1111" t="str">
        <f t="shared" si="2557"/>
        <v/>
      </c>
      <c r="CS777" s="1110" t="str">
        <f t="shared" si="2557"/>
        <v/>
      </c>
      <c r="CT777" s="1113" t="str">
        <f t="shared" ref="CE777:CT784" si="255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55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56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56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56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56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56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56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56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56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56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56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57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57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57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57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57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57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576">COUNT(B777:R777)</f>
        <v>0</v>
      </c>
      <c r="DM777" s="66">
        <f t="shared" ref="DM777:DM784" si="2577">COUNT(T777:AJ777)</f>
        <v>0</v>
      </c>
      <c r="DN777" s="66">
        <f t="shared" ref="DN777:DN784" si="2578">COUNT(AL777:BB777)</f>
        <v>0</v>
      </c>
      <c r="DO777" s="66">
        <f t="shared" ref="DO777:DO784" si="2579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553"/>
        <v/>
      </c>
      <c r="CA778" s="373" t="str">
        <f t="shared" si="2554"/>
        <v/>
      </c>
      <c r="CB778" s="373" t="str">
        <f t="shared" si="2555"/>
        <v/>
      </c>
      <c r="CC778" s="462" t="str">
        <f t="shared" si="2556"/>
        <v/>
      </c>
      <c r="CD778" s="1109" t="str">
        <f t="shared" ref="CD778:CD784" si="25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558"/>
        <v/>
      </c>
      <c r="CF778" s="1111" t="str">
        <f t="shared" si="2558"/>
        <v/>
      </c>
      <c r="CG778" s="1111" t="str">
        <f t="shared" si="2558"/>
        <v/>
      </c>
      <c r="CH778" s="1111" t="str">
        <f t="shared" si="2558"/>
        <v/>
      </c>
      <c r="CI778" s="1111" t="str">
        <f t="shared" si="2558"/>
        <v/>
      </c>
      <c r="CJ778" s="1111" t="str">
        <f t="shared" si="2558"/>
        <v/>
      </c>
      <c r="CK778" s="1112" t="str">
        <f t="shared" si="2558"/>
        <v/>
      </c>
      <c r="CL778" s="1112" t="str">
        <f t="shared" si="2558"/>
        <v/>
      </c>
      <c r="CM778" s="1112" t="str">
        <f t="shared" si="2558"/>
        <v/>
      </c>
      <c r="CN778" s="1111" t="str">
        <f t="shared" si="2558"/>
        <v/>
      </c>
      <c r="CO778" s="1111" t="str">
        <f t="shared" si="2558"/>
        <v/>
      </c>
      <c r="CP778" s="1111" t="str">
        <f t="shared" si="2558"/>
        <v/>
      </c>
      <c r="CQ778" s="1111" t="str">
        <f t="shared" si="2558"/>
        <v/>
      </c>
      <c r="CR778" s="1111" t="str">
        <f t="shared" si="2558"/>
        <v/>
      </c>
      <c r="CS778" s="1110" t="str">
        <f t="shared" si="2558"/>
        <v/>
      </c>
      <c r="CT778" s="1113" t="str">
        <f t="shared" si="2558"/>
        <v/>
      </c>
      <c r="CU778" s="324" t="str">
        <f t="shared" si="2559"/>
        <v/>
      </c>
      <c r="CV778" s="325" t="str">
        <f t="shared" si="2560"/>
        <v/>
      </c>
      <c r="CW778" s="326" t="str">
        <f t="shared" si="2561"/>
        <v/>
      </c>
      <c r="CX778" s="326" t="str">
        <f t="shared" si="2562"/>
        <v/>
      </c>
      <c r="CY778" s="326" t="str">
        <f t="shared" si="2563"/>
        <v/>
      </c>
      <c r="CZ778" s="326" t="str">
        <f t="shared" si="2564"/>
        <v/>
      </c>
      <c r="DA778" s="326" t="str">
        <f t="shared" si="2565"/>
        <v/>
      </c>
      <c r="DB778" s="327" t="str">
        <f t="shared" si="2566"/>
        <v/>
      </c>
      <c r="DC778" s="327" t="str">
        <f t="shared" si="2567"/>
        <v/>
      </c>
      <c r="DD778" s="327" t="str">
        <f t="shared" si="2568"/>
        <v/>
      </c>
      <c r="DE778" s="326" t="str">
        <f t="shared" si="2569"/>
        <v/>
      </c>
      <c r="DF778" s="326" t="str">
        <f t="shared" si="2570"/>
        <v/>
      </c>
      <c r="DG778" s="326" t="str">
        <f t="shared" si="2571"/>
        <v/>
      </c>
      <c r="DH778" s="326" t="str">
        <f t="shared" si="2572"/>
        <v/>
      </c>
      <c r="DI778" s="326" t="str">
        <f t="shared" si="2573"/>
        <v/>
      </c>
      <c r="DJ778" s="325" t="str">
        <f t="shared" si="2574"/>
        <v/>
      </c>
      <c r="DK778" s="324" t="str">
        <f t="shared" si="2575"/>
        <v/>
      </c>
      <c r="DL778" s="428">
        <f t="shared" si="2576"/>
        <v>0</v>
      </c>
      <c r="DM778" s="66">
        <f t="shared" si="2577"/>
        <v>0</v>
      </c>
      <c r="DN778" s="66">
        <f t="shared" si="2578"/>
        <v>0</v>
      </c>
      <c r="DO778" s="66">
        <f t="shared" si="2579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553"/>
        <v/>
      </c>
      <c r="CA779" s="373" t="str">
        <f t="shared" si="2554"/>
        <v/>
      </c>
      <c r="CB779" s="373" t="str">
        <f t="shared" si="2555"/>
        <v/>
      </c>
      <c r="CC779" s="462" t="str">
        <f t="shared" si="2556"/>
        <v/>
      </c>
      <c r="CD779" s="1109" t="str">
        <f t="shared" si="2580"/>
        <v/>
      </c>
      <c r="CE779" s="1110" t="str">
        <f t="shared" si="2558"/>
        <v/>
      </c>
      <c r="CF779" s="1111" t="str">
        <f t="shared" si="2558"/>
        <v/>
      </c>
      <c r="CG779" s="1111" t="str">
        <f t="shared" si="2558"/>
        <v/>
      </c>
      <c r="CH779" s="1111" t="str">
        <f t="shared" si="2558"/>
        <v/>
      </c>
      <c r="CI779" s="1111" t="str">
        <f t="shared" si="2558"/>
        <v/>
      </c>
      <c r="CJ779" s="1111" t="str">
        <f t="shared" si="2558"/>
        <v/>
      </c>
      <c r="CK779" s="1112" t="str">
        <f t="shared" si="2558"/>
        <v/>
      </c>
      <c r="CL779" s="1112" t="str">
        <f t="shared" si="2558"/>
        <v/>
      </c>
      <c r="CM779" s="1112" t="str">
        <f t="shared" si="2558"/>
        <v/>
      </c>
      <c r="CN779" s="1111" t="str">
        <f t="shared" si="2558"/>
        <v/>
      </c>
      <c r="CO779" s="1111" t="str">
        <f t="shared" si="2558"/>
        <v/>
      </c>
      <c r="CP779" s="1111" t="str">
        <f t="shared" si="2558"/>
        <v/>
      </c>
      <c r="CQ779" s="1111" t="str">
        <f t="shared" si="2558"/>
        <v/>
      </c>
      <c r="CR779" s="1111" t="str">
        <f t="shared" si="2558"/>
        <v/>
      </c>
      <c r="CS779" s="1110" t="str">
        <f t="shared" si="2558"/>
        <v/>
      </c>
      <c r="CT779" s="1113" t="str">
        <f t="shared" si="2558"/>
        <v/>
      </c>
      <c r="CU779" s="324" t="str">
        <f t="shared" si="2559"/>
        <v/>
      </c>
      <c r="CV779" s="325" t="str">
        <f t="shared" si="2560"/>
        <v/>
      </c>
      <c r="CW779" s="326" t="str">
        <f t="shared" si="2561"/>
        <v/>
      </c>
      <c r="CX779" s="326" t="str">
        <f t="shared" si="2562"/>
        <v/>
      </c>
      <c r="CY779" s="326" t="str">
        <f t="shared" si="2563"/>
        <v/>
      </c>
      <c r="CZ779" s="326" t="str">
        <f t="shared" si="2564"/>
        <v/>
      </c>
      <c r="DA779" s="326" t="str">
        <f t="shared" si="2565"/>
        <v/>
      </c>
      <c r="DB779" s="327" t="str">
        <f t="shared" si="2566"/>
        <v/>
      </c>
      <c r="DC779" s="327" t="str">
        <f t="shared" si="2567"/>
        <v/>
      </c>
      <c r="DD779" s="327" t="str">
        <f t="shared" si="2568"/>
        <v/>
      </c>
      <c r="DE779" s="326" t="str">
        <f t="shared" si="2569"/>
        <v/>
      </c>
      <c r="DF779" s="326" t="str">
        <f t="shared" si="2570"/>
        <v/>
      </c>
      <c r="DG779" s="326" t="str">
        <f t="shared" si="2571"/>
        <v/>
      </c>
      <c r="DH779" s="326" t="str">
        <f t="shared" si="2572"/>
        <v/>
      </c>
      <c r="DI779" s="326" t="str">
        <f t="shared" si="2573"/>
        <v/>
      </c>
      <c r="DJ779" s="325" t="str">
        <f t="shared" si="2574"/>
        <v/>
      </c>
      <c r="DK779" s="324" t="str">
        <f t="shared" si="2575"/>
        <v/>
      </c>
      <c r="DL779" s="428">
        <f t="shared" si="2576"/>
        <v>0</v>
      </c>
      <c r="DM779" s="66">
        <f t="shared" si="2577"/>
        <v>0</v>
      </c>
      <c r="DN779" s="66">
        <f t="shared" si="2578"/>
        <v>0</v>
      </c>
      <c r="DO779" s="66">
        <f t="shared" si="2579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581">IF(B777="","",B777*B778*B779)</f>
        <v/>
      </c>
      <c r="C780" s="383" t="str">
        <f t="shared" si="2581"/>
        <v/>
      </c>
      <c r="D780" s="383" t="str">
        <f t="shared" si="2581"/>
        <v/>
      </c>
      <c r="E780" s="383" t="str">
        <f t="shared" si="2581"/>
        <v/>
      </c>
      <c r="F780" s="383" t="str">
        <f t="shared" si="2581"/>
        <v/>
      </c>
      <c r="G780" s="383" t="str">
        <f t="shared" si="2581"/>
        <v/>
      </c>
      <c r="H780" s="383" t="str">
        <f t="shared" si="2581"/>
        <v/>
      </c>
      <c r="I780" s="383" t="str">
        <f t="shared" si="2581"/>
        <v/>
      </c>
      <c r="J780" s="383" t="str">
        <f t="shared" si="2581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582">IF(T777="","",T777*T778*T779)</f>
        <v/>
      </c>
      <c r="U780" s="383" t="str">
        <f t="shared" si="2582"/>
        <v/>
      </c>
      <c r="V780" s="383" t="str">
        <f t="shared" si="2582"/>
        <v/>
      </c>
      <c r="W780" s="383" t="str">
        <f t="shared" si="2582"/>
        <v/>
      </c>
      <c r="X780" s="383" t="str">
        <f t="shared" si="2582"/>
        <v/>
      </c>
      <c r="Y780" s="383" t="str">
        <f t="shared" si="2582"/>
        <v/>
      </c>
      <c r="Z780" s="383" t="str">
        <f t="shared" si="2582"/>
        <v/>
      </c>
      <c r="AA780" s="383" t="str">
        <f t="shared" si="2582"/>
        <v/>
      </c>
      <c r="AB780" s="383" t="str">
        <f t="shared" si="2582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583">IF(AL777="","",AL777*AL778*AL779)</f>
        <v/>
      </c>
      <c r="AM780" s="383" t="str">
        <f t="shared" si="2583"/>
        <v/>
      </c>
      <c r="AN780" s="383" t="str">
        <f t="shared" si="2583"/>
        <v/>
      </c>
      <c r="AO780" s="383" t="str">
        <f t="shared" si="2583"/>
        <v/>
      </c>
      <c r="AP780" s="383" t="str">
        <f t="shared" si="2583"/>
        <v/>
      </c>
      <c r="AQ780" s="383" t="str">
        <f t="shared" si="2583"/>
        <v/>
      </c>
      <c r="AR780" s="383" t="str">
        <f t="shared" si="2583"/>
        <v/>
      </c>
      <c r="AS780" s="383" t="str">
        <f t="shared" si="2583"/>
        <v/>
      </c>
      <c r="AT780" s="383" t="str">
        <f t="shared" si="2583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584">IF(BD777="","",BD777*BD778*BD779)</f>
        <v/>
      </c>
      <c r="BE780" s="383" t="str">
        <f t="shared" si="2584"/>
        <v/>
      </c>
      <c r="BF780" s="383" t="str">
        <f t="shared" si="2584"/>
        <v/>
      </c>
      <c r="BG780" s="383" t="str">
        <f t="shared" si="2584"/>
        <v/>
      </c>
      <c r="BH780" s="383" t="str">
        <f t="shared" si="2584"/>
        <v/>
      </c>
      <c r="BI780" s="383" t="str">
        <f t="shared" si="2584"/>
        <v/>
      </c>
      <c r="BJ780" s="383" t="str">
        <f t="shared" si="2584"/>
        <v/>
      </c>
      <c r="BK780" s="383" t="str">
        <f t="shared" si="2584"/>
        <v/>
      </c>
      <c r="BL780" s="383" t="str">
        <f t="shared" si="2584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553"/>
        <v/>
      </c>
      <c r="CA780" s="373" t="str">
        <f t="shared" si="2554"/>
        <v/>
      </c>
      <c r="CB780" s="373" t="str">
        <f t="shared" si="2555"/>
        <v/>
      </c>
      <c r="CC780" s="462" t="str">
        <f t="shared" si="2556"/>
        <v/>
      </c>
      <c r="CD780" s="1109" t="str">
        <f t="shared" si="2580"/>
        <v/>
      </c>
      <c r="CE780" s="1110" t="str">
        <f t="shared" si="2558"/>
        <v/>
      </c>
      <c r="CF780" s="1111" t="str">
        <f t="shared" si="2558"/>
        <v/>
      </c>
      <c r="CG780" s="1111" t="str">
        <f t="shared" si="2558"/>
        <v/>
      </c>
      <c r="CH780" s="1111" t="str">
        <f t="shared" si="2558"/>
        <v/>
      </c>
      <c r="CI780" s="1111" t="str">
        <f t="shared" si="2558"/>
        <v/>
      </c>
      <c r="CJ780" s="1111" t="str">
        <f t="shared" si="2558"/>
        <v/>
      </c>
      <c r="CK780" s="1112" t="str">
        <f t="shared" si="2558"/>
        <v/>
      </c>
      <c r="CL780" s="1112" t="str">
        <f t="shared" si="2558"/>
        <v/>
      </c>
      <c r="CM780" s="1112" t="str">
        <f t="shared" si="2558"/>
        <v/>
      </c>
      <c r="CN780" s="1111" t="str">
        <f t="shared" si="2558"/>
        <v/>
      </c>
      <c r="CO780" s="1111" t="str">
        <f t="shared" si="2558"/>
        <v/>
      </c>
      <c r="CP780" s="1111" t="str">
        <f t="shared" si="2558"/>
        <v/>
      </c>
      <c r="CQ780" s="1111" t="str">
        <f t="shared" si="2558"/>
        <v/>
      </c>
      <c r="CR780" s="1111" t="str">
        <f t="shared" si="2558"/>
        <v/>
      </c>
      <c r="CS780" s="1110" t="str">
        <f t="shared" si="2558"/>
        <v/>
      </c>
      <c r="CT780" s="1113" t="str">
        <f t="shared" si="2558"/>
        <v/>
      </c>
      <c r="CU780" s="324" t="str">
        <f t="shared" si="2559"/>
        <v/>
      </c>
      <c r="CV780" s="325" t="str">
        <f t="shared" si="2560"/>
        <v/>
      </c>
      <c r="CW780" s="326" t="str">
        <f t="shared" si="2561"/>
        <v/>
      </c>
      <c r="CX780" s="326" t="str">
        <f t="shared" si="2562"/>
        <v/>
      </c>
      <c r="CY780" s="326" t="str">
        <f t="shared" si="2563"/>
        <v/>
      </c>
      <c r="CZ780" s="326" t="str">
        <f t="shared" si="2564"/>
        <v/>
      </c>
      <c r="DA780" s="326" t="str">
        <f t="shared" si="2565"/>
        <v/>
      </c>
      <c r="DB780" s="327" t="str">
        <f t="shared" si="2566"/>
        <v/>
      </c>
      <c r="DC780" s="327" t="str">
        <f t="shared" si="2567"/>
        <v/>
      </c>
      <c r="DD780" s="327" t="str">
        <f t="shared" si="2568"/>
        <v/>
      </c>
      <c r="DE780" s="326" t="str">
        <f t="shared" si="2569"/>
        <v/>
      </c>
      <c r="DF780" s="326" t="str">
        <f t="shared" si="2570"/>
        <v/>
      </c>
      <c r="DG780" s="326" t="str">
        <f t="shared" si="2571"/>
        <v/>
      </c>
      <c r="DH780" s="326" t="str">
        <f t="shared" si="2572"/>
        <v/>
      </c>
      <c r="DI780" s="326" t="str">
        <f t="shared" si="2573"/>
        <v/>
      </c>
      <c r="DJ780" s="325" t="str">
        <f t="shared" si="2574"/>
        <v/>
      </c>
      <c r="DK780" s="324" t="str">
        <f t="shared" si="2575"/>
        <v/>
      </c>
      <c r="DL780" s="428">
        <f t="shared" si="2576"/>
        <v>0</v>
      </c>
      <c r="DM780" s="66">
        <f t="shared" si="2577"/>
        <v>0</v>
      </c>
      <c r="DN780" s="66">
        <f t="shared" si="2578"/>
        <v>0</v>
      </c>
      <c r="DO780" s="66">
        <f t="shared" si="2579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553"/>
        <v/>
      </c>
      <c r="CA781" s="373" t="str">
        <f t="shared" si="2554"/>
        <v/>
      </c>
      <c r="CB781" s="373">
        <f t="shared" si="2555"/>
        <v>480</v>
      </c>
      <c r="CC781" s="462">
        <f t="shared" si="2556"/>
        <v>420</v>
      </c>
      <c r="CD781" s="1109" t="str">
        <f t="shared" si="2580"/>
        <v/>
      </c>
      <c r="CE781" s="1110" t="str">
        <f t="shared" si="2558"/>
        <v/>
      </c>
      <c r="CF781" s="1111" t="str">
        <f t="shared" si="2558"/>
        <v/>
      </c>
      <c r="CG781" s="1111" t="str">
        <f t="shared" si="2558"/>
        <v/>
      </c>
      <c r="CH781" s="1111" t="str">
        <f t="shared" si="2558"/>
        <v/>
      </c>
      <c r="CI781" s="1111" t="str">
        <f t="shared" si="2558"/>
        <v/>
      </c>
      <c r="CJ781" s="1111" t="str">
        <f t="shared" si="2558"/>
        <v/>
      </c>
      <c r="CK781" s="1112" t="str">
        <f t="shared" si="2558"/>
        <v/>
      </c>
      <c r="CL781" s="1112">
        <f t="shared" si="2558"/>
        <v>50</v>
      </c>
      <c r="CM781" s="1112" t="str">
        <f t="shared" si="2558"/>
        <v/>
      </c>
      <c r="CN781" s="1111" t="str">
        <f t="shared" si="2558"/>
        <v/>
      </c>
      <c r="CO781" s="1111" t="str">
        <f t="shared" si="2558"/>
        <v/>
      </c>
      <c r="CP781" s="1111" t="str">
        <f t="shared" si="2558"/>
        <v/>
      </c>
      <c r="CQ781" s="1111" t="str">
        <f t="shared" si="2558"/>
        <v/>
      </c>
      <c r="CR781" s="1111" t="str">
        <f t="shared" si="2558"/>
        <v/>
      </c>
      <c r="CS781" s="1110" t="str">
        <f t="shared" si="2558"/>
        <v/>
      </c>
      <c r="CT781" s="1113" t="str">
        <f t="shared" si="2558"/>
        <v/>
      </c>
      <c r="CU781" s="324" t="str">
        <f t="shared" si="2559"/>
        <v/>
      </c>
      <c r="CV781" s="325" t="str">
        <f t="shared" si="2560"/>
        <v/>
      </c>
      <c r="CW781" s="326" t="str">
        <f t="shared" si="2561"/>
        <v/>
      </c>
      <c r="CX781" s="326" t="str">
        <f t="shared" si="2562"/>
        <v/>
      </c>
      <c r="CY781" s="326" t="str">
        <f t="shared" si="2563"/>
        <v/>
      </c>
      <c r="CZ781" s="326" t="str">
        <f t="shared" si="2564"/>
        <v/>
      </c>
      <c r="DA781" s="326" t="str">
        <f t="shared" si="2565"/>
        <v/>
      </c>
      <c r="DB781" s="327" t="str">
        <f t="shared" si="2566"/>
        <v/>
      </c>
      <c r="DC781" s="327">
        <f t="shared" si="2567"/>
        <v>60</v>
      </c>
      <c r="DD781" s="327" t="str">
        <f t="shared" si="2568"/>
        <v/>
      </c>
      <c r="DE781" s="326" t="str">
        <f t="shared" si="2569"/>
        <v/>
      </c>
      <c r="DF781" s="326" t="str">
        <f t="shared" si="2570"/>
        <v/>
      </c>
      <c r="DG781" s="326" t="str">
        <f t="shared" si="2571"/>
        <v/>
      </c>
      <c r="DH781" s="326" t="str">
        <f t="shared" si="2572"/>
        <v/>
      </c>
      <c r="DI781" s="326" t="str">
        <f t="shared" si="2573"/>
        <v/>
      </c>
      <c r="DJ781" s="325" t="str">
        <f t="shared" si="2574"/>
        <v/>
      </c>
      <c r="DK781" s="324" t="str">
        <f t="shared" si="2575"/>
        <v/>
      </c>
      <c r="DL781" s="428">
        <f t="shared" si="2576"/>
        <v>1</v>
      </c>
      <c r="DM781" s="66">
        <f t="shared" si="2577"/>
        <v>1</v>
      </c>
      <c r="DN781" s="66">
        <f t="shared" si="2578"/>
        <v>3</v>
      </c>
      <c r="DO781" s="66">
        <f t="shared" si="2579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553"/>
        <v/>
      </c>
      <c r="CA782" s="373">
        <f t="shared" si="2554"/>
        <v>48.25</v>
      </c>
      <c r="CB782" s="373">
        <f t="shared" si="2555"/>
        <v>133.33333333333334</v>
      </c>
      <c r="CC782" s="462">
        <f t="shared" si="2556"/>
        <v>163.33333333333334</v>
      </c>
      <c r="CD782" s="1109" t="str">
        <f t="shared" si="2580"/>
        <v/>
      </c>
      <c r="CE782" s="1110" t="str">
        <f t="shared" si="2558"/>
        <v/>
      </c>
      <c r="CF782" s="1111" t="str">
        <f t="shared" si="2558"/>
        <v/>
      </c>
      <c r="CG782" s="1111" t="str">
        <f t="shared" si="2558"/>
        <v/>
      </c>
      <c r="CH782" s="1111" t="str">
        <f t="shared" si="2558"/>
        <v/>
      </c>
      <c r="CI782" s="1111" t="str">
        <f t="shared" si="2558"/>
        <v/>
      </c>
      <c r="CJ782" s="1111" t="str">
        <f t="shared" si="2558"/>
        <v/>
      </c>
      <c r="CK782" s="1112" t="str">
        <f t="shared" si="2558"/>
        <v/>
      </c>
      <c r="CL782" s="1112">
        <f t="shared" si="2558"/>
        <v>270</v>
      </c>
      <c r="CM782" s="1112" t="str">
        <f t="shared" si="2558"/>
        <v/>
      </c>
      <c r="CN782" s="1111" t="str">
        <f t="shared" si="2558"/>
        <v/>
      </c>
      <c r="CO782" s="1111" t="str">
        <f t="shared" si="2558"/>
        <v/>
      </c>
      <c r="CP782" s="1111" t="str">
        <f t="shared" si="2558"/>
        <v/>
      </c>
      <c r="CQ782" s="1111" t="str">
        <f t="shared" si="2558"/>
        <v/>
      </c>
      <c r="CR782" s="1111" t="str">
        <f t="shared" si="2558"/>
        <v/>
      </c>
      <c r="CS782" s="1110" t="str">
        <f t="shared" si="2558"/>
        <v/>
      </c>
      <c r="CT782" s="1113" t="str">
        <f t="shared" si="2558"/>
        <v/>
      </c>
      <c r="CU782" s="324" t="str">
        <f t="shared" si="2559"/>
        <v/>
      </c>
      <c r="CV782" s="325" t="str">
        <f t="shared" si="2560"/>
        <v/>
      </c>
      <c r="CW782" s="326" t="str">
        <f t="shared" si="2561"/>
        <v/>
      </c>
      <c r="CX782" s="326" t="str">
        <f t="shared" si="2562"/>
        <v/>
      </c>
      <c r="CY782" s="326" t="str">
        <f t="shared" si="2563"/>
        <v/>
      </c>
      <c r="CZ782" s="326" t="str">
        <f t="shared" si="2564"/>
        <v/>
      </c>
      <c r="DA782" s="326">
        <f t="shared" si="2565"/>
        <v>25</v>
      </c>
      <c r="DB782" s="327">
        <f t="shared" si="2566"/>
        <v>25</v>
      </c>
      <c r="DC782" s="327">
        <f t="shared" si="2567"/>
        <v>43</v>
      </c>
      <c r="DD782" s="327">
        <f t="shared" si="2568"/>
        <v>50</v>
      </c>
      <c r="DE782" s="326">
        <f t="shared" si="2569"/>
        <v>75</v>
      </c>
      <c r="DF782" s="326">
        <f t="shared" si="2570"/>
        <v>225</v>
      </c>
      <c r="DG782" s="326" t="str">
        <f t="shared" si="2571"/>
        <v/>
      </c>
      <c r="DH782" s="326" t="str">
        <f t="shared" si="2572"/>
        <v/>
      </c>
      <c r="DI782" s="326" t="str">
        <f t="shared" si="2573"/>
        <v/>
      </c>
      <c r="DJ782" s="325" t="str">
        <f t="shared" si="2574"/>
        <v/>
      </c>
      <c r="DK782" s="324" t="str">
        <f t="shared" si="2575"/>
        <v/>
      </c>
      <c r="DL782" s="428">
        <f t="shared" si="2576"/>
        <v>1</v>
      </c>
      <c r="DM782" s="66">
        <f t="shared" si="2577"/>
        <v>6</v>
      </c>
      <c r="DN782" s="66">
        <f t="shared" si="2578"/>
        <v>8</v>
      </c>
      <c r="DO782" s="66">
        <f t="shared" si="2579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553"/>
        <v/>
      </c>
      <c r="CA783" s="373" t="str">
        <f t="shared" si="2554"/>
        <v/>
      </c>
      <c r="CB783" s="373">
        <f t="shared" si="2555"/>
        <v>127.5</v>
      </c>
      <c r="CC783" s="462">
        <f t="shared" si="2556"/>
        <v>123.33333333333333</v>
      </c>
      <c r="CD783" s="1109" t="str">
        <f t="shared" si="2580"/>
        <v/>
      </c>
      <c r="CE783" s="1110" t="str">
        <f t="shared" si="2558"/>
        <v/>
      </c>
      <c r="CF783" s="1111" t="str">
        <f t="shared" si="2558"/>
        <v/>
      </c>
      <c r="CG783" s="1111" t="str">
        <f t="shared" si="2558"/>
        <v/>
      </c>
      <c r="CH783" s="1111" t="str">
        <f t="shared" si="2558"/>
        <v/>
      </c>
      <c r="CI783" s="1111" t="str">
        <f t="shared" si="2558"/>
        <v/>
      </c>
      <c r="CJ783" s="1111" t="str">
        <f t="shared" si="2558"/>
        <v/>
      </c>
      <c r="CK783" s="1112" t="str">
        <f t="shared" si="2558"/>
        <v/>
      </c>
      <c r="CL783" s="1112" t="str">
        <f t="shared" si="2558"/>
        <v/>
      </c>
      <c r="CM783" s="1112" t="str">
        <f t="shared" si="2558"/>
        <v/>
      </c>
      <c r="CN783" s="1111" t="str">
        <f t="shared" si="2558"/>
        <v/>
      </c>
      <c r="CO783" s="1111" t="str">
        <f t="shared" si="2558"/>
        <v/>
      </c>
      <c r="CP783" s="1111" t="str">
        <f t="shared" si="2558"/>
        <v/>
      </c>
      <c r="CQ783" s="1111" t="str">
        <f t="shared" si="2558"/>
        <v/>
      </c>
      <c r="CR783" s="1111" t="str">
        <f t="shared" si="2558"/>
        <v/>
      </c>
      <c r="CS783" s="1110" t="str">
        <f t="shared" si="2558"/>
        <v/>
      </c>
      <c r="CT783" s="1113" t="str">
        <f t="shared" si="2558"/>
        <v/>
      </c>
      <c r="CU783" s="324" t="str">
        <f t="shared" si="2559"/>
        <v/>
      </c>
      <c r="CV783" s="325" t="str">
        <f t="shared" si="2560"/>
        <v/>
      </c>
      <c r="CW783" s="326" t="str">
        <f t="shared" si="2561"/>
        <v/>
      </c>
      <c r="CX783" s="326" t="str">
        <f t="shared" si="2562"/>
        <v/>
      </c>
      <c r="CY783" s="326" t="str">
        <f t="shared" si="2563"/>
        <v/>
      </c>
      <c r="CZ783" s="326" t="str">
        <f t="shared" si="2564"/>
        <v/>
      </c>
      <c r="DA783" s="326" t="str">
        <f t="shared" si="2565"/>
        <v/>
      </c>
      <c r="DB783" s="327" t="str">
        <f t="shared" si="2566"/>
        <v/>
      </c>
      <c r="DC783" s="327">
        <f t="shared" si="2567"/>
        <v>50</v>
      </c>
      <c r="DD783" s="327">
        <f t="shared" si="2568"/>
        <v>105</v>
      </c>
      <c r="DE783" s="326" t="str">
        <f t="shared" si="2569"/>
        <v/>
      </c>
      <c r="DF783" s="326" t="str">
        <f t="shared" si="2570"/>
        <v/>
      </c>
      <c r="DG783" s="326" t="str">
        <f t="shared" si="2571"/>
        <v/>
      </c>
      <c r="DH783" s="326" t="str">
        <f t="shared" si="2572"/>
        <v/>
      </c>
      <c r="DI783" s="326" t="str">
        <f t="shared" si="2573"/>
        <v/>
      </c>
      <c r="DJ783" s="325" t="str">
        <f t="shared" si="2574"/>
        <v/>
      </c>
      <c r="DK783" s="324" t="str">
        <f t="shared" si="2575"/>
        <v/>
      </c>
      <c r="DL783" s="428">
        <f t="shared" si="2576"/>
        <v>0</v>
      </c>
      <c r="DM783" s="66">
        <f t="shared" si="2577"/>
        <v>2</v>
      </c>
      <c r="DN783" s="66">
        <f t="shared" si="2578"/>
        <v>8</v>
      </c>
      <c r="DO783" s="66">
        <f t="shared" si="2579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553"/>
        <v/>
      </c>
      <c r="CA784" s="373" t="str">
        <f t="shared" si="2554"/>
        <v/>
      </c>
      <c r="CB784" s="373" t="str">
        <f t="shared" si="2555"/>
        <v/>
      </c>
      <c r="CC784" s="462" t="str">
        <f t="shared" si="2556"/>
        <v/>
      </c>
      <c r="CD784" s="1109" t="str">
        <f t="shared" si="2580"/>
        <v/>
      </c>
      <c r="CE784" s="1110" t="str">
        <f t="shared" si="2558"/>
        <v/>
      </c>
      <c r="CF784" s="1111" t="str">
        <f t="shared" si="2558"/>
        <v/>
      </c>
      <c r="CG784" s="1111" t="str">
        <f t="shared" si="2558"/>
        <v/>
      </c>
      <c r="CH784" s="1111" t="str">
        <f t="shared" si="2558"/>
        <v/>
      </c>
      <c r="CI784" s="1111" t="str">
        <f t="shared" si="2558"/>
        <v/>
      </c>
      <c r="CJ784" s="1111" t="str">
        <f t="shared" si="2558"/>
        <v/>
      </c>
      <c r="CK784" s="1112" t="str">
        <f t="shared" si="2558"/>
        <v/>
      </c>
      <c r="CL784" s="1112" t="str">
        <f t="shared" si="2558"/>
        <v/>
      </c>
      <c r="CM784" s="1112" t="str">
        <f t="shared" si="2558"/>
        <v/>
      </c>
      <c r="CN784" s="1111" t="str">
        <f t="shared" si="2558"/>
        <v/>
      </c>
      <c r="CO784" s="1111" t="str">
        <f t="shared" si="2558"/>
        <v/>
      </c>
      <c r="CP784" s="1111" t="str">
        <f t="shared" si="2558"/>
        <v/>
      </c>
      <c r="CQ784" s="1111" t="str">
        <f t="shared" si="2558"/>
        <v/>
      </c>
      <c r="CR784" s="1111" t="str">
        <f t="shared" si="2558"/>
        <v/>
      </c>
      <c r="CS784" s="1110" t="str">
        <f t="shared" si="2558"/>
        <v/>
      </c>
      <c r="CT784" s="1113" t="str">
        <f t="shared" si="2558"/>
        <v/>
      </c>
      <c r="CU784" s="324" t="str">
        <f t="shared" si="2559"/>
        <v/>
      </c>
      <c r="CV784" s="325" t="str">
        <f t="shared" si="2560"/>
        <v/>
      </c>
      <c r="CW784" s="326" t="str">
        <f t="shared" si="2561"/>
        <v/>
      </c>
      <c r="CX784" s="326" t="str">
        <f t="shared" si="2562"/>
        <v/>
      </c>
      <c r="CY784" s="326" t="str">
        <f t="shared" si="2563"/>
        <v/>
      </c>
      <c r="CZ784" s="326" t="str">
        <f t="shared" si="2564"/>
        <v/>
      </c>
      <c r="DA784" s="326" t="str">
        <f t="shared" si="2565"/>
        <v/>
      </c>
      <c r="DB784" s="327" t="str">
        <f t="shared" si="2566"/>
        <v/>
      </c>
      <c r="DC784" s="327" t="str">
        <f t="shared" si="2567"/>
        <v/>
      </c>
      <c r="DD784" s="327" t="str">
        <f t="shared" si="2568"/>
        <v/>
      </c>
      <c r="DE784" s="326" t="str">
        <f t="shared" si="2569"/>
        <v/>
      </c>
      <c r="DF784" s="326" t="str">
        <f t="shared" si="2570"/>
        <v/>
      </c>
      <c r="DG784" s="326" t="str">
        <f t="shared" si="2571"/>
        <v/>
      </c>
      <c r="DH784" s="326" t="str">
        <f t="shared" si="2572"/>
        <v/>
      </c>
      <c r="DI784" s="326" t="str">
        <f t="shared" si="2573"/>
        <v/>
      </c>
      <c r="DJ784" s="325" t="str">
        <f t="shared" si="2574"/>
        <v/>
      </c>
      <c r="DK784" s="324" t="str">
        <f t="shared" si="2575"/>
        <v/>
      </c>
      <c r="DL784" s="428">
        <f t="shared" si="2576"/>
        <v>0</v>
      </c>
      <c r="DM784" s="66">
        <f t="shared" si="2577"/>
        <v>0</v>
      </c>
      <c r="DN784" s="66">
        <f t="shared" si="2578"/>
        <v>0</v>
      </c>
      <c r="DO784" s="66">
        <f t="shared" si="2579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4"/>
      <c r="CE785" s="1134"/>
      <c r="CF785" s="1134"/>
      <c r="CG785" s="1134"/>
      <c r="CH785" s="1134"/>
      <c r="CI785" s="1134"/>
      <c r="CJ785" s="1134"/>
      <c r="CK785" s="1134"/>
      <c r="CL785" s="1134"/>
      <c r="CM785" s="1134"/>
      <c r="CN785" s="1134"/>
      <c r="CO785" s="1134"/>
      <c r="CP785" s="1134"/>
      <c r="CQ785" s="1134"/>
      <c r="CR785" s="1134"/>
      <c r="CS785" s="1134"/>
      <c r="CT785" s="1135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585">IF(DL786&lt;3,"",(SUM(B786:R786)-MIN(B786:R786)-MAX(B786:R786))/(DL786-2))</f>
        <v/>
      </c>
      <c r="CA786" s="373" t="str">
        <f t="shared" ref="CA786:CA800" si="2586">IF(DM786&lt;3,"",(SUM(T786:AJ786)-MIN(T786:AJ786)-MAX(T786:AJ786))/(DM786-2))</f>
        <v/>
      </c>
      <c r="CB786" s="373" t="str">
        <f t="shared" ref="CB786:CB800" si="2587">IF(DN786&lt;3,"",(SUM(AL786:BB786)-MIN(AL786:BB786)-MAX(AL786:BB786))/(DN786-2))</f>
        <v/>
      </c>
      <c r="CC786" s="462" t="str">
        <f t="shared" ref="CC786:CC800" si="2588">IF(DO786&lt;3,"",(SUM(BD786:BT786)-MIN(BD786:BT786)-MAX(BD786:BT786))/(DO786-2))</f>
        <v/>
      </c>
      <c r="CD786" s="1109" t="str">
        <f t="shared" ref="CD786:CS786" si="258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0" t="str">
        <f t="shared" si="2589"/>
        <v/>
      </c>
      <c r="CF786" s="1111" t="str">
        <f t="shared" si="2589"/>
        <v/>
      </c>
      <c r="CG786" s="1111" t="str">
        <f t="shared" si="2589"/>
        <v/>
      </c>
      <c r="CH786" s="1111" t="str">
        <f t="shared" si="2589"/>
        <v/>
      </c>
      <c r="CI786" s="1111" t="str">
        <f t="shared" si="2589"/>
        <v/>
      </c>
      <c r="CJ786" s="1111" t="str">
        <f t="shared" si="2589"/>
        <v/>
      </c>
      <c r="CK786" s="1112" t="str">
        <f t="shared" si="2589"/>
        <v/>
      </c>
      <c r="CL786" s="1112" t="str">
        <f t="shared" si="2589"/>
        <v/>
      </c>
      <c r="CM786" s="1112" t="str">
        <f t="shared" si="2589"/>
        <v/>
      </c>
      <c r="CN786" s="1111" t="str">
        <f t="shared" si="2589"/>
        <v/>
      </c>
      <c r="CO786" s="1111" t="str">
        <f t="shared" si="2589"/>
        <v/>
      </c>
      <c r="CP786" s="1111" t="str">
        <f t="shared" si="2589"/>
        <v/>
      </c>
      <c r="CQ786" s="1111" t="str">
        <f t="shared" si="2589"/>
        <v/>
      </c>
      <c r="CR786" s="1111" t="str">
        <f t="shared" si="2589"/>
        <v/>
      </c>
      <c r="CS786" s="1110" t="str">
        <f t="shared" si="2589"/>
        <v/>
      </c>
      <c r="CT786" s="1113" t="str">
        <f t="shared" ref="CE786:CT802" si="259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59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59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59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59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59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59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59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59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59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60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60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60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60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60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60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60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60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608">COUNT(B786:R786)</f>
        <v>0</v>
      </c>
      <c r="DM786" s="66">
        <f t="shared" ref="DM786:DM800" si="2609">COUNT(T786:AJ786)</f>
        <v>0</v>
      </c>
      <c r="DN786" s="66">
        <f t="shared" ref="DN786:DN800" si="2610">COUNT(AL786:BB786)</f>
        <v>0</v>
      </c>
      <c r="DO786" s="66">
        <f t="shared" ref="DO786:DO800" si="2611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585"/>
        <v/>
      </c>
      <c r="CA787" s="373" t="str">
        <f t="shared" si="2586"/>
        <v/>
      </c>
      <c r="CB787" s="373" t="str">
        <f t="shared" si="2587"/>
        <v/>
      </c>
      <c r="CC787" s="462" t="str">
        <f t="shared" si="2588"/>
        <v/>
      </c>
      <c r="CD787" s="1109" t="str">
        <f t="shared" ref="CD787:CD809" si="26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590"/>
        <v/>
      </c>
      <c r="CF787" s="1111" t="str">
        <f t="shared" si="2590"/>
        <v/>
      </c>
      <c r="CG787" s="1111" t="str">
        <f t="shared" si="2590"/>
        <v/>
      </c>
      <c r="CH787" s="1111" t="str">
        <f t="shared" si="2590"/>
        <v/>
      </c>
      <c r="CI787" s="1111" t="str">
        <f t="shared" si="2590"/>
        <v/>
      </c>
      <c r="CJ787" s="1111" t="str">
        <f t="shared" si="2590"/>
        <v/>
      </c>
      <c r="CK787" s="1112" t="str">
        <f t="shared" si="2590"/>
        <v/>
      </c>
      <c r="CL787" s="1112" t="str">
        <f t="shared" si="2590"/>
        <v/>
      </c>
      <c r="CM787" s="1112" t="str">
        <f t="shared" si="2590"/>
        <v/>
      </c>
      <c r="CN787" s="1111" t="str">
        <f t="shared" si="2590"/>
        <v/>
      </c>
      <c r="CO787" s="1111" t="str">
        <f t="shared" si="2590"/>
        <v/>
      </c>
      <c r="CP787" s="1111" t="str">
        <f t="shared" si="2590"/>
        <v/>
      </c>
      <c r="CQ787" s="1111" t="str">
        <f t="shared" si="2590"/>
        <v/>
      </c>
      <c r="CR787" s="1111" t="str">
        <f t="shared" si="2590"/>
        <v/>
      </c>
      <c r="CS787" s="1110" t="str">
        <f t="shared" si="2590"/>
        <v/>
      </c>
      <c r="CT787" s="1113" t="str">
        <f t="shared" si="2590"/>
        <v/>
      </c>
      <c r="CU787" s="324" t="str">
        <f t="shared" si="2591"/>
        <v/>
      </c>
      <c r="CV787" s="325" t="str">
        <f t="shared" si="2592"/>
        <v/>
      </c>
      <c r="CW787" s="326" t="str">
        <f t="shared" si="2593"/>
        <v/>
      </c>
      <c r="CX787" s="326" t="str">
        <f t="shared" si="2594"/>
        <v/>
      </c>
      <c r="CY787" s="326" t="str">
        <f t="shared" si="2595"/>
        <v/>
      </c>
      <c r="CZ787" s="326" t="str">
        <f t="shared" si="2596"/>
        <v/>
      </c>
      <c r="DA787" s="326" t="str">
        <f t="shared" si="2597"/>
        <v/>
      </c>
      <c r="DB787" s="327" t="str">
        <f t="shared" si="2598"/>
        <v/>
      </c>
      <c r="DC787" s="327" t="str">
        <f t="shared" si="2599"/>
        <v/>
      </c>
      <c r="DD787" s="327" t="str">
        <f t="shared" si="2600"/>
        <v/>
      </c>
      <c r="DE787" s="326" t="str">
        <f t="shared" si="2601"/>
        <v/>
      </c>
      <c r="DF787" s="326" t="str">
        <f t="shared" si="2602"/>
        <v/>
      </c>
      <c r="DG787" s="326" t="str">
        <f t="shared" si="2603"/>
        <v/>
      </c>
      <c r="DH787" s="326" t="str">
        <f t="shared" si="2604"/>
        <v/>
      </c>
      <c r="DI787" s="326" t="str">
        <f t="shared" si="2605"/>
        <v/>
      </c>
      <c r="DJ787" s="325" t="str">
        <f t="shared" si="2606"/>
        <v/>
      </c>
      <c r="DK787" s="324" t="str">
        <f t="shared" si="2607"/>
        <v/>
      </c>
      <c r="DL787" s="428">
        <f t="shared" si="2608"/>
        <v>0</v>
      </c>
      <c r="DM787" s="66">
        <f t="shared" si="2609"/>
        <v>0</v>
      </c>
      <c r="DN787" s="66">
        <f t="shared" si="2610"/>
        <v>0</v>
      </c>
      <c r="DO787" s="66">
        <f t="shared" si="2611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585"/>
        <v/>
      </c>
      <c r="CA788" s="373" t="str">
        <f t="shared" si="2586"/>
        <v/>
      </c>
      <c r="CB788" s="373" t="str">
        <f t="shared" si="2587"/>
        <v/>
      </c>
      <c r="CC788" s="462" t="str">
        <f t="shared" si="2588"/>
        <v/>
      </c>
      <c r="CD788" s="1109" t="str">
        <f t="shared" si="2612"/>
        <v/>
      </c>
      <c r="CE788" s="1110" t="str">
        <f t="shared" si="2590"/>
        <v/>
      </c>
      <c r="CF788" s="1111" t="str">
        <f t="shared" si="2590"/>
        <v/>
      </c>
      <c r="CG788" s="1111" t="str">
        <f t="shared" si="2590"/>
        <v/>
      </c>
      <c r="CH788" s="1111" t="str">
        <f t="shared" si="2590"/>
        <v/>
      </c>
      <c r="CI788" s="1111" t="str">
        <f t="shared" si="2590"/>
        <v/>
      </c>
      <c r="CJ788" s="1111" t="str">
        <f t="shared" si="2590"/>
        <v/>
      </c>
      <c r="CK788" s="1112" t="str">
        <f t="shared" si="2590"/>
        <v/>
      </c>
      <c r="CL788" s="1112" t="str">
        <f t="shared" si="2590"/>
        <v/>
      </c>
      <c r="CM788" s="1112" t="str">
        <f t="shared" si="2590"/>
        <v/>
      </c>
      <c r="CN788" s="1111" t="str">
        <f t="shared" si="2590"/>
        <v/>
      </c>
      <c r="CO788" s="1111" t="str">
        <f t="shared" si="2590"/>
        <v/>
      </c>
      <c r="CP788" s="1111" t="str">
        <f t="shared" si="2590"/>
        <v/>
      </c>
      <c r="CQ788" s="1111" t="str">
        <f t="shared" si="2590"/>
        <v/>
      </c>
      <c r="CR788" s="1111" t="str">
        <f t="shared" si="2590"/>
        <v/>
      </c>
      <c r="CS788" s="1110" t="str">
        <f t="shared" si="2590"/>
        <v/>
      </c>
      <c r="CT788" s="1113" t="str">
        <f t="shared" si="2590"/>
        <v/>
      </c>
      <c r="CU788" s="324" t="str">
        <f t="shared" si="2591"/>
        <v/>
      </c>
      <c r="CV788" s="325" t="str">
        <f t="shared" si="2592"/>
        <v/>
      </c>
      <c r="CW788" s="326" t="str">
        <f t="shared" si="2593"/>
        <v/>
      </c>
      <c r="CX788" s="326" t="str">
        <f t="shared" si="2594"/>
        <v/>
      </c>
      <c r="CY788" s="326" t="str">
        <f t="shared" si="2595"/>
        <v/>
      </c>
      <c r="CZ788" s="326" t="str">
        <f t="shared" si="2596"/>
        <v/>
      </c>
      <c r="DA788" s="326" t="str">
        <f t="shared" si="2597"/>
        <v/>
      </c>
      <c r="DB788" s="327" t="str">
        <f t="shared" si="2598"/>
        <v/>
      </c>
      <c r="DC788" s="327" t="str">
        <f t="shared" si="2599"/>
        <v/>
      </c>
      <c r="DD788" s="327" t="str">
        <f t="shared" si="2600"/>
        <v/>
      </c>
      <c r="DE788" s="326" t="str">
        <f t="shared" si="2601"/>
        <v/>
      </c>
      <c r="DF788" s="326" t="str">
        <f t="shared" si="2602"/>
        <v/>
      </c>
      <c r="DG788" s="326" t="str">
        <f t="shared" si="2603"/>
        <v/>
      </c>
      <c r="DH788" s="326" t="str">
        <f t="shared" si="2604"/>
        <v/>
      </c>
      <c r="DI788" s="326" t="str">
        <f t="shared" si="2605"/>
        <v/>
      </c>
      <c r="DJ788" s="325" t="str">
        <f t="shared" si="2606"/>
        <v/>
      </c>
      <c r="DK788" s="324" t="str">
        <f t="shared" si="2607"/>
        <v/>
      </c>
      <c r="DL788" s="428">
        <f t="shared" si="2608"/>
        <v>0</v>
      </c>
      <c r="DM788" s="66">
        <f t="shared" si="2609"/>
        <v>0</v>
      </c>
      <c r="DN788" s="66">
        <f t="shared" si="2610"/>
        <v>0</v>
      </c>
      <c r="DO788" s="66">
        <f t="shared" si="2611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613">IF(B786="","",B786*B787*B788)</f>
        <v/>
      </c>
      <c r="C789" s="383" t="str">
        <f t="shared" si="2613"/>
        <v/>
      </c>
      <c r="D789" s="383" t="str">
        <f t="shared" si="2613"/>
        <v/>
      </c>
      <c r="E789" s="383" t="str">
        <f t="shared" si="2613"/>
        <v/>
      </c>
      <c r="F789" s="383" t="str">
        <f t="shared" si="2613"/>
        <v/>
      </c>
      <c r="G789" s="383" t="str">
        <f t="shared" si="2613"/>
        <v/>
      </c>
      <c r="H789" s="383" t="str">
        <f t="shared" si="2613"/>
        <v/>
      </c>
      <c r="I789" s="383" t="str">
        <f t="shared" si="2613"/>
        <v/>
      </c>
      <c r="J789" s="383" t="str">
        <f t="shared" si="2613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614">IF(T786="","",T786*T787*T788)</f>
        <v/>
      </c>
      <c r="U789" s="383" t="str">
        <f t="shared" si="2614"/>
        <v/>
      </c>
      <c r="V789" s="383" t="str">
        <f t="shared" si="2614"/>
        <v/>
      </c>
      <c r="W789" s="383" t="str">
        <f t="shared" si="2614"/>
        <v/>
      </c>
      <c r="X789" s="383" t="str">
        <f t="shared" si="2614"/>
        <v/>
      </c>
      <c r="Y789" s="383" t="str">
        <f t="shared" si="2614"/>
        <v/>
      </c>
      <c r="Z789" s="383" t="str">
        <f t="shared" si="2614"/>
        <v/>
      </c>
      <c r="AA789" s="383" t="str">
        <f t="shared" si="2614"/>
        <v/>
      </c>
      <c r="AB789" s="383" t="str">
        <f t="shared" si="2614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615">IF(AL786="","",AL786*AL787*AL788)</f>
        <v/>
      </c>
      <c r="AM789" s="383" t="str">
        <f t="shared" si="2615"/>
        <v/>
      </c>
      <c r="AN789" s="383" t="str">
        <f t="shared" si="2615"/>
        <v/>
      </c>
      <c r="AO789" s="383" t="str">
        <f t="shared" si="2615"/>
        <v/>
      </c>
      <c r="AP789" s="383" t="str">
        <f t="shared" si="2615"/>
        <v/>
      </c>
      <c r="AQ789" s="383" t="str">
        <f t="shared" si="2615"/>
        <v/>
      </c>
      <c r="AR789" s="383" t="str">
        <f t="shared" si="2615"/>
        <v/>
      </c>
      <c r="AS789" s="383" t="str">
        <f t="shared" si="2615"/>
        <v/>
      </c>
      <c r="AT789" s="383" t="str">
        <f t="shared" si="2615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616">IF(BD786="","",BD786*BD787*BD788)</f>
        <v/>
      </c>
      <c r="BE789" s="383" t="str">
        <f t="shared" si="2616"/>
        <v/>
      </c>
      <c r="BF789" s="383" t="str">
        <f t="shared" si="2616"/>
        <v/>
      </c>
      <c r="BG789" s="383" t="str">
        <f t="shared" si="2616"/>
        <v/>
      </c>
      <c r="BH789" s="383" t="str">
        <f t="shared" si="2616"/>
        <v/>
      </c>
      <c r="BI789" s="383" t="str">
        <f t="shared" si="2616"/>
        <v/>
      </c>
      <c r="BJ789" s="383" t="str">
        <f t="shared" si="2616"/>
        <v/>
      </c>
      <c r="BK789" s="383" t="str">
        <f t="shared" si="2616"/>
        <v/>
      </c>
      <c r="BL789" s="383" t="str">
        <f t="shared" si="2616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585"/>
        <v/>
      </c>
      <c r="CA789" s="373" t="str">
        <f t="shared" si="2586"/>
        <v/>
      </c>
      <c r="CB789" s="373" t="str">
        <f t="shared" si="2587"/>
        <v/>
      </c>
      <c r="CC789" s="462" t="str">
        <f t="shared" si="2588"/>
        <v/>
      </c>
      <c r="CD789" s="1109" t="str">
        <f t="shared" si="2612"/>
        <v/>
      </c>
      <c r="CE789" s="1110" t="str">
        <f t="shared" si="2590"/>
        <v/>
      </c>
      <c r="CF789" s="1111" t="str">
        <f t="shared" si="2590"/>
        <v/>
      </c>
      <c r="CG789" s="1111" t="str">
        <f t="shared" si="2590"/>
        <v/>
      </c>
      <c r="CH789" s="1111" t="str">
        <f t="shared" si="2590"/>
        <v/>
      </c>
      <c r="CI789" s="1111" t="str">
        <f t="shared" si="2590"/>
        <v/>
      </c>
      <c r="CJ789" s="1111" t="str">
        <f t="shared" si="2590"/>
        <v/>
      </c>
      <c r="CK789" s="1112" t="str">
        <f t="shared" si="2590"/>
        <v/>
      </c>
      <c r="CL789" s="1112" t="str">
        <f t="shared" si="2590"/>
        <v/>
      </c>
      <c r="CM789" s="1112" t="str">
        <f t="shared" si="2590"/>
        <v/>
      </c>
      <c r="CN789" s="1111" t="str">
        <f t="shared" si="2590"/>
        <v/>
      </c>
      <c r="CO789" s="1111" t="str">
        <f t="shared" si="2590"/>
        <v/>
      </c>
      <c r="CP789" s="1111" t="str">
        <f t="shared" si="2590"/>
        <v/>
      </c>
      <c r="CQ789" s="1111" t="str">
        <f t="shared" si="2590"/>
        <v/>
      </c>
      <c r="CR789" s="1111" t="str">
        <f t="shared" si="2590"/>
        <v/>
      </c>
      <c r="CS789" s="1110" t="str">
        <f t="shared" si="2590"/>
        <v/>
      </c>
      <c r="CT789" s="1113" t="str">
        <f t="shared" si="2590"/>
        <v/>
      </c>
      <c r="CU789" s="324" t="str">
        <f t="shared" si="2591"/>
        <v/>
      </c>
      <c r="CV789" s="325" t="str">
        <f t="shared" si="2592"/>
        <v/>
      </c>
      <c r="CW789" s="326" t="str">
        <f t="shared" si="2593"/>
        <v/>
      </c>
      <c r="CX789" s="326" t="str">
        <f t="shared" si="2594"/>
        <v/>
      </c>
      <c r="CY789" s="326" t="str">
        <f t="shared" si="2595"/>
        <v/>
      </c>
      <c r="CZ789" s="326" t="str">
        <f t="shared" si="2596"/>
        <v/>
      </c>
      <c r="DA789" s="326" t="str">
        <f t="shared" si="2597"/>
        <v/>
      </c>
      <c r="DB789" s="327" t="str">
        <f t="shared" si="2598"/>
        <v/>
      </c>
      <c r="DC789" s="327" t="str">
        <f t="shared" si="2599"/>
        <v/>
      </c>
      <c r="DD789" s="327" t="str">
        <f t="shared" si="2600"/>
        <v/>
      </c>
      <c r="DE789" s="326" t="str">
        <f t="shared" si="2601"/>
        <v/>
      </c>
      <c r="DF789" s="326" t="str">
        <f t="shared" si="2602"/>
        <v/>
      </c>
      <c r="DG789" s="326" t="str">
        <f t="shared" si="2603"/>
        <v/>
      </c>
      <c r="DH789" s="326" t="str">
        <f t="shared" si="2604"/>
        <v/>
      </c>
      <c r="DI789" s="326" t="str">
        <f t="shared" si="2605"/>
        <v/>
      </c>
      <c r="DJ789" s="325" t="str">
        <f t="shared" si="2606"/>
        <v/>
      </c>
      <c r="DK789" s="324" t="str">
        <f t="shared" si="2607"/>
        <v/>
      </c>
      <c r="DL789" s="428">
        <f t="shared" si="2608"/>
        <v>0</v>
      </c>
      <c r="DM789" s="66">
        <f t="shared" si="2609"/>
        <v>0</v>
      </c>
      <c r="DN789" s="66">
        <f t="shared" si="2610"/>
        <v>0</v>
      </c>
      <c r="DO789" s="66">
        <f t="shared" si="2611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585"/>
        <v/>
      </c>
      <c r="CA790" s="373">
        <f t="shared" si="2586"/>
        <v>12</v>
      </c>
      <c r="CB790" s="373">
        <f t="shared" si="2587"/>
        <v>30</v>
      </c>
      <c r="CC790" s="462" t="str">
        <f t="shared" si="2588"/>
        <v/>
      </c>
      <c r="CD790" s="1109" t="str">
        <f t="shared" si="2612"/>
        <v/>
      </c>
      <c r="CE790" s="1110" t="str">
        <f t="shared" si="2590"/>
        <v/>
      </c>
      <c r="CF790" s="1111" t="str">
        <f t="shared" si="2590"/>
        <v/>
      </c>
      <c r="CG790" s="1111" t="str">
        <f t="shared" si="2590"/>
        <v/>
      </c>
      <c r="CH790" s="1111" t="str">
        <f t="shared" si="2590"/>
        <v/>
      </c>
      <c r="CI790" s="1111" t="str">
        <f t="shared" si="2590"/>
        <v/>
      </c>
      <c r="CJ790" s="1111" t="str">
        <f t="shared" si="2590"/>
        <v/>
      </c>
      <c r="CK790" s="1112" t="str">
        <f t="shared" si="2590"/>
        <v/>
      </c>
      <c r="CL790" s="1112">
        <f t="shared" si="2590"/>
        <v>5</v>
      </c>
      <c r="CM790" s="1112" t="str">
        <f t="shared" si="2590"/>
        <v/>
      </c>
      <c r="CN790" s="1111" t="str">
        <f t="shared" si="2590"/>
        <v/>
      </c>
      <c r="CO790" s="1111" t="str">
        <f t="shared" si="2590"/>
        <v/>
      </c>
      <c r="CP790" s="1111" t="str">
        <f t="shared" si="2590"/>
        <v/>
      </c>
      <c r="CQ790" s="1111" t="str">
        <f t="shared" si="2590"/>
        <v/>
      </c>
      <c r="CR790" s="1111" t="str">
        <f t="shared" si="2590"/>
        <v/>
      </c>
      <c r="CS790" s="1110" t="str">
        <f t="shared" si="2590"/>
        <v/>
      </c>
      <c r="CT790" s="1113" t="str">
        <f t="shared" si="2590"/>
        <v/>
      </c>
      <c r="CU790" s="324" t="str">
        <f t="shared" si="2591"/>
        <v/>
      </c>
      <c r="CV790" s="325" t="str">
        <f t="shared" si="2592"/>
        <v/>
      </c>
      <c r="CW790" s="326" t="str">
        <f t="shared" si="2593"/>
        <v/>
      </c>
      <c r="CX790" s="326" t="str">
        <f t="shared" si="2594"/>
        <v/>
      </c>
      <c r="CY790" s="326" t="str">
        <f t="shared" si="2595"/>
        <v/>
      </c>
      <c r="CZ790" s="326" t="str">
        <f t="shared" si="2596"/>
        <v/>
      </c>
      <c r="DA790" s="326">
        <f t="shared" si="2597"/>
        <v>4</v>
      </c>
      <c r="DB790" s="327">
        <f t="shared" si="2598"/>
        <v>5</v>
      </c>
      <c r="DC790" s="327">
        <f t="shared" si="2599"/>
        <v>6</v>
      </c>
      <c r="DD790" s="327">
        <f t="shared" si="2600"/>
        <v>25</v>
      </c>
      <c r="DE790" s="326">
        <f t="shared" si="2601"/>
        <v>50</v>
      </c>
      <c r="DF790" s="326" t="str">
        <f t="shared" si="2602"/>
        <v/>
      </c>
      <c r="DG790" s="326" t="str">
        <f t="shared" si="2603"/>
        <v/>
      </c>
      <c r="DH790" s="326" t="str">
        <f t="shared" si="2604"/>
        <v/>
      </c>
      <c r="DI790" s="326" t="str">
        <f t="shared" si="2605"/>
        <v/>
      </c>
      <c r="DJ790" s="325" t="str">
        <f t="shared" si="2606"/>
        <v/>
      </c>
      <c r="DK790" s="324" t="str">
        <f t="shared" si="2607"/>
        <v/>
      </c>
      <c r="DL790" s="428">
        <f t="shared" si="2608"/>
        <v>1</v>
      </c>
      <c r="DM790" s="66">
        <f t="shared" si="2609"/>
        <v>5</v>
      </c>
      <c r="DN790" s="66">
        <f t="shared" si="2610"/>
        <v>3</v>
      </c>
      <c r="DO790" s="66">
        <f t="shared" si="2611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585"/>
        <v/>
      </c>
      <c r="CA791" s="373">
        <f t="shared" si="2586"/>
        <v>93.333333333333329</v>
      </c>
      <c r="CB791" s="373">
        <f t="shared" si="2587"/>
        <v>420</v>
      </c>
      <c r="CC791" s="462">
        <f t="shared" si="2588"/>
        <v>559.28571428571433</v>
      </c>
      <c r="CD791" s="1109" t="str">
        <f t="shared" si="2612"/>
        <v/>
      </c>
      <c r="CE791" s="1110" t="str">
        <f t="shared" si="2590"/>
        <v/>
      </c>
      <c r="CF791" s="1111" t="str">
        <f t="shared" si="2590"/>
        <v/>
      </c>
      <c r="CG791" s="1111" t="str">
        <f t="shared" si="2590"/>
        <v/>
      </c>
      <c r="CH791" s="1111" t="str">
        <f t="shared" si="2590"/>
        <v/>
      </c>
      <c r="CI791" s="1111" t="str">
        <f t="shared" si="2590"/>
        <v/>
      </c>
      <c r="CJ791" s="1111" t="str">
        <f t="shared" si="2590"/>
        <v/>
      </c>
      <c r="CK791" s="1112" t="str">
        <f t="shared" si="2590"/>
        <v/>
      </c>
      <c r="CL791" s="1112">
        <f t="shared" si="2590"/>
        <v>12</v>
      </c>
      <c r="CM791" s="1112" t="str">
        <f t="shared" si="2590"/>
        <v/>
      </c>
      <c r="CN791" s="1111" t="str">
        <f t="shared" si="2590"/>
        <v/>
      </c>
      <c r="CO791" s="1111" t="str">
        <f t="shared" si="2590"/>
        <v/>
      </c>
      <c r="CP791" s="1111" t="str">
        <f t="shared" si="2590"/>
        <v/>
      </c>
      <c r="CQ791" s="1111" t="str">
        <f t="shared" si="2590"/>
        <v/>
      </c>
      <c r="CR791" s="1111" t="str">
        <f t="shared" si="2590"/>
        <v/>
      </c>
      <c r="CS791" s="1110" t="str">
        <f t="shared" si="2590"/>
        <v/>
      </c>
      <c r="CT791" s="1113" t="str">
        <f t="shared" si="2590"/>
        <v/>
      </c>
      <c r="CU791" s="324" t="str">
        <f t="shared" si="2591"/>
        <v/>
      </c>
      <c r="CV791" s="325" t="str">
        <f t="shared" si="2592"/>
        <v/>
      </c>
      <c r="CW791" s="326" t="str">
        <f t="shared" si="2593"/>
        <v/>
      </c>
      <c r="CX791" s="326" t="str">
        <f t="shared" si="2594"/>
        <v/>
      </c>
      <c r="CY791" s="326" t="str">
        <f t="shared" si="2595"/>
        <v/>
      </c>
      <c r="CZ791" s="326" t="str">
        <f t="shared" si="2596"/>
        <v/>
      </c>
      <c r="DA791" s="326">
        <f t="shared" si="2597"/>
        <v>60</v>
      </c>
      <c r="DB791" s="327">
        <f t="shared" si="2598"/>
        <v>80</v>
      </c>
      <c r="DC791" s="327">
        <f t="shared" si="2599"/>
        <v>80</v>
      </c>
      <c r="DD791" s="327">
        <f t="shared" si="2600"/>
        <v>120</v>
      </c>
      <c r="DE791" s="326">
        <f t="shared" si="2601"/>
        <v>130</v>
      </c>
      <c r="DF791" s="326" t="str">
        <f t="shared" si="2602"/>
        <v/>
      </c>
      <c r="DG791" s="326" t="str">
        <f t="shared" si="2603"/>
        <v/>
      </c>
      <c r="DH791" s="326" t="str">
        <f t="shared" si="2604"/>
        <v/>
      </c>
      <c r="DI791" s="326" t="str">
        <f t="shared" si="2605"/>
        <v/>
      </c>
      <c r="DJ791" s="325" t="str">
        <f t="shared" si="2606"/>
        <v/>
      </c>
      <c r="DK791" s="324" t="str">
        <f t="shared" si="2607"/>
        <v/>
      </c>
      <c r="DL791" s="428">
        <f t="shared" si="2608"/>
        <v>1</v>
      </c>
      <c r="DM791" s="66">
        <f t="shared" si="2609"/>
        <v>5</v>
      </c>
      <c r="DN791" s="66">
        <f t="shared" si="2610"/>
        <v>9</v>
      </c>
      <c r="DO791" s="66">
        <f t="shared" si="2611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585"/>
        <v/>
      </c>
      <c r="CA792" s="373">
        <f t="shared" si="2586"/>
        <v>500</v>
      </c>
      <c r="CB792" s="373">
        <f t="shared" si="2587"/>
        <v>4095</v>
      </c>
      <c r="CC792" s="462">
        <f t="shared" si="2588"/>
        <v>7071.4285714285716</v>
      </c>
      <c r="CD792" s="1109" t="str">
        <f t="shared" si="2612"/>
        <v/>
      </c>
      <c r="CE792" s="1110" t="str">
        <f t="shared" si="2590"/>
        <v/>
      </c>
      <c r="CF792" s="1111" t="str">
        <f t="shared" si="2590"/>
        <v/>
      </c>
      <c r="CG792" s="1111" t="str">
        <f t="shared" si="2590"/>
        <v/>
      </c>
      <c r="CH792" s="1111" t="str">
        <f t="shared" si="2590"/>
        <v/>
      </c>
      <c r="CI792" s="1111" t="str">
        <f t="shared" si="2590"/>
        <v/>
      </c>
      <c r="CJ792" s="1111" t="str">
        <f t="shared" si="2590"/>
        <v/>
      </c>
      <c r="CK792" s="1112" t="str">
        <f t="shared" si="2590"/>
        <v/>
      </c>
      <c r="CL792" s="1112" t="str">
        <f t="shared" si="2590"/>
        <v/>
      </c>
      <c r="CM792" s="1112" t="str">
        <f t="shared" si="2590"/>
        <v/>
      </c>
      <c r="CN792" s="1111" t="str">
        <f t="shared" si="2590"/>
        <v/>
      </c>
      <c r="CO792" s="1111" t="str">
        <f t="shared" si="2590"/>
        <v/>
      </c>
      <c r="CP792" s="1111" t="str">
        <f t="shared" si="2590"/>
        <v/>
      </c>
      <c r="CQ792" s="1111" t="str">
        <f t="shared" si="2590"/>
        <v/>
      </c>
      <c r="CR792" s="1111" t="str">
        <f t="shared" si="2590"/>
        <v/>
      </c>
      <c r="CS792" s="1110" t="str">
        <f t="shared" si="2590"/>
        <v/>
      </c>
      <c r="CT792" s="1113" t="str">
        <f t="shared" si="2590"/>
        <v/>
      </c>
      <c r="CU792" s="324" t="str">
        <f t="shared" si="2591"/>
        <v/>
      </c>
      <c r="CV792" s="325" t="str">
        <f t="shared" si="2592"/>
        <v/>
      </c>
      <c r="CW792" s="326" t="str">
        <f t="shared" si="2593"/>
        <v/>
      </c>
      <c r="CX792" s="326" t="str">
        <f t="shared" si="2594"/>
        <v/>
      </c>
      <c r="CY792" s="326" t="str">
        <f t="shared" si="2595"/>
        <v/>
      </c>
      <c r="CZ792" s="326" t="str">
        <f t="shared" si="2596"/>
        <v/>
      </c>
      <c r="DA792" s="326" t="str">
        <f t="shared" si="2597"/>
        <v/>
      </c>
      <c r="DB792" s="327">
        <f t="shared" si="2598"/>
        <v>250</v>
      </c>
      <c r="DC792" s="327">
        <f t="shared" si="2599"/>
        <v>500</v>
      </c>
      <c r="DD792" s="327">
        <f t="shared" si="2600"/>
        <v>800</v>
      </c>
      <c r="DE792" s="326" t="str">
        <f t="shared" si="2601"/>
        <v/>
      </c>
      <c r="DF792" s="326" t="str">
        <f t="shared" si="2602"/>
        <v/>
      </c>
      <c r="DG792" s="326" t="str">
        <f t="shared" si="2603"/>
        <v/>
      </c>
      <c r="DH792" s="326" t="str">
        <f t="shared" si="2604"/>
        <v/>
      </c>
      <c r="DI792" s="326" t="str">
        <f t="shared" si="2605"/>
        <v/>
      </c>
      <c r="DJ792" s="325" t="str">
        <f t="shared" si="2606"/>
        <v/>
      </c>
      <c r="DK792" s="324" t="str">
        <f t="shared" si="2607"/>
        <v/>
      </c>
      <c r="DL792" s="428">
        <f t="shared" si="2608"/>
        <v>0</v>
      </c>
      <c r="DM792" s="66">
        <f t="shared" si="2609"/>
        <v>3</v>
      </c>
      <c r="DN792" s="66">
        <f t="shared" si="2610"/>
        <v>9</v>
      </c>
      <c r="DO792" s="66">
        <f t="shared" si="2611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585"/>
        <v/>
      </c>
      <c r="CA793" s="373" t="str">
        <f t="shared" si="2586"/>
        <v/>
      </c>
      <c r="CB793" s="373" t="str">
        <f t="shared" si="2587"/>
        <v/>
      </c>
      <c r="CC793" s="462" t="str">
        <f t="shared" si="2588"/>
        <v/>
      </c>
      <c r="CD793" s="1109" t="str">
        <f t="shared" si="2612"/>
        <v/>
      </c>
      <c r="CE793" s="1110" t="str">
        <f t="shared" si="2590"/>
        <v/>
      </c>
      <c r="CF793" s="1111" t="str">
        <f t="shared" si="2590"/>
        <v/>
      </c>
      <c r="CG793" s="1111" t="str">
        <f t="shared" si="2590"/>
        <v/>
      </c>
      <c r="CH793" s="1111" t="str">
        <f t="shared" si="2590"/>
        <v/>
      </c>
      <c r="CI793" s="1111" t="str">
        <f t="shared" si="2590"/>
        <v/>
      </c>
      <c r="CJ793" s="1111" t="str">
        <f t="shared" si="2590"/>
        <v/>
      </c>
      <c r="CK793" s="1112" t="str">
        <f t="shared" si="2590"/>
        <v/>
      </c>
      <c r="CL793" s="1112" t="str">
        <f t="shared" si="2590"/>
        <v/>
      </c>
      <c r="CM793" s="1112" t="str">
        <f t="shared" si="2590"/>
        <v/>
      </c>
      <c r="CN793" s="1111" t="str">
        <f t="shared" si="2590"/>
        <v/>
      </c>
      <c r="CO793" s="1111" t="str">
        <f t="shared" si="2590"/>
        <v/>
      </c>
      <c r="CP793" s="1111" t="str">
        <f t="shared" si="2590"/>
        <v/>
      </c>
      <c r="CQ793" s="1111" t="str">
        <f t="shared" si="2590"/>
        <v/>
      </c>
      <c r="CR793" s="1111" t="str">
        <f t="shared" si="2590"/>
        <v/>
      </c>
      <c r="CS793" s="1110" t="str">
        <f t="shared" si="2590"/>
        <v/>
      </c>
      <c r="CT793" s="1113" t="str">
        <f t="shared" si="2590"/>
        <v/>
      </c>
      <c r="CU793" s="324" t="str">
        <f t="shared" si="2591"/>
        <v/>
      </c>
      <c r="CV793" s="325" t="str">
        <f t="shared" si="2592"/>
        <v/>
      </c>
      <c r="CW793" s="326" t="str">
        <f t="shared" si="2593"/>
        <v/>
      </c>
      <c r="CX793" s="326" t="str">
        <f t="shared" si="2594"/>
        <v/>
      </c>
      <c r="CY793" s="326" t="str">
        <f t="shared" si="2595"/>
        <v/>
      </c>
      <c r="CZ793" s="326" t="str">
        <f t="shared" si="2596"/>
        <v/>
      </c>
      <c r="DA793" s="326" t="str">
        <f t="shared" si="2597"/>
        <v/>
      </c>
      <c r="DB793" s="327" t="str">
        <f t="shared" si="2598"/>
        <v/>
      </c>
      <c r="DC793" s="327" t="str">
        <f t="shared" si="2599"/>
        <v/>
      </c>
      <c r="DD793" s="327" t="str">
        <f t="shared" si="2600"/>
        <v/>
      </c>
      <c r="DE793" s="326" t="str">
        <f t="shared" si="2601"/>
        <v/>
      </c>
      <c r="DF793" s="326" t="str">
        <f t="shared" si="2602"/>
        <v/>
      </c>
      <c r="DG793" s="326" t="str">
        <f t="shared" si="2603"/>
        <v/>
      </c>
      <c r="DH793" s="326" t="str">
        <f t="shared" si="2604"/>
        <v/>
      </c>
      <c r="DI793" s="326" t="str">
        <f t="shared" si="2605"/>
        <v/>
      </c>
      <c r="DJ793" s="325" t="str">
        <f t="shared" si="2606"/>
        <v/>
      </c>
      <c r="DK793" s="324" t="str">
        <f t="shared" si="2607"/>
        <v/>
      </c>
      <c r="DL793" s="428">
        <f t="shared" si="2608"/>
        <v>0</v>
      </c>
      <c r="DM793" s="66">
        <f t="shared" si="2609"/>
        <v>0</v>
      </c>
      <c r="DN793" s="66">
        <f t="shared" si="2610"/>
        <v>0</v>
      </c>
      <c r="DO793" s="66">
        <f t="shared" si="2611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585"/>
        <v/>
      </c>
      <c r="CA794" s="373" t="str">
        <f t="shared" si="2586"/>
        <v/>
      </c>
      <c r="CB794" s="373">
        <f t="shared" si="2587"/>
        <v>1760.2857142857142</v>
      </c>
      <c r="CC794" s="462">
        <f t="shared" si="2588"/>
        <v>2100</v>
      </c>
      <c r="CD794" s="1109" t="str">
        <f t="shared" si="2612"/>
        <v/>
      </c>
      <c r="CE794" s="1110" t="str">
        <f t="shared" si="2590"/>
        <v/>
      </c>
      <c r="CF794" s="1111" t="str">
        <f t="shared" si="2590"/>
        <v/>
      </c>
      <c r="CG794" s="1111" t="str">
        <f t="shared" si="2590"/>
        <v/>
      </c>
      <c r="CH794" s="1111" t="str">
        <f t="shared" si="2590"/>
        <v/>
      </c>
      <c r="CI794" s="1111" t="str">
        <f t="shared" si="2590"/>
        <v/>
      </c>
      <c r="CJ794" s="1111" t="str">
        <f t="shared" si="2590"/>
        <v/>
      </c>
      <c r="CK794" s="1112" t="str">
        <f t="shared" si="2590"/>
        <v/>
      </c>
      <c r="CL794" s="1112" t="str">
        <f t="shared" si="2590"/>
        <v/>
      </c>
      <c r="CM794" s="1112" t="str">
        <f t="shared" si="2590"/>
        <v/>
      </c>
      <c r="CN794" s="1111" t="str">
        <f t="shared" si="2590"/>
        <v/>
      </c>
      <c r="CO794" s="1111" t="str">
        <f t="shared" si="2590"/>
        <v/>
      </c>
      <c r="CP794" s="1111" t="str">
        <f t="shared" si="2590"/>
        <v/>
      </c>
      <c r="CQ794" s="1111" t="str">
        <f t="shared" si="2590"/>
        <v/>
      </c>
      <c r="CR794" s="1111" t="str">
        <f t="shared" si="2590"/>
        <v/>
      </c>
      <c r="CS794" s="1110" t="str">
        <f t="shared" si="2590"/>
        <v/>
      </c>
      <c r="CT794" s="1113" t="str">
        <f t="shared" si="2590"/>
        <v/>
      </c>
      <c r="CU794" s="324" t="str">
        <f t="shared" si="2591"/>
        <v/>
      </c>
      <c r="CV794" s="325" t="str">
        <f t="shared" si="2592"/>
        <v/>
      </c>
      <c r="CW794" s="326" t="str">
        <f t="shared" si="2593"/>
        <v/>
      </c>
      <c r="CX794" s="326" t="str">
        <f t="shared" si="2594"/>
        <v/>
      </c>
      <c r="CY794" s="326" t="str">
        <f t="shared" si="2595"/>
        <v/>
      </c>
      <c r="CZ794" s="326" t="str">
        <f t="shared" si="2596"/>
        <v/>
      </c>
      <c r="DA794" s="326" t="str">
        <f t="shared" si="2597"/>
        <v/>
      </c>
      <c r="DB794" s="327" t="str">
        <f t="shared" si="2598"/>
        <v/>
      </c>
      <c r="DC794" s="327" t="str">
        <f t="shared" si="2599"/>
        <v/>
      </c>
      <c r="DD794" s="327" t="str">
        <f t="shared" si="2600"/>
        <v/>
      </c>
      <c r="DE794" s="326" t="str">
        <f t="shared" si="2601"/>
        <v/>
      </c>
      <c r="DF794" s="326" t="str">
        <f t="shared" si="2602"/>
        <v/>
      </c>
      <c r="DG794" s="326" t="str">
        <f t="shared" si="2603"/>
        <v/>
      </c>
      <c r="DH794" s="326" t="str">
        <f t="shared" si="2604"/>
        <v/>
      </c>
      <c r="DI794" s="326" t="str">
        <f t="shared" si="2605"/>
        <v/>
      </c>
      <c r="DJ794" s="325" t="str">
        <f t="shared" si="2606"/>
        <v/>
      </c>
      <c r="DK794" s="324" t="str">
        <f t="shared" si="2607"/>
        <v/>
      </c>
      <c r="DL794" s="428">
        <f t="shared" si="2608"/>
        <v>0</v>
      </c>
      <c r="DM794" s="66">
        <f t="shared" si="2609"/>
        <v>0</v>
      </c>
      <c r="DN794" s="66">
        <f t="shared" si="2610"/>
        <v>9</v>
      </c>
      <c r="DO794" s="66">
        <f t="shared" si="2611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585"/>
        <v>42.5</v>
      </c>
      <c r="CA795" s="373">
        <f t="shared" si="2586"/>
        <v>102.5</v>
      </c>
      <c r="CB795" s="373">
        <f t="shared" si="2587"/>
        <v>2197.5</v>
      </c>
      <c r="CC795" s="462">
        <f t="shared" si="2588"/>
        <v>3970.8333333333335</v>
      </c>
      <c r="CD795" s="1109" t="str">
        <f t="shared" si="2612"/>
        <v/>
      </c>
      <c r="CE795" s="1110" t="str">
        <f t="shared" si="2590"/>
        <v/>
      </c>
      <c r="CF795" s="1111" t="str">
        <f t="shared" si="2590"/>
        <v/>
      </c>
      <c r="CG795" s="1111" t="str">
        <f t="shared" si="2590"/>
        <v/>
      </c>
      <c r="CH795" s="1111" t="str">
        <f t="shared" si="2590"/>
        <v/>
      </c>
      <c r="CI795" s="1111" t="str">
        <f t="shared" si="2590"/>
        <v/>
      </c>
      <c r="CJ795" s="1111">
        <f t="shared" si="2590"/>
        <v>20</v>
      </c>
      <c r="CK795" s="1112">
        <f t="shared" si="2590"/>
        <v>35</v>
      </c>
      <c r="CL795" s="1112">
        <f t="shared" si="2590"/>
        <v>40</v>
      </c>
      <c r="CM795" s="1112">
        <f t="shared" si="2590"/>
        <v>45</v>
      </c>
      <c r="CN795" s="1111">
        <f t="shared" si="2590"/>
        <v>50</v>
      </c>
      <c r="CO795" s="1111">
        <f t="shared" si="2590"/>
        <v>60</v>
      </c>
      <c r="CP795" s="1111" t="str">
        <f t="shared" si="2590"/>
        <v/>
      </c>
      <c r="CQ795" s="1111" t="str">
        <f t="shared" si="2590"/>
        <v/>
      </c>
      <c r="CR795" s="1111" t="str">
        <f t="shared" si="2590"/>
        <v/>
      </c>
      <c r="CS795" s="1110" t="str">
        <f t="shared" si="2590"/>
        <v/>
      </c>
      <c r="CT795" s="1113" t="str">
        <f t="shared" si="2590"/>
        <v/>
      </c>
      <c r="CU795" s="324" t="str">
        <f t="shared" si="2591"/>
        <v/>
      </c>
      <c r="CV795" s="325" t="str">
        <f t="shared" si="2592"/>
        <v/>
      </c>
      <c r="CW795" s="326" t="str">
        <f t="shared" si="2593"/>
        <v/>
      </c>
      <c r="CX795" s="326" t="str">
        <f t="shared" si="2594"/>
        <v/>
      </c>
      <c r="CY795" s="326" t="str">
        <f t="shared" si="2595"/>
        <v/>
      </c>
      <c r="CZ795" s="326" t="str">
        <f t="shared" si="2596"/>
        <v/>
      </c>
      <c r="DA795" s="326" t="str">
        <f t="shared" si="2597"/>
        <v/>
      </c>
      <c r="DB795" s="327">
        <f t="shared" si="2598"/>
        <v>30</v>
      </c>
      <c r="DC795" s="327">
        <f t="shared" si="2599"/>
        <v>100</v>
      </c>
      <c r="DD795" s="327">
        <f t="shared" si="2600"/>
        <v>105</v>
      </c>
      <c r="DE795" s="326">
        <f t="shared" si="2601"/>
        <v>200</v>
      </c>
      <c r="DF795" s="326" t="str">
        <f t="shared" si="2602"/>
        <v/>
      </c>
      <c r="DG795" s="326" t="str">
        <f t="shared" si="2603"/>
        <v/>
      </c>
      <c r="DH795" s="326" t="str">
        <f t="shared" si="2604"/>
        <v/>
      </c>
      <c r="DI795" s="326" t="str">
        <f t="shared" si="2605"/>
        <v/>
      </c>
      <c r="DJ795" s="325" t="str">
        <f t="shared" si="2606"/>
        <v/>
      </c>
      <c r="DK795" s="324" t="str">
        <f t="shared" si="2607"/>
        <v/>
      </c>
      <c r="DL795" s="428">
        <f t="shared" si="2608"/>
        <v>6</v>
      </c>
      <c r="DM795" s="66">
        <f t="shared" si="2609"/>
        <v>4</v>
      </c>
      <c r="DN795" s="66">
        <f t="shared" si="2610"/>
        <v>8</v>
      </c>
      <c r="DO795" s="66">
        <f t="shared" si="2611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585"/>
        <v/>
      </c>
      <c r="CA796" s="373" t="str">
        <f t="shared" si="2586"/>
        <v/>
      </c>
      <c r="CB796" s="373" t="str">
        <f t="shared" si="2587"/>
        <v/>
      </c>
      <c r="CC796" s="462" t="str">
        <f t="shared" si="2588"/>
        <v/>
      </c>
      <c r="CD796" s="1109" t="str">
        <f t="shared" si="2612"/>
        <v/>
      </c>
      <c r="CE796" s="1110" t="str">
        <f t="shared" si="2590"/>
        <v/>
      </c>
      <c r="CF796" s="1111" t="str">
        <f t="shared" si="2590"/>
        <v/>
      </c>
      <c r="CG796" s="1111" t="str">
        <f t="shared" si="2590"/>
        <v/>
      </c>
      <c r="CH796" s="1111" t="str">
        <f t="shared" si="2590"/>
        <v/>
      </c>
      <c r="CI796" s="1111" t="str">
        <f t="shared" si="2590"/>
        <v/>
      </c>
      <c r="CJ796" s="1111" t="str">
        <f t="shared" si="2590"/>
        <v/>
      </c>
      <c r="CK796" s="1112" t="str">
        <f t="shared" si="2590"/>
        <v/>
      </c>
      <c r="CL796" s="1112" t="str">
        <f t="shared" si="2590"/>
        <v/>
      </c>
      <c r="CM796" s="1112" t="str">
        <f t="shared" si="2590"/>
        <v/>
      </c>
      <c r="CN796" s="1111" t="str">
        <f t="shared" si="2590"/>
        <v/>
      </c>
      <c r="CO796" s="1111" t="str">
        <f t="shared" si="2590"/>
        <v/>
      </c>
      <c r="CP796" s="1111" t="str">
        <f t="shared" si="2590"/>
        <v/>
      </c>
      <c r="CQ796" s="1111" t="str">
        <f t="shared" si="2590"/>
        <v/>
      </c>
      <c r="CR796" s="1111" t="str">
        <f t="shared" si="2590"/>
        <v/>
      </c>
      <c r="CS796" s="1110" t="str">
        <f t="shared" si="2590"/>
        <v/>
      </c>
      <c r="CT796" s="1113" t="str">
        <f t="shared" si="2590"/>
        <v/>
      </c>
      <c r="CU796" s="324" t="str">
        <f t="shared" si="2591"/>
        <v/>
      </c>
      <c r="CV796" s="325" t="str">
        <f t="shared" si="2592"/>
        <v/>
      </c>
      <c r="CW796" s="326" t="str">
        <f t="shared" si="2593"/>
        <v/>
      </c>
      <c r="CX796" s="326" t="str">
        <f t="shared" si="2594"/>
        <v/>
      </c>
      <c r="CY796" s="326" t="str">
        <f t="shared" si="2595"/>
        <v/>
      </c>
      <c r="CZ796" s="326" t="str">
        <f t="shared" si="2596"/>
        <v/>
      </c>
      <c r="DA796" s="326" t="str">
        <f t="shared" si="2597"/>
        <v/>
      </c>
      <c r="DB796" s="327" t="str">
        <f t="shared" si="2598"/>
        <v/>
      </c>
      <c r="DC796" s="327" t="str">
        <f t="shared" si="2599"/>
        <v/>
      </c>
      <c r="DD796" s="327" t="str">
        <f t="shared" si="2600"/>
        <v/>
      </c>
      <c r="DE796" s="326" t="str">
        <f t="shared" si="2601"/>
        <v/>
      </c>
      <c r="DF796" s="326" t="str">
        <f t="shared" si="2602"/>
        <v/>
      </c>
      <c r="DG796" s="326" t="str">
        <f t="shared" si="2603"/>
        <v/>
      </c>
      <c r="DH796" s="326" t="str">
        <f t="shared" si="2604"/>
        <v/>
      </c>
      <c r="DI796" s="326" t="str">
        <f t="shared" si="2605"/>
        <v/>
      </c>
      <c r="DJ796" s="325" t="str">
        <f t="shared" si="2606"/>
        <v/>
      </c>
      <c r="DK796" s="324" t="str">
        <f t="shared" si="2607"/>
        <v/>
      </c>
      <c r="DL796" s="428">
        <f t="shared" si="2608"/>
        <v>0</v>
      </c>
      <c r="DM796" s="66">
        <f t="shared" si="2609"/>
        <v>0</v>
      </c>
      <c r="DN796" s="66">
        <f t="shared" si="2610"/>
        <v>0</v>
      </c>
      <c r="DO796" s="66">
        <f t="shared" si="2611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585"/>
        <v>28</v>
      </c>
      <c r="CA797" s="373">
        <f t="shared" si="2586"/>
        <v>46</v>
      </c>
      <c r="CB797" s="373">
        <f t="shared" si="2587"/>
        <v>55</v>
      </c>
      <c r="CC797" s="462">
        <f t="shared" si="2588"/>
        <v>84.666666666666671</v>
      </c>
      <c r="CD797" s="1109" t="str">
        <f t="shared" si="2612"/>
        <v/>
      </c>
      <c r="CE797" s="1110" t="str">
        <f t="shared" si="2590"/>
        <v/>
      </c>
      <c r="CF797" s="1111" t="str">
        <f t="shared" si="2590"/>
        <v/>
      </c>
      <c r="CG797" s="1111" t="str">
        <f t="shared" si="2590"/>
        <v/>
      </c>
      <c r="CH797" s="1111" t="str">
        <f t="shared" si="2590"/>
        <v/>
      </c>
      <c r="CI797" s="1111">
        <f t="shared" si="2590"/>
        <v>3</v>
      </c>
      <c r="CJ797" s="1111">
        <f t="shared" si="2590"/>
        <v>20</v>
      </c>
      <c r="CK797" s="1112">
        <f t="shared" si="2590"/>
        <v>25</v>
      </c>
      <c r="CL797" s="1112">
        <f t="shared" si="2590"/>
        <v>25</v>
      </c>
      <c r="CM797" s="1112">
        <f t="shared" si="2590"/>
        <v>35</v>
      </c>
      <c r="CN797" s="1111">
        <f t="shared" si="2590"/>
        <v>35</v>
      </c>
      <c r="CO797" s="1111">
        <f t="shared" si="2590"/>
        <v>74</v>
      </c>
      <c r="CP797" s="1111" t="str">
        <f t="shared" si="2590"/>
        <v/>
      </c>
      <c r="CQ797" s="1111" t="str">
        <f t="shared" si="2590"/>
        <v/>
      </c>
      <c r="CR797" s="1111" t="str">
        <f t="shared" si="2590"/>
        <v/>
      </c>
      <c r="CS797" s="1110" t="str">
        <f t="shared" si="2590"/>
        <v/>
      </c>
      <c r="CT797" s="1113" t="str">
        <f t="shared" si="2590"/>
        <v/>
      </c>
      <c r="CU797" s="324" t="str">
        <f t="shared" si="2591"/>
        <v/>
      </c>
      <c r="CV797" s="325" t="str">
        <f t="shared" si="2592"/>
        <v/>
      </c>
      <c r="CW797" s="326" t="str">
        <f t="shared" si="2593"/>
        <v/>
      </c>
      <c r="CX797" s="326" t="str">
        <f t="shared" si="2594"/>
        <v/>
      </c>
      <c r="CY797" s="326" t="str">
        <f t="shared" si="2595"/>
        <v/>
      </c>
      <c r="CZ797" s="326">
        <f t="shared" si="2596"/>
        <v>25</v>
      </c>
      <c r="DA797" s="326">
        <f t="shared" si="2597"/>
        <v>30</v>
      </c>
      <c r="DB797" s="327">
        <f t="shared" si="2598"/>
        <v>35</v>
      </c>
      <c r="DC797" s="327">
        <f t="shared" si="2599"/>
        <v>50</v>
      </c>
      <c r="DD797" s="327">
        <f t="shared" si="2600"/>
        <v>55</v>
      </c>
      <c r="DE797" s="326">
        <f t="shared" si="2601"/>
        <v>60</v>
      </c>
      <c r="DF797" s="326">
        <f t="shared" si="2602"/>
        <v>100</v>
      </c>
      <c r="DG797" s="326" t="str">
        <f t="shared" si="2603"/>
        <v/>
      </c>
      <c r="DH797" s="326" t="str">
        <f t="shared" si="2604"/>
        <v/>
      </c>
      <c r="DI797" s="326" t="str">
        <f t="shared" si="2605"/>
        <v/>
      </c>
      <c r="DJ797" s="325" t="str">
        <f t="shared" si="2606"/>
        <v/>
      </c>
      <c r="DK797" s="324" t="str">
        <f t="shared" si="2607"/>
        <v/>
      </c>
      <c r="DL797" s="428">
        <f t="shared" si="2608"/>
        <v>7</v>
      </c>
      <c r="DM797" s="66">
        <f t="shared" si="2609"/>
        <v>7</v>
      </c>
      <c r="DN797" s="66">
        <f t="shared" si="2610"/>
        <v>6</v>
      </c>
      <c r="DO797" s="66">
        <f t="shared" si="2611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9"/>
      <c r="BW798" s="536"/>
      <c r="BX798" s="536"/>
      <c r="BY798" s="536"/>
      <c r="BZ798" s="373">
        <f t="shared" si="2585"/>
        <v>460</v>
      </c>
      <c r="CA798" s="373">
        <f t="shared" si="2586"/>
        <v>830.33333333333337</v>
      </c>
      <c r="CB798" s="373">
        <f t="shared" si="2587"/>
        <v>2738.5714285714284</v>
      </c>
      <c r="CC798" s="462">
        <f t="shared" si="2588"/>
        <v>2883.5714285714284</v>
      </c>
      <c r="CD798" s="1109" t="str">
        <f t="shared" si="2612"/>
        <v/>
      </c>
      <c r="CE798" s="1110" t="str">
        <f t="shared" si="2590"/>
        <v/>
      </c>
      <c r="CF798" s="1111" t="str">
        <f t="shared" si="2590"/>
        <v/>
      </c>
      <c r="CG798" s="1111" t="str">
        <f t="shared" si="2590"/>
        <v/>
      </c>
      <c r="CH798" s="1111" t="str">
        <f t="shared" si="2590"/>
        <v/>
      </c>
      <c r="CI798" s="1111">
        <f t="shared" si="2590"/>
        <v>42.5</v>
      </c>
      <c r="CJ798" s="1111">
        <f t="shared" si="2590"/>
        <v>135</v>
      </c>
      <c r="CK798" s="1112">
        <f t="shared" si="2590"/>
        <v>200</v>
      </c>
      <c r="CL798" s="1112">
        <f t="shared" si="2590"/>
        <v>300</v>
      </c>
      <c r="CM798" s="1112">
        <f t="shared" si="2590"/>
        <v>645</v>
      </c>
      <c r="CN798" s="1111">
        <f t="shared" si="2590"/>
        <v>700</v>
      </c>
      <c r="CO798" s="1111">
        <f t="shared" si="2590"/>
        <v>780</v>
      </c>
      <c r="CP798" s="1111">
        <f t="shared" si="2590"/>
        <v>800</v>
      </c>
      <c r="CQ798" s="1111" t="str">
        <f t="shared" si="2590"/>
        <v/>
      </c>
      <c r="CR798" s="1111" t="str">
        <f t="shared" si="2590"/>
        <v/>
      </c>
      <c r="CS798" s="1110" t="str">
        <f t="shared" si="2590"/>
        <v/>
      </c>
      <c r="CT798" s="1113" t="str">
        <f t="shared" si="2590"/>
        <v/>
      </c>
      <c r="CU798" s="324" t="str">
        <f t="shared" si="2591"/>
        <v/>
      </c>
      <c r="CV798" s="325" t="str">
        <f t="shared" si="2592"/>
        <v/>
      </c>
      <c r="CW798" s="326" t="str">
        <f t="shared" si="2593"/>
        <v/>
      </c>
      <c r="CX798" s="326" t="str">
        <f t="shared" si="2594"/>
        <v/>
      </c>
      <c r="CY798" s="326" t="str">
        <f t="shared" si="2595"/>
        <v/>
      </c>
      <c r="CZ798" s="326">
        <f t="shared" si="2596"/>
        <v>75</v>
      </c>
      <c r="DA798" s="326">
        <f t="shared" si="2597"/>
        <v>282</v>
      </c>
      <c r="DB798" s="327">
        <f t="shared" si="2598"/>
        <v>400</v>
      </c>
      <c r="DC798" s="327">
        <f t="shared" si="2599"/>
        <v>500</v>
      </c>
      <c r="DD798" s="327">
        <f t="shared" si="2600"/>
        <v>700</v>
      </c>
      <c r="DE798" s="326">
        <f t="shared" si="2601"/>
        <v>1300</v>
      </c>
      <c r="DF798" s="326">
        <f t="shared" si="2602"/>
        <v>1800</v>
      </c>
      <c r="DG798" s="326">
        <f t="shared" si="2603"/>
        <v>1800</v>
      </c>
      <c r="DH798" s="326" t="str">
        <f t="shared" si="2604"/>
        <v/>
      </c>
      <c r="DI798" s="326" t="str">
        <f t="shared" si="2605"/>
        <v/>
      </c>
      <c r="DJ798" s="325" t="str">
        <f t="shared" si="2606"/>
        <v/>
      </c>
      <c r="DK798" s="324" t="str">
        <f t="shared" si="2607"/>
        <v/>
      </c>
      <c r="DL798" s="428">
        <f t="shared" si="2608"/>
        <v>8</v>
      </c>
      <c r="DM798" s="66">
        <f t="shared" si="2609"/>
        <v>8</v>
      </c>
      <c r="DN798" s="66">
        <f t="shared" si="2610"/>
        <v>9</v>
      </c>
      <c r="DO798" s="66">
        <f t="shared" si="2611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585"/>
        <v/>
      </c>
      <c r="CA799" s="373" t="str">
        <f t="shared" si="2586"/>
        <v/>
      </c>
      <c r="CB799" s="373" t="str">
        <f t="shared" si="2587"/>
        <v/>
      </c>
      <c r="CC799" s="462" t="str">
        <f t="shared" si="2588"/>
        <v/>
      </c>
      <c r="CD799" s="1109" t="str">
        <f t="shared" si="2612"/>
        <v/>
      </c>
      <c r="CE799" s="1110" t="str">
        <f t="shared" si="2590"/>
        <v/>
      </c>
      <c r="CF799" s="1111" t="str">
        <f t="shared" si="2590"/>
        <v/>
      </c>
      <c r="CG799" s="1111" t="str">
        <f t="shared" si="2590"/>
        <v/>
      </c>
      <c r="CH799" s="1111" t="str">
        <f t="shared" si="2590"/>
        <v/>
      </c>
      <c r="CI799" s="1111" t="str">
        <f t="shared" si="2590"/>
        <v/>
      </c>
      <c r="CJ799" s="1111" t="str">
        <f t="shared" si="2590"/>
        <v/>
      </c>
      <c r="CK799" s="1112" t="str">
        <f t="shared" si="2590"/>
        <v/>
      </c>
      <c r="CL799" s="1112" t="str">
        <f t="shared" si="2590"/>
        <v/>
      </c>
      <c r="CM799" s="1112" t="str">
        <f t="shared" si="2590"/>
        <v/>
      </c>
      <c r="CN799" s="1111" t="str">
        <f t="shared" si="2590"/>
        <v/>
      </c>
      <c r="CO799" s="1111" t="str">
        <f t="shared" si="2590"/>
        <v/>
      </c>
      <c r="CP799" s="1111" t="str">
        <f t="shared" si="2590"/>
        <v/>
      </c>
      <c r="CQ799" s="1111" t="str">
        <f t="shared" si="2590"/>
        <v/>
      </c>
      <c r="CR799" s="1111" t="str">
        <f t="shared" si="2590"/>
        <v/>
      </c>
      <c r="CS799" s="1110" t="str">
        <f t="shared" si="2590"/>
        <v/>
      </c>
      <c r="CT799" s="1113" t="str">
        <f t="shared" si="2590"/>
        <v/>
      </c>
      <c r="CU799" s="324" t="str">
        <f t="shared" si="2591"/>
        <v/>
      </c>
      <c r="CV799" s="325" t="str">
        <f t="shared" si="2592"/>
        <v/>
      </c>
      <c r="CW799" s="326" t="str">
        <f t="shared" si="2593"/>
        <v/>
      </c>
      <c r="CX799" s="326" t="str">
        <f t="shared" si="2594"/>
        <v/>
      </c>
      <c r="CY799" s="326" t="str">
        <f t="shared" si="2595"/>
        <v/>
      </c>
      <c r="CZ799" s="326" t="str">
        <f t="shared" si="2596"/>
        <v/>
      </c>
      <c r="DA799" s="326" t="str">
        <f t="shared" si="2597"/>
        <v/>
      </c>
      <c r="DB799" s="327" t="str">
        <f t="shared" si="2598"/>
        <v/>
      </c>
      <c r="DC799" s="327">
        <f t="shared" si="2599"/>
        <v>50</v>
      </c>
      <c r="DD799" s="327" t="str">
        <f t="shared" si="2600"/>
        <v/>
      </c>
      <c r="DE799" s="326" t="str">
        <f t="shared" si="2601"/>
        <v/>
      </c>
      <c r="DF799" s="326" t="str">
        <f t="shared" si="2602"/>
        <v/>
      </c>
      <c r="DG799" s="326" t="str">
        <f t="shared" si="2603"/>
        <v/>
      </c>
      <c r="DH799" s="326" t="str">
        <f t="shared" si="2604"/>
        <v/>
      </c>
      <c r="DI799" s="326" t="str">
        <f t="shared" si="2605"/>
        <v/>
      </c>
      <c r="DJ799" s="325" t="str">
        <f t="shared" si="2606"/>
        <v/>
      </c>
      <c r="DK799" s="324" t="str">
        <f t="shared" si="2607"/>
        <v/>
      </c>
      <c r="DL799" s="428">
        <f t="shared" si="2608"/>
        <v>0</v>
      </c>
      <c r="DM799" s="66">
        <f t="shared" si="2609"/>
        <v>1</v>
      </c>
      <c r="DN799" s="66">
        <f t="shared" si="2610"/>
        <v>0</v>
      </c>
      <c r="DO799" s="66">
        <f t="shared" si="2611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585"/>
        <v/>
      </c>
      <c r="CA800" s="373">
        <f t="shared" si="2586"/>
        <v>183.33333333333334</v>
      </c>
      <c r="CB800" s="373">
        <f t="shared" si="2587"/>
        <v>1041.6666666666667</v>
      </c>
      <c r="CC800" s="462">
        <f t="shared" si="2588"/>
        <v>1333.3333333333333</v>
      </c>
      <c r="CD800" s="1109" t="str">
        <f t="shared" si="2612"/>
        <v/>
      </c>
      <c r="CE800" s="1110" t="str">
        <f t="shared" si="2590"/>
        <v/>
      </c>
      <c r="CF800" s="1111" t="str">
        <f t="shared" si="2590"/>
        <v/>
      </c>
      <c r="CG800" s="1111" t="str">
        <f t="shared" si="2590"/>
        <v/>
      </c>
      <c r="CH800" s="1111" t="str">
        <f t="shared" si="2590"/>
        <v/>
      </c>
      <c r="CI800" s="1111" t="str">
        <f t="shared" si="2590"/>
        <v/>
      </c>
      <c r="CJ800" s="1111" t="str">
        <f t="shared" si="2590"/>
        <v/>
      </c>
      <c r="CK800" s="1112" t="str">
        <f t="shared" si="2590"/>
        <v/>
      </c>
      <c r="CL800" s="1112">
        <f t="shared" si="2590"/>
        <v>50</v>
      </c>
      <c r="CM800" s="1112">
        <f t="shared" si="2590"/>
        <v>50</v>
      </c>
      <c r="CN800" s="1111" t="str">
        <f t="shared" si="2590"/>
        <v/>
      </c>
      <c r="CO800" s="1111" t="str">
        <f t="shared" si="2590"/>
        <v/>
      </c>
      <c r="CP800" s="1111" t="str">
        <f t="shared" si="2590"/>
        <v/>
      </c>
      <c r="CQ800" s="1111" t="str">
        <f t="shared" si="2590"/>
        <v/>
      </c>
      <c r="CR800" s="1111" t="str">
        <f t="shared" si="2590"/>
        <v/>
      </c>
      <c r="CS800" s="1110" t="str">
        <f t="shared" si="2590"/>
        <v/>
      </c>
      <c r="CT800" s="1113" t="str">
        <f t="shared" si="2590"/>
        <v/>
      </c>
      <c r="CU800" s="324" t="str">
        <f t="shared" si="2591"/>
        <v/>
      </c>
      <c r="CV800" s="325" t="str">
        <f t="shared" si="2592"/>
        <v/>
      </c>
      <c r="CW800" s="326" t="str">
        <f t="shared" si="2593"/>
        <v/>
      </c>
      <c r="CX800" s="326" t="str">
        <f t="shared" si="2594"/>
        <v/>
      </c>
      <c r="CY800" s="326" t="str">
        <f t="shared" si="2595"/>
        <v/>
      </c>
      <c r="CZ800" s="326" t="str">
        <f t="shared" si="2596"/>
        <v/>
      </c>
      <c r="DA800" s="326">
        <f t="shared" si="2597"/>
        <v>100</v>
      </c>
      <c r="DB800" s="327">
        <f t="shared" si="2598"/>
        <v>100</v>
      </c>
      <c r="DC800" s="327">
        <f t="shared" si="2599"/>
        <v>150</v>
      </c>
      <c r="DD800" s="327">
        <f t="shared" si="2600"/>
        <v>300</v>
      </c>
      <c r="DE800" s="326">
        <f t="shared" si="2601"/>
        <v>410</v>
      </c>
      <c r="DF800" s="326" t="str">
        <f t="shared" si="2602"/>
        <v/>
      </c>
      <c r="DG800" s="326" t="str">
        <f t="shared" si="2603"/>
        <v/>
      </c>
      <c r="DH800" s="326" t="str">
        <f t="shared" si="2604"/>
        <v/>
      </c>
      <c r="DI800" s="326" t="str">
        <f t="shared" si="2605"/>
        <v/>
      </c>
      <c r="DJ800" s="325" t="str">
        <f t="shared" si="2606"/>
        <v/>
      </c>
      <c r="DK800" s="324" t="str">
        <f t="shared" si="2607"/>
        <v/>
      </c>
      <c r="DL800" s="428">
        <f t="shared" si="2608"/>
        <v>2</v>
      </c>
      <c r="DM800" s="66">
        <f t="shared" si="2609"/>
        <v>5</v>
      </c>
      <c r="DN800" s="66">
        <f t="shared" si="2610"/>
        <v>8</v>
      </c>
      <c r="DO800" s="66">
        <f t="shared" si="2611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9" t="str">
        <f t="shared" si="2612"/>
        <v/>
      </c>
      <c r="CE801" s="1110" t="str">
        <f t="shared" si="2590"/>
        <v/>
      </c>
      <c r="CF801" s="1111" t="str">
        <f t="shared" si="2590"/>
        <v/>
      </c>
      <c r="CG801" s="1111" t="str">
        <f t="shared" si="2590"/>
        <v/>
      </c>
      <c r="CH801" s="1111" t="str">
        <f t="shared" si="2590"/>
        <v/>
      </c>
      <c r="CI801" s="1111">
        <f t="shared" si="2590"/>
        <v>1</v>
      </c>
      <c r="CJ801" s="1111">
        <f t="shared" si="2590"/>
        <v>4</v>
      </c>
      <c r="CK801" s="1112">
        <f t="shared" si="2590"/>
        <v>10</v>
      </c>
      <c r="CL801" s="1112">
        <f t="shared" si="2590"/>
        <v>108</v>
      </c>
      <c r="CM801" s="1112">
        <f t="shared" si="2590"/>
        <v>168</v>
      </c>
      <c r="CN801" s="1111">
        <f t="shared" si="2590"/>
        <v>192</v>
      </c>
      <c r="CO801" s="1111">
        <f t="shared" si="2590"/>
        <v>192</v>
      </c>
      <c r="CP801" s="1111" t="str">
        <f t="shared" si="2590"/>
        <v/>
      </c>
      <c r="CQ801" s="1111" t="str">
        <f t="shared" si="2590"/>
        <v/>
      </c>
      <c r="CR801" s="1111" t="str">
        <f t="shared" si="2590"/>
        <v/>
      </c>
      <c r="CS801" s="1110" t="str">
        <f t="shared" si="2590"/>
        <v/>
      </c>
      <c r="CT801" s="1113" t="str">
        <f t="shared" si="2590"/>
        <v/>
      </c>
      <c r="CU801" s="324" t="str">
        <f t="shared" si="2591"/>
        <v/>
      </c>
      <c r="CV801" s="325" t="str">
        <f t="shared" si="2592"/>
        <v/>
      </c>
      <c r="CW801" s="326" t="str">
        <f t="shared" si="2593"/>
        <v/>
      </c>
      <c r="CX801" s="326" t="str">
        <f t="shared" si="2594"/>
        <v/>
      </c>
      <c r="CY801" s="326" t="str">
        <f t="shared" si="2595"/>
        <v/>
      </c>
      <c r="CZ801" s="326">
        <f t="shared" si="2596"/>
        <v>48</v>
      </c>
      <c r="DA801" s="326">
        <f t="shared" si="2597"/>
        <v>92</v>
      </c>
      <c r="DB801" s="327">
        <f t="shared" si="2598"/>
        <v>100</v>
      </c>
      <c r="DC801" s="327">
        <f t="shared" si="2599"/>
        <v>100</v>
      </c>
      <c r="DD801" s="327">
        <f t="shared" si="2600"/>
        <v>130</v>
      </c>
      <c r="DE801" s="326">
        <f t="shared" si="2601"/>
        <v>292</v>
      </c>
      <c r="DF801" s="326">
        <f t="shared" si="2602"/>
        <v>336</v>
      </c>
      <c r="DG801" s="326" t="str">
        <f t="shared" si="2603"/>
        <v/>
      </c>
      <c r="DH801" s="326" t="str">
        <f t="shared" si="2604"/>
        <v/>
      </c>
      <c r="DI801" s="326" t="str">
        <f t="shared" si="2605"/>
        <v/>
      </c>
      <c r="DJ801" s="325" t="str">
        <f t="shared" si="2606"/>
        <v/>
      </c>
      <c r="DK801" s="324" t="str">
        <f t="shared" si="2607"/>
        <v/>
      </c>
      <c r="DL801" s="428">
        <f t="shared" ref="DL801:DL809" si="2617">COUNT(B801:R801)</f>
        <v>7</v>
      </c>
      <c r="DM801" s="66">
        <f t="shared" ref="DM801:DM809" si="2618">COUNT(T801:AJ801)</f>
        <v>7</v>
      </c>
      <c r="DN801" s="66">
        <f t="shared" ref="DN801:DN809" si="2619">COUNT(AL801:BB801)</f>
        <v>9</v>
      </c>
      <c r="DO801" s="66">
        <f t="shared" ref="DO801:DO809" si="2620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621">IF(DL802&lt;3,"",(SUM(B802:R802)-MIN(B802:R802)-MAX(B802:R802))/(DL802-2))</f>
        <v>201.25</v>
      </c>
      <c r="CA802" s="373">
        <f t="shared" ref="CA802:CA809" si="2622">IF(DM802&lt;3,"",(SUM(T802:AJ802)-MIN(T802:AJ802)-MAX(T802:AJ802))/(DM802-2))</f>
        <v>135</v>
      </c>
      <c r="CB802" s="373">
        <f t="shared" ref="CB802:CB809" si="2623">IF(DN802&lt;3,"",(SUM(AL802:BB802)-MIN(AL802:BB802)-MAX(AL802:BB802))/(DN802-2))</f>
        <v>1288.5714285714287</v>
      </c>
      <c r="CC802" s="462">
        <f t="shared" ref="CC802:CC809" si="2624">IF(DO802&lt;3,"",(SUM(BD802:BT802)-MIN(BD802:BT802)-MAX(BD802:BT802))/(DO802-2))</f>
        <v>2191.4285714285716</v>
      </c>
      <c r="CD802" s="1109" t="str">
        <f t="shared" si="2612"/>
        <v/>
      </c>
      <c r="CE802" s="1110" t="str">
        <f t="shared" si="2590"/>
        <v/>
      </c>
      <c r="CF802" s="1111" t="str">
        <f t="shared" si="2590"/>
        <v/>
      </c>
      <c r="CG802" s="1111" t="str">
        <f t="shared" si="2590"/>
        <v/>
      </c>
      <c r="CH802" s="1111" t="str">
        <f t="shared" si="2590"/>
        <v/>
      </c>
      <c r="CI802" s="1111" t="str">
        <f t="shared" si="2590"/>
        <v/>
      </c>
      <c r="CJ802" s="1111">
        <f t="shared" si="2590"/>
        <v>30</v>
      </c>
      <c r="CK802" s="1112">
        <f t="shared" si="2590"/>
        <v>100</v>
      </c>
      <c r="CL802" s="1112">
        <f t="shared" si="2590"/>
        <v>105</v>
      </c>
      <c r="CM802" s="1112">
        <f t="shared" si="2590"/>
        <v>240</v>
      </c>
      <c r="CN802" s="1111">
        <f t="shared" si="2590"/>
        <v>360</v>
      </c>
      <c r="CO802" s="1111">
        <f t="shared" si="2590"/>
        <v>900</v>
      </c>
      <c r="CP802" s="1111" t="str">
        <f t="shared" si="2590"/>
        <v/>
      </c>
      <c r="CQ802" s="1111" t="str">
        <f t="shared" si="2590"/>
        <v/>
      </c>
      <c r="CR802" s="1111" t="str">
        <f t="shared" si="2590"/>
        <v/>
      </c>
      <c r="CS802" s="1110" t="str">
        <f t="shared" ref="CE802:CT809" si="262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3" t="str">
        <f t="shared" si="2625"/>
        <v/>
      </c>
      <c r="CU802" s="324" t="str">
        <f t="shared" si="2591"/>
        <v/>
      </c>
      <c r="CV802" s="325" t="str">
        <f t="shared" si="2592"/>
        <v/>
      </c>
      <c r="CW802" s="326" t="str">
        <f t="shared" si="2593"/>
        <v/>
      </c>
      <c r="CX802" s="326" t="str">
        <f t="shared" si="2594"/>
        <v/>
      </c>
      <c r="CY802" s="326" t="str">
        <f t="shared" si="2595"/>
        <v/>
      </c>
      <c r="CZ802" s="326">
        <f t="shared" si="2596"/>
        <v>20</v>
      </c>
      <c r="DA802" s="326">
        <f t="shared" si="2597"/>
        <v>30</v>
      </c>
      <c r="DB802" s="327">
        <f t="shared" si="2598"/>
        <v>30</v>
      </c>
      <c r="DC802" s="327">
        <f t="shared" si="2599"/>
        <v>50</v>
      </c>
      <c r="DD802" s="327">
        <f t="shared" si="2600"/>
        <v>140</v>
      </c>
      <c r="DE802" s="326">
        <f t="shared" si="2601"/>
        <v>260</v>
      </c>
      <c r="DF802" s="326">
        <f t="shared" si="2602"/>
        <v>300</v>
      </c>
      <c r="DG802" s="326">
        <f t="shared" si="2603"/>
        <v>600</v>
      </c>
      <c r="DH802" s="326" t="str">
        <f t="shared" si="2604"/>
        <v/>
      </c>
      <c r="DI802" s="326" t="str">
        <f t="shared" si="2605"/>
        <v/>
      </c>
      <c r="DJ802" s="325" t="str">
        <f t="shared" si="2606"/>
        <v/>
      </c>
      <c r="DK802" s="324" t="str">
        <f t="shared" si="2607"/>
        <v/>
      </c>
      <c r="DL802" s="428">
        <f t="shared" si="2617"/>
        <v>6</v>
      </c>
      <c r="DM802" s="66">
        <f t="shared" si="2618"/>
        <v>8</v>
      </c>
      <c r="DN802" s="66">
        <f t="shared" si="2619"/>
        <v>9</v>
      </c>
      <c r="DO802" s="66">
        <f t="shared" si="2620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621"/>
        <v/>
      </c>
      <c r="CA803" s="373" t="str">
        <f t="shared" si="2622"/>
        <v/>
      </c>
      <c r="CB803" s="373" t="str">
        <f t="shared" si="2623"/>
        <v/>
      </c>
      <c r="CC803" s="462" t="str">
        <f t="shared" si="2624"/>
        <v/>
      </c>
      <c r="CD803" s="1109" t="str">
        <f t="shared" si="2612"/>
        <v/>
      </c>
      <c r="CE803" s="1110" t="str">
        <f t="shared" si="2625"/>
        <v/>
      </c>
      <c r="CF803" s="1111" t="str">
        <f t="shared" si="2625"/>
        <v/>
      </c>
      <c r="CG803" s="1111" t="str">
        <f t="shared" si="2625"/>
        <v/>
      </c>
      <c r="CH803" s="1111" t="str">
        <f t="shared" si="2625"/>
        <v/>
      </c>
      <c r="CI803" s="1111" t="str">
        <f t="shared" si="2625"/>
        <v/>
      </c>
      <c r="CJ803" s="1111" t="str">
        <f t="shared" si="2625"/>
        <v/>
      </c>
      <c r="CK803" s="1112" t="str">
        <f t="shared" si="2625"/>
        <v/>
      </c>
      <c r="CL803" s="1112">
        <f t="shared" si="2625"/>
        <v>100</v>
      </c>
      <c r="CM803" s="1112" t="str">
        <f t="shared" si="2625"/>
        <v/>
      </c>
      <c r="CN803" s="1111" t="str">
        <f t="shared" si="2625"/>
        <v/>
      </c>
      <c r="CO803" s="1111" t="str">
        <f t="shared" si="2625"/>
        <v/>
      </c>
      <c r="CP803" s="1111" t="str">
        <f t="shared" si="2625"/>
        <v/>
      </c>
      <c r="CQ803" s="1111" t="str">
        <f t="shared" si="2625"/>
        <v/>
      </c>
      <c r="CR803" s="1111" t="str">
        <f t="shared" si="2625"/>
        <v/>
      </c>
      <c r="CS803" s="1110" t="str">
        <f t="shared" si="2625"/>
        <v/>
      </c>
      <c r="CT803" s="1113" t="str">
        <f t="shared" si="2625"/>
        <v/>
      </c>
      <c r="CU803" s="324" t="str">
        <f t="shared" si="2591"/>
        <v/>
      </c>
      <c r="CV803" s="325" t="str">
        <f t="shared" si="2592"/>
        <v/>
      </c>
      <c r="CW803" s="326" t="str">
        <f t="shared" si="2593"/>
        <v/>
      </c>
      <c r="CX803" s="326" t="str">
        <f t="shared" si="2594"/>
        <v/>
      </c>
      <c r="CY803" s="326" t="str">
        <f t="shared" si="2595"/>
        <v/>
      </c>
      <c r="CZ803" s="326" t="str">
        <f t="shared" si="2596"/>
        <v/>
      </c>
      <c r="DA803" s="326" t="str">
        <f t="shared" si="2597"/>
        <v/>
      </c>
      <c r="DB803" s="327" t="str">
        <f t="shared" si="2598"/>
        <v/>
      </c>
      <c r="DC803" s="327" t="str">
        <f t="shared" si="2599"/>
        <v/>
      </c>
      <c r="DD803" s="327" t="str">
        <f t="shared" si="2600"/>
        <v/>
      </c>
      <c r="DE803" s="326" t="str">
        <f t="shared" si="2601"/>
        <v/>
      </c>
      <c r="DF803" s="326" t="str">
        <f t="shared" si="2602"/>
        <v/>
      </c>
      <c r="DG803" s="326" t="str">
        <f t="shared" si="2603"/>
        <v/>
      </c>
      <c r="DH803" s="326" t="str">
        <f t="shared" si="2604"/>
        <v/>
      </c>
      <c r="DI803" s="326" t="str">
        <f t="shared" si="2605"/>
        <v/>
      </c>
      <c r="DJ803" s="325" t="str">
        <f t="shared" si="2606"/>
        <v/>
      </c>
      <c r="DK803" s="324" t="str">
        <f t="shared" si="2607"/>
        <v/>
      </c>
      <c r="DL803" s="428">
        <f t="shared" si="2617"/>
        <v>1</v>
      </c>
      <c r="DM803" s="66">
        <f t="shared" si="2618"/>
        <v>0</v>
      </c>
      <c r="DN803" s="66">
        <f t="shared" si="2619"/>
        <v>2</v>
      </c>
      <c r="DO803" s="66">
        <f t="shared" si="2620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621"/>
        <v>123.83333333333333</v>
      </c>
      <c r="CA804" s="373">
        <f t="shared" si="2622"/>
        <v>175.66666666666666</v>
      </c>
      <c r="CB804" s="373">
        <f t="shared" si="2623"/>
        <v>650</v>
      </c>
      <c r="CC804" s="462">
        <f t="shared" si="2624"/>
        <v>422.33333333333331</v>
      </c>
      <c r="CD804" s="1109" t="str">
        <f t="shared" si="2612"/>
        <v/>
      </c>
      <c r="CE804" s="1110" t="str">
        <f t="shared" si="2625"/>
        <v/>
      </c>
      <c r="CF804" s="1111" t="str">
        <f t="shared" si="2625"/>
        <v/>
      </c>
      <c r="CG804" s="1111" t="str">
        <f t="shared" si="2625"/>
        <v/>
      </c>
      <c r="CH804" s="1111" t="str">
        <f t="shared" si="2625"/>
        <v/>
      </c>
      <c r="CI804" s="1111">
        <f t="shared" si="2625"/>
        <v>20</v>
      </c>
      <c r="CJ804" s="1111">
        <f t="shared" si="2625"/>
        <v>35</v>
      </c>
      <c r="CK804" s="1112">
        <f t="shared" si="2625"/>
        <v>50</v>
      </c>
      <c r="CL804" s="1112">
        <f t="shared" si="2625"/>
        <v>50</v>
      </c>
      <c r="CM804" s="1112">
        <f t="shared" si="2625"/>
        <v>168</v>
      </c>
      <c r="CN804" s="1111">
        <f t="shared" si="2625"/>
        <v>180</v>
      </c>
      <c r="CO804" s="1111">
        <f t="shared" si="2625"/>
        <v>260</v>
      </c>
      <c r="CP804" s="1111">
        <f t="shared" si="2625"/>
        <v>480</v>
      </c>
      <c r="CQ804" s="1111" t="str">
        <f t="shared" si="2625"/>
        <v/>
      </c>
      <c r="CR804" s="1111" t="str">
        <f t="shared" si="2625"/>
        <v/>
      </c>
      <c r="CS804" s="1110" t="str">
        <f t="shared" si="2625"/>
        <v/>
      </c>
      <c r="CT804" s="1113" t="str">
        <f t="shared" si="2625"/>
        <v/>
      </c>
      <c r="CU804" s="324" t="str">
        <f t="shared" si="2591"/>
        <v/>
      </c>
      <c r="CV804" s="325" t="str">
        <f t="shared" si="2592"/>
        <v/>
      </c>
      <c r="CW804" s="326" t="str">
        <f t="shared" si="2593"/>
        <v/>
      </c>
      <c r="CX804" s="326" t="str">
        <f t="shared" si="2594"/>
        <v/>
      </c>
      <c r="CY804" s="326" t="str">
        <f t="shared" si="2595"/>
        <v/>
      </c>
      <c r="CZ804" s="326">
        <f t="shared" si="2596"/>
        <v>50</v>
      </c>
      <c r="DA804" s="326">
        <f t="shared" si="2597"/>
        <v>96</v>
      </c>
      <c r="DB804" s="327">
        <f t="shared" si="2598"/>
        <v>100</v>
      </c>
      <c r="DC804" s="327">
        <f t="shared" si="2599"/>
        <v>144</v>
      </c>
      <c r="DD804" s="327">
        <f t="shared" si="2600"/>
        <v>192</v>
      </c>
      <c r="DE804" s="326">
        <f t="shared" si="2601"/>
        <v>252</v>
      </c>
      <c r="DF804" s="326">
        <f t="shared" si="2602"/>
        <v>270</v>
      </c>
      <c r="DG804" s="326">
        <f t="shared" si="2603"/>
        <v>520</v>
      </c>
      <c r="DH804" s="326" t="str">
        <f t="shared" si="2604"/>
        <v/>
      </c>
      <c r="DI804" s="326" t="str">
        <f t="shared" si="2605"/>
        <v/>
      </c>
      <c r="DJ804" s="325" t="str">
        <f t="shared" si="2606"/>
        <v/>
      </c>
      <c r="DK804" s="324" t="str">
        <f t="shared" si="2607"/>
        <v/>
      </c>
      <c r="DL804" s="428">
        <f t="shared" si="2617"/>
        <v>8</v>
      </c>
      <c r="DM804" s="66">
        <f t="shared" si="2618"/>
        <v>8</v>
      </c>
      <c r="DN804" s="66">
        <f t="shared" si="2619"/>
        <v>8</v>
      </c>
      <c r="DO804" s="66">
        <f t="shared" si="2620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621"/>
        <v/>
      </c>
      <c r="CA805" s="373" t="str">
        <f t="shared" si="2622"/>
        <v/>
      </c>
      <c r="CB805" s="373" t="str">
        <f t="shared" si="2623"/>
        <v/>
      </c>
      <c r="CC805" s="462" t="str">
        <f t="shared" si="2624"/>
        <v/>
      </c>
      <c r="CD805" s="1109" t="str">
        <f t="shared" si="2612"/>
        <v/>
      </c>
      <c r="CE805" s="1110" t="str">
        <f t="shared" si="2625"/>
        <v/>
      </c>
      <c r="CF805" s="1111" t="str">
        <f t="shared" si="2625"/>
        <v/>
      </c>
      <c r="CG805" s="1111" t="str">
        <f t="shared" si="2625"/>
        <v/>
      </c>
      <c r="CH805" s="1111" t="str">
        <f t="shared" si="2625"/>
        <v/>
      </c>
      <c r="CI805" s="1111" t="str">
        <f t="shared" si="2625"/>
        <v/>
      </c>
      <c r="CJ805" s="1111" t="str">
        <f t="shared" si="2625"/>
        <v/>
      </c>
      <c r="CK805" s="1112" t="str">
        <f t="shared" si="2625"/>
        <v/>
      </c>
      <c r="CL805" s="1112" t="str">
        <f t="shared" si="2625"/>
        <v/>
      </c>
      <c r="CM805" s="1112" t="str">
        <f t="shared" si="2625"/>
        <v/>
      </c>
      <c r="CN805" s="1111" t="str">
        <f t="shared" si="2625"/>
        <v/>
      </c>
      <c r="CO805" s="1111" t="str">
        <f t="shared" si="2625"/>
        <v/>
      </c>
      <c r="CP805" s="1111" t="str">
        <f t="shared" si="2625"/>
        <v/>
      </c>
      <c r="CQ805" s="1111" t="str">
        <f t="shared" si="2625"/>
        <v/>
      </c>
      <c r="CR805" s="1111" t="str">
        <f t="shared" si="2625"/>
        <v/>
      </c>
      <c r="CS805" s="1110" t="str">
        <f t="shared" si="2625"/>
        <v/>
      </c>
      <c r="CT805" s="1113" t="str">
        <f t="shared" si="2625"/>
        <v/>
      </c>
      <c r="CU805" s="324" t="str">
        <f t="shared" si="2591"/>
        <v/>
      </c>
      <c r="CV805" s="325" t="str">
        <f t="shared" si="2592"/>
        <v/>
      </c>
      <c r="CW805" s="326" t="str">
        <f t="shared" si="2593"/>
        <v/>
      </c>
      <c r="CX805" s="326" t="str">
        <f t="shared" si="2594"/>
        <v/>
      </c>
      <c r="CY805" s="326" t="str">
        <f t="shared" si="2595"/>
        <v/>
      </c>
      <c r="CZ805" s="326" t="str">
        <f t="shared" si="2596"/>
        <v/>
      </c>
      <c r="DA805" s="326" t="str">
        <f t="shared" si="2597"/>
        <v/>
      </c>
      <c r="DB805" s="327" t="str">
        <f t="shared" si="2598"/>
        <v/>
      </c>
      <c r="DC805" s="327" t="str">
        <f t="shared" si="2599"/>
        <v/>
      </c>
      <c r="DD805" s="327" t="str">
        <f t="shared" si="2600"/>
        <v/>
      </c>
      <c r="DE805" s="326" t="str">
        <f t="shared" si="2601"/>
        <v/>
      </c>
      <c r="DF805" s="326" t="str">
        <f t="shared" si="2602"/>
        <v/>
      </c>
      <c r="DG805" s="326" t="str">
        <f t="shared" si="2603"/>
        <v/>
      </c>
      <c r="DH805" s="326" t="str">
        <f t="shared" si="2604"/>
        <v/>
      </c>
      <c r="DI805" s="326" t="str">
        <f t="shared" si="2605"/>
        <v/>
      </c>
      <c r="DJ805" s="325" t="str">
        <f t="shared" si="2606"/>
        <v/>
      </c>
      <c r="DK805" s="324" t="str">
        <f t="shared" si="2607"/>
        <v/>
      </c>
      <c r="DL805" s="428">
        <f t="shared" si="2617"/>
        <v>0</v>
      </c>
      <c r="DM805" s="66">
        <f t="shared" si="2618"/>
        <v>0</v>
      </c>
      <c r="DN805" s="66">
        <f t="shared" si="2619"/>
        <v>0</v>
      </c>
      <c r="DO805" s="66">
        <f t="shared" si="2620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4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9"/>
      <c r="CE806" s="1110"/>
      <c r="CF806" s="1111"/>
      <c r="CG806" s="1111"/>
      <c r="CH806" s="1111"/>
      <c r="CI806" s="1111"/>
      <c r="CJ806" s="1111"/>
      <c r="CK806" s="1112"/>
      <c r="CL806" s="1112"/>
      <c r="CM806" s="1112"/>
      <c r="CN806" s="1111"/>
      <c r="CO806" s="1111"/>
      <c r="CP806" s="1111"/>
      <c r="CQ806" s="1111"/>
      <c r="CR806" s="1111"/>
      <c r="CS806" s="1110"/>
      <c r="CT806" s="1113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4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9"/>
      <c r="CE807" s="1110"/>
      <c r="CF807" s="1111"/>
      <c r="CG807" s="1111"/>
      <c r="CH807" s="1111"/>
      <c r="CI807" s="1111"/>
      <c r="CJ807" s="1111"/>
      <c r="CK807" s="1112"/>
      <c r="CL807" s="1112"/>
      <c r="CM807" s="1112"/>
      <c r="CN807" s="1111"/>
      <c r="CO807" s="1111"/>
      <c r="CP807" s="1111"/>
      <c r="CQ807" s="1111"/>
      <c r="CR807" s="1111"/>
      <c r="CS807" s="1110"/>
      <c r="CT807" s="1113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621"/>
        <v/>
      </c>
      <c r="CA808" s="373" t="str">
        <f t="shared" si="2622"/>
        <v/>
      </c>
      <c r="CB808" s="373" t="str">
        <f t="shared" si="2623"/>
        <v/>
      </c>
      <c r="CC808" s="462" t="str">
        <f t="shared" si="2624"/>
        <v/>
      </c>
      <c r="CD808" s="1109" t="str">
        <f t="shared" si="2612"/>
        <v/>
      </c>
      <c r="CE808" s="1110" t="str">
        <f t="shared" si="2625"/>
        <v/>
      </c>
      <c r="CF808" s="1111" t="str">
        <f t="shared" si="2625"/>
        <v/>
      </c>
      <c r="CG808" s="1111" t="str">
        <f t="shared" si="2625"/>
        <v/>
      </c>
      <c r="CH808" s="1111" t="str">
        <f t="shared" si="2625"/>
        <v/>
      </c>
      <c r="CI808" s="1111" t="str">
        <f t="shared" si="2625"/>
        <v/>
      </c>
      <c r="CJ808" s="1111" t="str">
        <f t="shared" si="2625"/>
        <v/>
      </c>
      <c r="CK808" s="1112" t="str">
        <f t="shared" si="2625"/>
        <v/>
      </c>
      <c r="CL808" s="1112" t="str">
        <f t="shared" si="2625"/>
        <v/>
      </c>
      <c r="CM808" s="1112" t="str">
        <f t="shared" si="2625"/>
        <v/>
      </c>
      <c r="CN808" s="1111" t="str">
        <f t="shared" si="2625"/>
        <v/>
      </c>
      <c r="CO808" s="1111" t="str">
        <f t="shared" si="2625"/>
        <v/>
      </c>
      <c r="CP808" s="1111" t="str">
        <f t="shared" si="2625"/>
        <v/>
      </c>
      <c r="CQ808" s="1111" t="str">
        <f t="shared" si="2625"/>
        <v/>
      </c>
      <c r="CR808" s="1111" t="str">
        <f t="shared" si="2625"/>
        <v/>
      </c>
      <c r="CS808" s="1110" t="str">
        <f t="shared" si="2625"/>
        <v/>
      </c>
      <c r="CT808" s="1113" t="str">
        <f t="shared" si="2625"/>
        <v/>
      </c>
      <c r="CU808" s="324" t="str">
        <f t="shared" si="2591"/>
        <v/>
      </c>
      <c r="CV808" s="325" t="str">
        <f t="shared" si="2592"/>
        <v/>
      </c>
      <c r="CW808" s="326" t="str">
        <f t="shared" si="2593"/>
        <v/>
      </c>
      <c r="CX808" s="326" t="str">
        <f t="shared" si="2594"/>
        <v/>
      </c>
      <c r="CY808" s="326" t="str">
        <f t="shared" si="2595"/>
        <v/>
      </c>
      <c r="CZ808" s="326" t="str">
        <f t="shared" si="2596"/>
        <v/>
      </c>
      <c r="DA808" s="326" t="str">
        <f t="shared" si="2597"/>
        <v/>
      </c>
      <c r="DB808" s="327" t="str">
        <f t="shared" si="2598"/>
        <v/>
      </c>
      <c r="DC808" s="327" t="str">
        <f t="shared" si="2599"/>
        <v/>
      </c>
      <c r="DD808" s="327" t="str">
        <f t="shared" si="2600"/>
        <v/>
      </c>
      <c r="DE808" s="326" t="str">
        <f t="shared" si="2601"/>
        <v/>
      </c>
      <c r="DF808" s="326" t="str">
        <f t="shared" si="2602"/>
        <v/>
      </c>
      <c r="DG808" s="326" t="str">
        <f t="shared" si="2603"/>
        <v/>
      </c>
      <c r="DH808" s="326" t="str">
        <f t="shared" si="2604"/>
        <v/>
      </c>
      <c r="DI808" s="326" t="str">
        <f t="shared" si="2605"/>
        <v/>
      </c>
      <c r="DJ808" s="325" t="str">
        <f t="shared" si="2606"/>
        <v/>
      </c>
      <c r="DK808" s="324" t="str">
        <f t="shared" si="2607"/>
        <v/>
      </c>
      <c r="DL808" s="428">
        <f t="shared" si="2617"/>
        <v>0</v>
      </c>
      <c r="DM808" s="66">
        <f t="shared" si="2618"/>
        <v>0</v>
      </c>
      <c r="DN808" s="66">
        <f t="shared" si="2619"/>
        <v>0</v>
      </c>
      <c r="DO808" s="66">
        <f t="shared" si="2620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621"/>
        <v>1422.5714285714287</v>
      </c>
      <c r="CA809" s="373">
        <f t="shared" si="2622"/>
        <v>634.57142857142856</v>
      </c>
      <c r="CB809" s="373">
        <f t="shared" si="2623"/>
        <v>6764.4285714285716</v>
      </c>
      <c r="CC809" s="462">
        <f t="shared" si="2624"/>
        <v>11087.857142857143</v>
      </c>
      <c r="CD809" s="1109" t="str">
        <f t="shared" si="2612"/>
        <v/>
      </c>
      <c r="CE809" s="1110" t="str">
        <f t="shared" si="2625"/>
        <v/>
      </c>
      <c r="CF809" s="1111" t="str">
        <f t="shared" si="2625"/>
        <v/>
      </c>
      <c r="CG809" s="1111" t="str">
        <f t="shared" si="2625"/>
        <v/>
      </c>
      <c r="CH809" s="1111">
        <f t="shared" si="2625"/>
        <v>201</v>
      </c>
      <c r="CI809" s="1111">
        <f t="shared" si="2625"/>
        <v>325</v>
      </c>
      <c r="CJ809" s="1111">
        <f t="shared" si="2625"/>
        <v>403</v>
      </c>
      <c r="CK809" s="1112">
        <f t="shared" si="2625"/>
        <v>758</v>
      </c>
      <c r="CL809" s="1112">
        <f t="shared" si="2625"/>
        <v>975</v>
      </c>
      <c r="CM809" s="1112">
        <f t="shared" si="2625"/>
        <v>2434</v>
      </c>
      <c r="CN809" s="1111">
        <f t="shared" si="2625"/>
        <v>2528</v>
      </c>
      <c r="CO809" s="1111">
        <f t="shared" si="2625"/>
        <v>2535</v>
      </c>
      <c r="CP809" s="1111">
        <f t="shared" si="2625"/>
        <v>2539</v>
      </c>
      <c r="CQ809" s="1111" t="str">
        <f t="shared" si="2625"/>
        <v/>
      </c>
      <c r="CR809" s="1111" t="str">
        <f t="shared" si="2625"/>
        <v/>
      </c>
      <c r="CS809" s="1110" t="str">
        <f t="shared" si="2625"/>
        <v/>
      </c>
      <c r="CT809" s="1113" t="str">
        <f t="shared" si="2625"/>
        <v/>
      </c>
      <c r="CU809" s="324" t="str">
        <f t="shared" si="2591"/>
        <v/>
      </c>
      <c r="CV809" s="325" t="str">
        <f t="shared" si="2592"/>
        <v/>
      </c>
      <c r="CW809" s="326" t="str">
        <f t="shared" si="2593"/>
        <v/>
      </c>
      <c r="CX809" s="326" t="str">
        <f t="shared" si="2594"/>
        <v/>
      </c>
      <c r="CY809" s="326">
        <f t="shared" si="2595"/>
        <v>1</v>
      </c>
      <c r="CZ809" s="326">
        <f t="shared" si="2596"/>
        <v>32</v>
      </c>
      <c r="DA809" s="326">
        <f t="shared" si="2597"/>
        <v>296</v>
      </c>
      <c r="DB809" s="327">
        <f t="shared" si="2598"/>
        <v>351</v>
      </c>
      <c r="DC809" s="327">
        <f t="shared" si="2599"/>
        <v>754</v>
      </c>
      <c r="DD809" s="327">
        <f t="shared" si="2600"/>
        <v>763</v>
      </c>
      <c r="DE809" s="326">
        <f t="shared" si="2601"/>
        <v>1076</v>
      </c>
      <c r="DF809" s="326">
        <f t="shared" si="2602"/>
        <v>1170</v>
      </c>
      <c r="DG809" s="326">
        <f t="shared" si="2603"/>
        <v>6382</v>
      </c>
      <c r="DH809" s="326" t="str">
        <f t="shared" si="2604"/>
        <v/>
      </c>
      <c r="DI809" s="326" t="str">
        <f t="shared" si="2605"/>
        <v/>
      </c>
      <c r="DJ809" s="325" t="str">
        <f t="shared" si="2606"/>
        <v/>
      </c>
      <c r="DK809" s="324" t="str">
        <f t="shared" si="2607"/>
        <v/>
      </c>
      <c r="DL809" s="428">
        <f t="shared" si="2617"/>
        <v>9</v>
      </c>
      <c r="DM809" s="66">
        <f t="shared" si="2618"/>
        <v>9</v>
      </c>
      <c r="DN809" s="66">
        <f t="shared" si="2619"/>
        <v>9</v>
      </c>
      <c r="DO809" s="66">
        <f t="shared" si="2620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4"/>
      <c r="CE810" s="1134"/>
      <c r="CF810" s="1134"/>
      <c r="CG810" s="1134"/>
      <c r="CH810" s="1134"/>
      <c r="CI810" s="1134"/>
      <c r="CJ810" s="1134"/>
      <c r="CK810" s="1134"/>
      <c r="CL810" s="1134"/>
      <c r="CM810" s="1134"/>
      <c r="CN810" s="1134"/>
      <c r="CO810" s="1134"/>
      <c r="CP810" s="1134"/>
      <c r="CQ810" s="1134"/>
      <c r="CR810" s="1134"/>
      <c r="CS810" s="1134"/>
      <c r="CT810" s="1135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626">SUM(B771:B775,B780:B784,B789:B810)</f>
        <v>3977</v>
      </c>
      <c r="C811" s="568">
        <f t="shared" si="2626"/>
        <v>4662</v>
      </c>
      <c r="D811" s="568">
        <f t="shared" si="2626"/>
        <v>3140</v>
      </c>
      <c r="E811" s="568">
        <f t="shared" si="2626"/>
        <v>3287</v>
      </c>
      <c r="F811" s="568">
        <f t="shared" si="2626"/>
        <v>2327</v>
      </c>
      <c r="G811" s="568">
        <f t="shared" si="2626"/>
        <v>2712</v>
      </c>
      <c r="H811" s="568">
        <f t="shared" si="2626"/>
        <v>992.5</v>
      </c>
      <c r="I811" s="568">
        <f t="shared" si="2626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627">SUM(T771:T775,T780:T784,T789:T810)</f>
        <v>7160</v>
      </c>
      <c r="U811" s="568">
        <f t="shared" si="2627"/>
        <v>2137.5</v>
      </c>
      <c r="V811" s="568">
        <f t="shared" si="2627"/>
        <v>3089</v>
      </c>
      <c r="W811" s="568">
        <f t="shared" si="2627"/>
        <v>3982</v>
      </c>
      <c r="X811" s="568">
        <f t="shared" si="2627"/>
        <v>3294</v>
      </c>
      <c r="Y811" s="568">
        <f t="shared" si="2627"/>
        <v>2272</v>
      </c>
      <c r="Z811" s="568">
        <f t="shared" si="2627"/>
        <v>2515</v>
      </c>
      <c r="AA811" s="568">
        <f t="shared" si="2627"/>
        <v>2509</v>
      </c>
      <c r="AB811" s="568">
        <f t="shared" si="2627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628">SUM(AL771:AL775,AL780:AL784,AL789:AL810)</f>
        <v>20025</v>
      </c>
      <c r="AM811" s="568">
        <f t="shared" si="2628"/>
        <v>17947</v>
      </c>
      <c r="AN811" s="568">
        <f t="shared" si="2628"/>
        <v>18596</v>
      </c>
      <c r="AO811" s="568">
        <f t="shared" si="2628"/>
        <v>18558</v>
      </c>
      <c r="AP811" s="568">
        <f t="shared" si="2628"/>
        <v>28361</v>
      </c>
      <c r="AQ811" s="568">
        <f t="shared" si="2628"/>
        <v>18761</v>
      </c>
      <c r="AR811" s="568">
        <f t="shared" si="2628"/>
        <v>23872</v>
      </c>
      <c r="AS811" s="568">
        <f t="shared" si="2628"/>
        <v>31598</v>
      </c>
      <c r="AT811" s="568">
        <f t="shared" si="2628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629">SUM(BD771:BD775,BD780:BD784,BD789:BD810)</f>
        <v>35500</v>
      </c>
      <c r="BE811" s="568">
        <f t="shared" si="2629"/>
        <v>28606</v>
      </c>
      <c r="BF811" s="568">
        <f t="shared" si="2629"/>
        <v>41050</v>
      </c>
      <c r="BG811" s="568">
        <f t="shared" si="2629"/>
        <v>51761</v>
      </c>
      <c r="BH811" s="568">
        <f t="shared" si="2629"/>
        <v>28710</v>
      </c>
      <c r="BI811" s="568">
        <f t="shared" si="2629"/>
        <v>20845</v>
      </c>
      <c r="BJ811" s="568">
        <f t="shared" si="2629"/>
        <v>50035</v>
      </c>
      <c r="BK811" s="568">
        <f t="shared" si="2629"/>
        <v>27228</v>
      </c>
      <c r="BL811" s="568">
        <f t="shared" si="2629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09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0" t="str">
        <f t="shared" ref="CE811:CT811" si="263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1" t="str">
        <f t="shared" si="2630"/>
        <v/>
      </c>
      <c r="CG811" s="1111" t="str">
        <f t="shared" si="2630"/>
        <v/>
      </c>
      <c r="CH811" s="1111">
        <f t="shared" si="2630"/>
        <v>992.5</v>
      </c>
      <c r="CI811" s="1111">
        <f t="shared" si="2630"/>
        <v>1305</v>
      </c>
      <c r="CJ811" s="1111">
        <f t="shared" si="2630"/>
        <v>1356</v>
      </c>
      <c r="CK811" s="1112">
        <f t="shared" si="2630"/>
        <v>2327</v>
      </c>
      <c r="CL811" s="1112">
        <f t="shared" si="2630"/>
        <v>2712</v>
      </c>
      <c r="CM811" s="1112">
        <f t="shared" si="2630"/>
        <v>3140</v>
      </c>
      <c r="CN811" s="1111">
        <f t="shared" si="2630"/>
        <v>3287</v>
      </c>
      <c r="CO811" s="1111">
        <f t="shared" si="2630"/>
        <v>3977</v>
      </c>
      <c r="CP811" s="1111">
        <f t="shared" si="2630"/>
        <v>4662</v>
      </c>
      <c r="CQ811" s="1111" t="str">
        <f t="shared" si="2630"/>
        <v/>
      </c>
      <c r="CR811" s="1111" t="str">
        <f t="shared" si="2630"/>
        <v/>
      </c>
      <c r="CS811" s="1110" t="str">
        <f t="shared" si="2630"/>
        <v/>
      </c>
      <c r="CT811" s="1113" t="str">
        <f t="shared" si="2630"/>
        <v/>
      </c>
      <c r="CU811" s="324" t="str">
        <f t="shared" ref="CU811:DK811" si="263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631"/>
        <v/>
      </c>
      <c r="CW811" s="326" t="str">
        <f t="shared" si="2631"/>
        <v/>
      </c>
      <c r="CX811" s="326" t="str">
        <f t="shared" si="2631"/>
        <v/>
      </c>
      <c r="CY811" s="326">
        <f t="shared" si="2631"/>
        <v>2137.5</v>
      </c>
      <c r="CZ811" s="326">
        <f t="shared" si="2631"/>
        <v>2272</v>
      </c>
      <c r="DA811" s="326">
        <f t="shared" si="2631"/>
        <v>2509</v>
      </c>
      <c r="DB811" s="327">
        <f t="shared" si="2631"/>
        <v>2515</v>
      </c>
      <c r="DC811" s="327">
        <f t="shared" si="2631"/>
        <v>3089</v>
      </c>
      <c r="DD811" s="327">
        <f t="shared" si="2631"/>
        <v>3208</v>
      </c>
      <c r="DE811" s="326">
        <f t="shared" si="2631"/>
        <v>3294</v>
      </c>
      <c r="DF811" s="326">
        <f t="shared" si="2631"/>
        <v>3982</v>
      </c>
      <c r="DG811" s="326">
        <f t="shared" si="2631"/>
        <v>7160</v>
      </c>
      <c r="DH811" s="326" t="str">
        <f t="shared" si="2631"/>
        <v/>
      </c>
      <c r="DI811" s="326" t="str">
        <f t="shared" si="2631"/>
        <v/>
      </c>
      <c r="DJ811" s="325" t="str">
        <f t="shared" si="2631"/>
        <v/>
      </c>
      <c r="DK811" s="324" t="str">
        <f t="shared" si="2631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6"/>
      <c r="CE812" s="1156"/>
      <c r="CF812" s="1156"/>
      <c r="CG812" s="1156"/>
      <c r="CH812" s="1156"/>
      <c r="CI812" s="1156"/>
      <c r="CJ812" s="1156"/>
      <c r="CK812" s="1156"/>
      <c r="CL812" s="1156"/>
      <c r="CM812" s="1156"/>
      <c r="CN812" s="1156"/>
      <c r="CO812" s="1156"/>
      <c r="CP812" s="1156"/>
      <c r="CQ812" s="1156"/>
      <c r="CR812" s="1156"/>
      <c r="CS812" s="1156"/>
      <c r="CT812" s="1156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6"/>
      <c r="CE813" s="1156"/>
      <c r="CF813" s="1156"/>
      <c r="CG813" s="1156"/>
      <c r="CH813" s="1156"/>
      <c r="CI813" s="1156"/>
      <c r="CJ813" s="1156"/>
      <c r="CK813" s="1156"/>
      <c r="CL813" s="1156"/>
      <c r="CM813" s="1156"/>
      <c r="CN813" s="1156"/>
      <c r="CO813" s="1156"/>
      <c r="CP813" s="1156"/>
      <c r="CQ813" s="1156"/>
      <c r="CR813" s="1156"/>
      <c r="CS813" s="1156"/>
      <c r="CT813" s="1156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6"/>
      <c r="CE814" s="1156"/>
      <c r="CF814" s="1156"/>
      <c r="CG814" s="1156"/>
      <c r="CH814" s="1156"/>
      <c r="CI814" s="1156"/>
      <c r="CJ814" s="1156"/>
      <c r="CK814" s="1156"/>
      <c r="CL814" s="1156"/>
      <c r="CM814" s="1156"/>
      <c r="CN814" s="1156"/>
      <c r="CO814" s="1156"/>
      <c r="CP814" s="1156"/>
      <c r="CQ814" s="1156"/>
      <c r="CR814" s="1156"/>
      <c r="CS814" s="1156"/>
      <c r="CT814" s="1156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6"/>
      <c r="CE815" s="1156"/>
      <c r="CF815" s="1156"/>
      <c r="CG815" s="1156"/>
      <c r="CH815" s="1156"/>
      <c r="CI815" s="1156"/>
      <c r="CJ815" s="1156"/>
      <c r="CK815" s="1156"/>
      <c r="CL815" s="1156"/>
      <c r="CM815" s="1156"/>
      <c r="CN815" s="1156"/>
      <c r="CO815" s="1156"/>
      <c r="CP815" s="1156"/>
      <c r="CQ815" s="1156"/>
      <c r="CR815" s="1156"/>
      <c r="CS815" s="1156"/>
      <c r="CT815" s="1156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6"/>
      <c r="CE816" s="1156"/>
      <c r="CF816" s="1156"/>
      <c r="CG816" s="1156"/>
      <c r="CH816" s="1156"/>
      <c r="CI816" s="1156"/>
      <c r="CJ816" s="1156"/>
      <c r="CK816" s="1156"/>
      <c r="CL816" s="1156"/>
      <c r="CM816" s="1156"/>
      <c r="CN816" s="1156"/>
      <c r="CO816" s="1156"/>
      <c r="CP816" s="1156"/>
      <c r="CQ816" s="1156"/>
      <c r="CR816" s="1156"/>
      <c r="CS816" s="1156"/>
      <c r="CT816" s="1156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19"/>
      <c r="CE817" s="1156"/>
      <c r="CF817" s="1156"/>
      <c r="CG817" s="1156"/>
      <c r="CH817" s="1156"/>
      <c r="CI817" s="1156"/>
      <c r="CJ817" s="1156"/>
      <c r="CK817" s="1156"/>
      <c r="CL817" s="1156"/>
      <c r="CM817" s="1156"/>
      <c r="CN817" s="1156"/>
      <c r="CO817" s="1156"/>
      <c r="CP817" s="1156"/>
      <c r="CQ817" s="1156"/>
      <c r="CR817" s="1156"/>
      <c r="CS817" s="1156"/>
      <c r="CT817" s="1121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19"/>
      <c r="CE818" s="1156"/>
      <c r="CF818" s="1156"/>
      <c r="CG818" s="1156"/>
      <c r="CH818" s="1156"/>
      <c r="CI818" s="1156"/>
      <c r="CJ818" s="1156"/>
      <c r="CK818" s="1156"/>
      <c r="CL818" s="1156"/>
      <c r="CM818" s="1156"/>
      <c r="CN818" s="1156"/>
      <c r="CO818" s="1156"/>
      <c r="CP818" s="1156"/>
      <c r="CQ818" s="1156"/>
      <c r="CR818" s="1156"/>
      <c r="CS818" s="1156"/>
      <c r="CT818" s="1121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>SUM(B89)</f>
        <v>0</v>
      </c>
      <c r="C819" s="574">
        <f>SUM(C89)</f>
        <v>0</v>
      </c>
      <c r="D819" s="574">
        <f>SUM(D89)</f>
        <v>0</v>
      </c>
      <c r="E819" s="574">
        <f>SUM(E89)</f>
        <v>0</v>
      </c>
      <c r="F819" s="574">
        <f>SUM(F89)</f>
        <v>0</v>
      </c>
      <c r="G819" s="574">
        <f>SUM(G89)</f>
        <v>0</v>
      </c>
      <c r="H819" s="574">
        <f>SUM(H89)</f>
        <v>0</v>
      </c>
      <c r="I819" s="574">
        <f>SUM(I89)</f>
        <v>0</v>
      </c>
      <c r="J819" s="574">
        <f>SUM(J89)</f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>SUM(T89)</f>
        <v>0</v>
      </c>
      <c r="U819" s="574">
        <f>SUM(U89)</f>
        <v>0</v>
      </c>
      <c r="V819" s="574">
        <f>SUM(V89)</f>
        <v>0</v>
      </c>
      <c r="W819" s="574">
        <f>SUM(W89)</f>
        <v>0</v>
      </c>
      <c r="X819" s="574">
        <f>SUM(X89)</f>
        <v>0</v>
      </c>
      <c r="Y819" s="574">
        <f>SUM(Y89)</f>
        <v>0</v>
      </c>
      <c r="Z819" s="574">
        <f>SUM(Z89)</f>
        <v>0</v>
      </c>
      <c r="AA819" s="574">
        <f>SUM(AA89)</f>
        <v>0</v>
      </c>
      <c r="AB819" s="574">
        <f>SUM(AB89)</f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>SUM(AL89)</f>
        <v>0</v>
      </c>
      <c r="AM819" s="574">
        <f>SUM(AM89)</f>
        <v>0</v>
      </c>
      <c r="AN819" s="574">
        <f>SUM(AN89)</f>
        <v>0</v>
      </c>
      <c r="AO819" s="574">
        <f>SUM(AO89)</f>
        <v>0</v>
      </c>
      <c r="AP819" s="574">
        <f>SUM(AP89)</f>
        <v>0</v>
      </c>
      <c r="AQ819" s="574">
        <f>SUM(AQ89)</f>
        <v>0</v>
      </c>
      <c r="AR819" s="574">
        <f>SUM(AR89)</f>
        <v>0</v>
      </c>
      <c r="AS819" s="574">
        <f>SUM(AS89)</f>
        <v>0</v>
      </c>
      <c r="AT819" s="574">
        <f>SUM(AT89)</f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>SUM(BD89)</f>
        <v>0</v>
      </c>
      <c r="BE819" s="574">
        <f>SUM(BE89)</f>
        <v>0</v>
      </c>
      <c r="BF819" s="574">
        <f>SUM(BF89)</f>
        <v>0</v>
      </c>
      <c r="BG819" s="574">
        <f>SUM(BG89)</f>
        <v>0</v>
      </c>
      <c r="BH819" s="574">
        <f>SUM(BH89)</f>
        <v>0</v>
      </c>
      <c r="BI819" s="574">
        <f>SUM(BI89)</f>
        <v>0</v>
      </c>
      <c r="BJ819" s="574">
        <f>SUM(BJ89)</f>
        <v>0</v>
      </c>
      <c r="BK819" s="574">
        <f>SUM(BK89)</f>
        <v>0</v>
      </c>
      <c r="BL819" s="574">
        <f>SUM(BL89)</f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>SUM(BV89)</f>
        <v>0</v>
      </c>
      <c r="BW819" s="581">
        <f>SUM(BW89)</f>
        <v>0</v>
      </c>
      <c r="BX819" s="581">
        <f>SUM(BX89)</f>
        <v>0</v>
      </c>
      <c r="BY819" s="581">
        <f>SUM(BY89)</f>
        <v>0</v>
      </c>
      <c r="BZ819" s="398">
        <f t="shared" ref="BZ819:BZ827" si="2632">IF(DL819&lt;3,"",(SUM(B819:R819)-MIN(B819:R819)-MAX(B819:R819))/(DL819-2))</f>
        <v>0</v>
      </c>
      <c r="CA819" s="398">
        <f t="shared" ref="CA819:CA827" si="2633">IF(DM819&lt;3,"",(SUM(T819:AJ819)-MIN(T819:AJ819)-MAX(T819:AJ819))/(DM819-2))</f>
        <v>0</v>
      </c>
      <c r="CB819" s="398">
        <f t="shared" ref="CB819:CB827" si="2634">IF(DN819&lt;3,"",(SUM(AL819:BB819)-MIN(AL819:BB819)-MAX(AL819:BB819))/(DN819-2))</f>
        <v>0</v>
      </c>
      <c r="CC819" s="465">
        <f t="shared" ref="CC819:CC827" si="2635">IF(DO819&lt;3,"",(SUM(BD819:BT819)-MIN(BD819:BT819)-MAX(BD819:BT819))/(DO819-2))</f>
        <v>0</v>
      </c>
      <c r="CD819" s="1114" t="str">
        <f t="shared" ref="CD819:CS819" si="263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5" t="str">
        <f t="shared" si="2636"/>
        <v/>
      </c>
      <c r="CF819" s="1116" t="str">
        <f t="shared" si="2636"/>
        <v/>
      </c>
      <c r="CG819" s="1116" t="str">
        <f t="shared" si="2636"/>
        <v/>
      </c>
      <c r="CH819" s="1116">
        <f t="shared" si="2636"/>
        <v>0</v>
      </c>
      <c r="CI819" s="1116">
        <f t="shared" si="2636"/>
        <v>0</v>
      </c>
      <c r="CJ819" s="1116">
        <f t="shared" si="2636"/>
        <v>0</v>
      </c>
      <c r="CK819" s="1117">
        <f t="shared" si="2636"/>
        <v>0</v>
      </c>
      <c r="CL819" s="1117">
        <f t="shared" si="2636"/>
        <v>0</v>
      </c>
      <c r="CM819" s="1117">
        <f t="shared" si="2636"/>
        <v>0</v>
      </c>
      <c r="CN819" s="1116">
        <f t="shared" si="2636"/>
        <v>0</v>
      </c>
      <c r="CO819" s="1116">
        <f t="shared" si="2636"/>
        <v>0</v>
      </c>
      <c r="CP819" s="1116">
        <f t="shared" si="2636"/>
        <v>0</v>
      </c>
      <c r="CQ819" s="1116" t="str">
        <f t="shared" si="2636"/>
        <v/>
      </c>
      <c r="CR819" s="1116" t="str">
        <f t="shared" si="2636"/>
        <v/>
      </c>
      <c r="CS819" s="1115" t="str">
        <f t="shared" si="2636"/>
        <v/>
      </c>
      <c r="CT819" s="1118" t="str">
        <f t="shared" ref="CE819:CT827" si="263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63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63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64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64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64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64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64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64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64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64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64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64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65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65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65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65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65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655">COUNT(B819:R819)</f>
        <v>9</v>
      </c>
      <c r="DM819" s="66">
        <f t="shared" ref="DM819:DM827" si="2656">COUNT(T819:AJ819)</f>
        <v>9</v>
      </c>
      <c r="DN819" s="66">
        <f t="shared" ref="DN819:DN827" si="2657">COUNT(AL819:BB819)</f>
        <v>9</v>
      </c>
      <c r="DO819" s="66">
        <f t="shared" ref="DO819:DO827" si="2658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>SUM(B90)</f>
        <v>0</v>
      </c>
      <c r="C820" s="574">
        <f>SUM(C90)</f>
        <v>0</v>
      </c>
      <c r="D820" s="574">
        <f>SUM(D90)</f>
        <v>0</v>
      </c>
      <c r="E820" s="574">
        <f>SUM(E90)</f>
        <v>0</v>
      </c>
      <c r="F820" s="574">
        <f>SUM(F90)</f>
        <v>0</v>
      </c>
      <c r="G820" s="574">
        <f>SUM(G90)</f>
        <v>0</v>
      </c>
      <c r="H820" s="574">
        <f>SUM(H90)</f>
        <v>0</v>
      </c>
      <c r="I820" s="574">
        <f>SUM(I90)</f>
        <v>0</v>
      </c>
      <c r="J820" s="574">
        <f>SUM(J90)</f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>SUM(T90)</f>
        <v>0</v>
      </c>
      <c r="U820" s="574">
        <f>SUM(U90)</f>
        <v>0</v>
      </c>
      <c r="V820" s="574">
        <f>SUM(V90)</f>
        <v>0</v>
      </c>
      <c r="W820" s="574">
        <f>SUM(W90)</f>
        <v>0</v>
      </c>
      <c r="X820" s="574">
        <f>SUM(X90)</f>
        <v>0</v>
      </c>
      <c r="Y820" s="574">
        <f>SUM(Y90)</f>
        <v>0</v>
      </c>
      <c r="Z820" s="574">
        <f>SUM(Z90)</f>
        <v>0</v>
      </c>
      <c r="AA820" s="574">
        <f>SUM(AA90)</f>
        <v>0</v>
      </c>
      <c r="AB820" s="574">
        <f>SUM(AB90)</f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>SUM(AL90)</f>
        <v>0</v>
      </c>
      <c r="AM820" s="574">
        <f>SUM(AM90)</f>
        <v>0</v>
      </c>
      <c r="AN820" s="574">
        <f>SUM(AN90)</f>
        <v>0</v>
      </c>
      <c r="AO820" s="574">
        <f>SUM(AO90)</f>
        <v>0</v>
      </c>
      <c r="AP820" s="574">
        <f>SUM(AP90)</f>
        <v>0</v>
      </c>
      <c r="AQ820" s="574">
        <f>SUM(AQ90)</f>
        <v>0</v>
      </c>
      <c r="AR820" s="574">
        <f>SUM(AR90)</f>
        <v>0</v>
      </c>
      <c r="AS820" s="574">
        <f>SUM(AS90)</f>
        <v>0</v>
      </c>
      <c r="AT820" s="574">
        <f>SUM(AT90)</f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>SUM(BD90)</f>
        <v>0</v>
      </c>
      <c r="BE820" s="574">
        <f>SUM(BE90)</f>
        <v>0</v>
      </c>
      <c r="BF820" s="574">
        <f>SUM(BF90)</f>
        <v>0</v>
      </c>
      <c r="BG820" s="574">
        <f>SUM(BG90)</f>
        <v>0</v>
      </c>
      <c r="BH820" s="574">
        <f>SUM(BH90)</f>
        <v>0</v>
      </c>
      <c r="BI820" s="574">
        <f>SUM(BI90)</f>
        <v>0</v>
      </c>
      <c r="BJ820" s="574">
        <f>SUM(BJ90)</f>
        <v>0</v>
      </c>
      <c r="BK820" s="574">
        <f>SUM(BK90)</f>
        <v>0</v>
      </c>
      <c r="BL820" s="574">
        <f>SUM(BL90)</f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>SUM(BV90)</f>
        <v>0</v>
      </c>
      <c r="BW820" s="581">
        <f>SUM(BW90)</f>
        <v>0</v>
      </c>
      <c r="BX820" s="581">
        <f>SUM(BX90)</f>
        <v>0</v>
      </c>
      <c r="BY820" s="581">
        <f>SUM(BY90)</f>
        <v>0</v>
      </c>
      <c r="BZ820" s="398">
        <f t="shared" si="2632"/>
        <v>0</v>
      </c>
      <c r="CA820" s="398">
        <f t="shared" si="2633"/>
        <v>0</v>
      </c>
      <c r="CB820" s="398">
        <f t="shared" si="2634"/>
        <v>0</v>
      </c>
      <c r="CC820" s="465">
        <f t="shared" si="2635"/>
        <v>0</v>
      </c>
      <c r="CD820" s="1114" t="str">
        <f t="shared" ref="CD820:CD827" si="265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5" t="str">
        <f t="shared" si="2637"/>
        <v/>
      </c>
      <c r="CF820" s="1116" t="str">
        <f t="shared" si="2637"/>
        <v/>
      </c>
      <c r="CG820" s="1116" t="str">
        <f t="shared" si="2637"/>
        <v/>
      </c>
      <c r="CH820" s="1116">
        <f t="shared" si="2637"/>
        <v>0</v>
      </c>
      <c r="CI820" s="1116">
        <f t="shared" si="2637"/>
        <v>0</v>
      </c>
      <c r="CJ820" s="1116">
        <f t="shared" si="2637"/>
        <v>0</v>
      </c>
      <c r="CK820" s="1117">
        <f t="shared" si="2637"/>
        <v>0</v>
      </c>
      <c r="CL820" s="1117">
        <f t="shared" si="2637"/>
        <v>0</v>
      </c>
      <c r="CM820" s="1117">
        <f t="shared" si="2637"/>
        <v>0</v>
      </c>
      <c r="CN820" s="1116">
        <f t="shared" si="2637"/>
        <v>0</v>
      </c>
      <c r="CO820" s="1116">
        <f t="shared" si="2637"/>
        <v>0</v>
      </c>
      <c r="CP820" s="1116">
        <f t="shared" si="2637"/>
        <v>0</v>
      </c>
      <c r="CQ820" s="1116" t="str">
        <f t="shared" si="2637"/>
        <v/>
      </c>
      <c r="CR820" s="1116" t="str">
        <f t="shared" si="2637"/>
        <v/>
      </c>
      <c r="CS820" s="1115" t="str">
        <f t="shared" si="2637"/>
        <v/>
      </c>
      <c r="CT820" s="1118" t="str">
        <f t="shared" si="2637"/>
        <v/>
      </c>
      <c r="CU820" s="312" t="str">
        <f t="shared" si="2638"/>
        <v/>
      </c>
      <c r="CV820" s="313" t="str">
        <f t="shared" si="2639"/>
        <v/>
      </c>
      <c r="CW820" s="314" t="str">
        <f t="shared" si="2640"/>
        <v/>
      </c>
      <c r="CX820" s="314" t="str">
        <f t="shared" si="2641"/>
        <v/>
      </c>
      <c r="CY820" s="314">
        <f t="shared" si="2642"/>
        <v>0</v>
      </c>
      <c r="CZ820" s="314">
        <f t="shared" si="2643"/>
        <v>0</v>
      </c>
      <c r="DA820" s="314">
        <f t="shared" si="2644"/>
        <v>0</v>
      </c>
      <c r="DB820" s="315">
        <f t="shared" si="2645"/>
        <v>0</v>
      </c>
      <c r="DC820" s="315">
        <f t="shared" si="2646"/>
        <v>0</v>
      </c>
      <c r="DD820" s="315">
        <f t="shared" si="2647"/>
        <v>0</v>
      </c>
      <c r="DE820" s="314">
        <f t="shared" si="2648"/>
        <v>0</v>
      </c>
      <c r="DF820" s="314">
        <f t="shared" si="2649"/>
        <v>0</v>
      </c>
      <c r="DG820" s="314">
        <f t="shared" si="2650"/>
        <v>0</v>
      </c>
      <c r="DH820" s="314" t="str">
        <f t="shared" si="2651"/>
        <v/>
      </c>
      <c r="DI820" s="314" t="str">
        <f t="shared" si="2652"/>
        <v/>
      </c>
      <c r="DJ820" s="313" t="str">
        <f t="shared" si="2653"/>
        <v/>
      </c>
      <c r="DK820" s="312" t="str">
        <f t="shared" si="2654"/>
        <v/>
      </c>
      <c r="DL820" s="428">
        <f t="shared" si="2655"/>
        <v>9</v>
      </c>
      <c r="DM820" s="66">
        <f t="shared" si="2656"/>
        <v>9</v>
      </c>
      <c r="DN820" s="66">
        <f t="shared" si="2657"/>
        <v>9</v>
      </c>
      <c r="DO820" s="66">
        <f t="shared" si="2658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>SUM(B116)</f>
        <v>0</v>
      </c>
      <c r="C821" s="574">
        <f>SUM(C116)</f>
        <v>0</v>
      </c>
      <c r="D821" s="574">
        <f>SUM(D116)</f>
        <v>0</v>
      </c>
      <c r="E821" s="574">
        <f>SUM(E116)</f>
        <v>0</v>
      </c>
      <c r="F821" s="574">
        <f>SUM(F116)</f>
        <v>0</v>
      </c>
      <c r="G821" s="574">
        <f>SUM(G116)</f>
        <v>0</v>
      </c>
      <c r="H821" s="574">
        <f>SUM(H116)</f>
        <v>0</v>
      </c>
      <c r="I821" s="574">
        <f>SUM(I116)</f>
        <v>0</v>
      </c>
      <c r="J821" s="574">
        <f>SUM(J116)</f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>SUM(T116)</f>
        <v>0</v>
      </c>
      <c r="U821" s="574">
        <f>SUM(U116)</f>
        <v>0</v>
      </c>
      <c r="V821" s="574">
        <f>SUM(V116)</f>
        <v>0</v>
      </c>
      <c r="W821" s="574">
        <f>SUM(W116)</f>
        <v>0</v>
      </c>
      <c r="X821" s="574">
        <f>SUM(X116)</f>
        <v>0</v>
      </c>
      <c r="Y821" s="574">
        <f>SUM(Y116)</f>
        <v>0</v>
      </c>
      <c r="Z821" s="574">
        <f>SUM(Z116)</f>
        <v>0</v>
      </c>
      <c r="AA821" s="574">
        <f>SUM(AA116)</f>
        <v>0</v>
      </c>
      <c r="AB821" s="574">
        <f>SUM(AB116)</f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>SUM(AL116)</f>
        <v>2.7705627705627709E-2</v>
      </c>
      <c r="AM821" s="574">
        <f>SUM(AM116)</f>
        <v>1.4959773863883452E-2</v>
      </c>
      <c r="AN821" s="574">
        <f>SUM(AN116)</f>
        <v>5.2185257664709721E-4</v>
      </c>
      <c r="AO821" s="574">
        <f>SUM(AO116)</f>
        <v>4.4879321591650354E-2</v>
      </c>
      <c r="AP821" s="574">
        <f>SUM(AP116)</f>
        <v>5.8447488584474884E-2</v>
      </c>
      <c r="AQ821" s="574">
        <f>SUM(AQ116)</f>
        <v>8.8714938030006518E-2</v>
      </c>
      <c r="AR821" s="574">
        <f>SUM(AR116)</f>
        <v>2.3483365949119372E-2</v>
      </c>
      <c r="AS821" s="574">
        <f>SUM(AS116)</f>
        <v>6.2622309197651656E-3</v>
      </c>
      <c r="AT821" s="574">
        <f>SUM(AT116)</f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>SUM(BD116)</f>
        <v>2.9919547727766903E-2</v>
      </c>
      <c r="BE821" s="574">
        <f>SUM(BE116)</f>
        <v>2.2961513372472278E-2</v>
      </c>
      <c r="BF821" s="574">
        <f>SUM(BF116)</f>
        <v>3.7990867579908674E-2</v>
      </c>
      <c r="BG821" s="574">
        <f>SUM(BG116)</f>
        <v>2.9223744292237445E-2</v>
      </c>
      <c r="BH821" s="574">
        <f>SUM(BH116)</f>
        <v>5.0097847358121325E-2</v>
      </c>
      <c r="BI821" s="574">
        <f>SUM(BI116)</f>
        <v>2.1470506010623426E-2</v>
      </c>
      <c r="BJ821" s="574">
        <f>SUM(BJ116)</f>
        <v>4.1748206131767773E-2</v>
      </c>
      <c r="BK821" s="574">
        <f>SUM(BK116)</f>
        <v>5.2185257664709724E-2</v>
      </c>
      <c r="BL821" s="574">
        <f>SUM(BL116)</f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>SUM(BV116)</f>
        <v>0</v>
      </c>
      <c r="BW821" s="581">
        <f>SUM(BW116)</f>
        <v>0</v>
      </c>
      <c r="BX821" s="581">
        <f>SUM(BX116)</f>
        <v>0</v>
      </c>
      <c r="BY821" s="581">
        <f>SUM(BY116)</f>
        <v>0</v>
      </c>
      <c r="BZ821" s="398">
        <f t="shared" si="2632"/>
        <v>0</v>
      </c>
      <c r="CA821" s="398">
        <f t="shared" si="2633"/>
        <v>0</v>
      </c>
      <c r="CB821" s="398">
        <f t="shared" si="2634"/>
        <v>3.3156840984629628E-2</v>
      </c>
      <c r="CC821" s="465">
        <f t="shared" si="2635"/>
        <v>3.5247414034106792E-2</v>
      </c>
      <c r="CD821" s="1114" t="str">
        <f t="shared" si="2659"/>
        <v/>
      </c>
      <c r="CE821" s="1115" t="str">
        <f t="shared" si="2637"/>
        <v/>
      </c>
      <c r="CF821" s="1116" t="str">
        <f t="shared" si="2637"/>
        <v/>
      </c>
      <c r="CG821" s="1116" t="str">
        <f t="shared" si="2637"/>
        <v/>
      </c>
      <c r="CH821" s="1116">
        <f t="shared" si="2637"/>
        <v>0</v>
      </c>
      <c r="CI821" s="1116">
        <f t="shared" si="2637"/>
        <v>0</v>
      </c>
      <c r="CJ821" s="1116">
        <f t="shared" si="2637"/>
        <v>0</v>
      </c>
      <c r="CK821" s="1117">
        <f t="shared" si="2637"/>
        <v>0</v>
      </c>
      <c r="CL821" s="1117">
        <f t="shared" si="2637"/>
        <v>0</v>
      </c>
      <c r="CM821" s="1117">
        <f t="shared" si="2637"/>
        <v>0</v>
      </c>
      <c r="CN821" s="1116">
        <f t="shared" si="2637"/>
        <v>0</v>
      </c>
      <c r="CO821" s="1116">
        <f t="shared" si="2637"/>
        <v>0</v>
      </c>
      <c r="CP821" s="1116">
        <f t="shared" si="2637"/>
        <v>0</v>
      </c>
      <c r="CQ821" s="1116" t="str">
        <f t="shared" si="2637"/>
        <v/>
      </c>
      <c r="CR821" s="1116" t="str">
        <f t="shared" si="2637"/>
        <v/>
      </c>
      <c r="CS821" s="1115" t="str">
        <f t="shared" si="2637"/>
        <v/>
      </c>
      <c r="CT821" s="1118" t="str">
        <f t="shared" si="2637"/>
        <v/>
      </c>
      <c r="CU821" s="312" t="str">
        <f t="shared" si="2638"/>
        <v/>
      </c>
      <c r="CV821" s="313" t="str">
        <f t="shared" si="2639"/>
        <v/>
      </c>
      <c r="CW821" s="314" t="str">
        <f t="shared" si="2640"/>
        <v/>
      </c>
      <c r="CX821" s="314" t="str">
        <f t="shared" si="2641"/>
        <v/>
      </c>
      <c r="CY821" s="314">
        <f t="shared" si="2642"/>
        <v>0</v>
      </c>
      <c r="CZ821" s="314">
        <f t="shared" si="2643"/>
        <v>0</v>
      </c>
      <c r="DA821" s="314">
        <f t="shared" si="2644"/>
        <v>0</v>
      </c>
      <c r="DB821" s="315">
        <f t="shared" si="2645"/>
        <v>0</v>
      </c>
      <c r="DC821" s="315">
        <f t="shared" si="2646"/>
        <v>0</v>
      </c>
      <c r="DD821" s="315">
        <f t="shared" si="2647"/>
        <v>0</v>
      </c>
      <c r="DE821" s="314">
        <f t="shared" si="2648"/>
        <v>0</v>
      </c>
      <c r="DF821" s="314">
        <f t="shared" si="2649"/>
        <v>0</v>
      </c>
      <c r="DG821" s="314">
        <f t="shared" si="2650"/>
        <v>0</v>
      </c>
      <c r="DH821" s="314" t="str">
        <f t="shared" si="2651"/>
        <v/>
      </c>
      <c r="DI821" s="314" t="str">
        <f t="shared" si="2652"/>
        <v/>
      </c>
      <c r="DJ821" s="313" t="str">
        <f t="shared" si="2653"/>
        <v/>
      </c>
      <c r="DK821" s="312" t="str">
        <f t="shared" si="2654"/>
        <v/>
      </c>
      <c r="DL821" s="428">
        <f t="shared" si="2655"/>
        <v>9</v>
      </c>
      <c r="DM821" s="66">
        <f t="shared" si="2656"/>
        <v>9</v>
      </c>
      <c r="DN821" s="66">
        <f t="shared" si="2657"/>
        <v>9</v>
      </c>
      <c r="DO821" s="66">
        <f t="shared" si="2658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>SUM(B117)</f>
        <v>0</v>
      </c>
      <c r="C822" s="574">
        <f>SUM(C117)</f>
        <v>0</v>
      </c>
      <c r="D822" s="574">
        <f>SUM(D117)</f>
        <v>0</v>
      </c>
      <c r="E822" s="574">
        <f>SUM(E117)</f>
        <v>0</v>
      </c>
      <c r="F822" s="574">
        <f>SUM(F117)</f>
        <v>0</v>
      </c>
      <c r="G822" s="574">
        <f>SUM(G117)</f>
        <v>0</v>
      </c>
      <c r="H822" s="574">
        <f>SUM(H117)</f>
        <v>0</v>
      </c>
      <c r="I822" s="574">
        <f>SUM(I117)</f>
        <v>0</v>
      </c>
      <c r="J822" s="574">
        <f>SUM(J117)</f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>SUM(T117)</f>
        <v>0</v>
      </c>
      <c r="U822" s="574">
        <f>SUM(U117)</f>
        <v>0</v>
      </c>
      <c r="V822" s="574">
        <f>SUM(V117)</f>
        <v>0</v>
      </c>
      <c r="W822" s="574">
        <f>SUM(W117)</f>
        <v>0</v>
      </c>
      <c r="X822" s="574">
        <f>SUM(X117)</f>
        <v>0</v>
      </c>
      <c r="Y822" s="574">
        <f>SUM(Y117)</f>
        <v>0</v>
      </c>
      <c r="Z822" s="574">
        <f>SUM(Z117)</f>
        <v>0</v>
      </c>
      <c r="AA822" s="574">
        <f>SUM(AA117)</f>
        <v>0</v>
      </c>
      <c r="AB822" s="574">
        <f>SUM(AB117)</f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>SUM(AL117)</f>
        <v>2.5618217399039314E-2</v>
      </c>
      <c r="AM822" s="574">
        <f>SUM(AM117)</f>
        <v>1.5655577299412915E-2</v>
      </c>
      <c r="AN822" s="574">
        <f>SUM(AN117)</f>
        <v>1.1741682974559686E-2</v>
      </c>
      <c r="AO822" s="574">
        <f>SUM(AO117)</f>
        <v>2.5048923679060663E-2</v>
      </c>
      <c r="AP822" s="574">
        <f>SUM(AP117)</f>
        <v>2.5048923679060666E-2</v>
      </c>
      <c r="AQ822" s="574">
        <f>SUM(AQ117)</f>
        <v>2.0874103065883887E-2</v>
      </c>
      <c r="AR822" s="574">
        <f>SUM(AR117)</f>
        <v>0</v>
      </c>
      <c r="AS822" s="574">
        <f>SUM(AS117)</f>
        <v>0</v>
      </c>
      <c r="AT822" s="574">
        <f>SUM(AT117)</f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>SUM(BD117)</f>
        <v>3.131115459882583E-2</v>
      </c>
      <c r="BE822" s="574">
        <f>SUM(BE117)</f>
        <v>1.5655577299412915E-2</v>
      </c>
      <c r="BF822" s="574">
        <f>SUM(BF117)</f>
        <v>3.7573385518590997E-2</v>
      </c>
      <c r="BG822" s="574">
        <f>SUM(BG117)</f>
        <v>3.0058708414872799E-2</v>
      </c>
      <c r="BH822" s="574">
        <f>SUM(BH117)</f>
        <v>4.6340508806262233E-2</v>
      </c>
      <c r="BI822" s="574">
        <f>SUM(BI117)</f>
        <v>1.0735253005311713E-2</v>
      </c>
      <c r="BJ822" s="574">
        <f>SUM(BJ117)</f>
        <v>3.3398564905414214E-2</v>
      </c>
      <c r="BK822" s="574">
        <f>SUM(BK117)</f>
        <v>0</v>
      </c>
      <c r="BL822" s="574">
        <f>SUM(BL117)</f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>SUM(BV117)</f>
        <v>0</v>
      </c>
      <c r="BW822" s="581">
        <f>SUM(BW117)</f>
        <v>0</v>
      </c>
      <c r="BX822" s="581">
        <f>SUM(BX117)</f>
        <v>0</v>
      </c>
      <c r="BY822" s="581">
        <f>SUM(BY117)</f>
        <v>0</v>
      </c>
      <c r="BZ822" s="398">
        <f t="shared" si="2632"/>
        <v>0</v>
      </c>
      <c r="CA822" s="398">
        <f t="shared" si="2633"/>
        <v>0</v>
      </c>
      <c r="CB822" s="398">
        <f t="shared" si="2634"/>
        <v>1.4052744385425402E-2</v>
      </c>
      <c r="CC822" s="465">
        <f t="shared" si="2635"/>
        <v>2.2676091963204064E-2</v>
      </c>
      <c r="CD822" s="1114" t="str">
        <f t="shared" si="2659"/>
        <v/>
      </c>
      <c r="CE822" s="1115" t="str">
        <f t="shared" si="2637"/>
        <v/>
      </c>
      <c r="CF822" s="1116" t="str">
        <f t="shared" si="2637"/>
        <v/>
      </c>
      <c r="CG822" s="1116" t="str">
        <f t="shared" si="2637"/>
        <v/>
      </c>
      <c r="CH822" s="1116">
        <f t="shared" si="2637"/>
        <v>0</v>
      </c>
      <c r="CI822" s="1116">
        <f t="shared" si="2637"/>
        <v>0</v>
      </c>
      <c r="CJ822" s="1116">
        <f t="shared" si="2637"/>
        <v>0</v>
      </c>
      <c r="CK822" s="1117">
        <f t="shared" si="2637"/>
        <v>0</v>
      </c>
      <c r="CL822" s="1117">
        <f t="shared" si="2637"/>
        <v>0</v>
      </c>
      <c r="CM822" s="1117">
        <f t="shared" si="2637"/>
        <v>0</v>
      </c>
      <c r="CN822" s="1116">
        <f t="shared" si="2637"/>
        <v>0</v>
      </c>
      <c r="CO822" s="1116">
        <f t="shared" si="2637"/>
        <v>0</v>
      </c>
      <c r="CP822" s="1116">
        <f t="shared" si="2637"/>
        <v>0</v>
      </c>
      <c r="CQ822" s="1116" t="str">
        <f t="shared" si="2637"/>
        <v/>
      </c>
      <c r="CR822" s="1116" t="str">
        <f t="shared" si="2637"/>
        <v/>
      </c>
      <c r="CS822" s="1115" t="str">
        <f t="shared" si="2637"/>
        <v/>
      </c>
      <c r="CT822" s="1118" t="str">
        <f t="shared" si="2637"/>
        <v/>
      </c>
      <c r="CU822" s="312" t="str">
        <f t="shared" si="2638"/>
        <v/>
      </c>
      <c r="CV822" s="313" t="str">
        <f t="shared" si="2639"/>
        <v/>
      </c>
      <c r="CW822" s="314" t="str">
        <f t="shared" si="2640"/>
        <v/>
      </c>
      <c r="CX822" s="314" t="str">
        <f t="shared" si="2641"/>
        <v/>
      </c>
      <c r="CY822" s="314">
        <f t="shared" si="2642"/>
        <v>0</v>
      </c>
      <c r="CZ822" s="314">
        <f t="shared" si="2643"/>
        <v>0</v>
      </c>
      <c r="DA822" s="314">
        <f t="shared" si="2644"/>
        <v>0</v>
      </c>
      <c r="DB822" s="315">
        <f t="shared" si="2645"/>
        <v>0</v>
      </c>
      <c r="DC822" s="315">
        <f t="shared" si="2646"/>
        <v>0</v>
      </c>
      <c r="DD822" s="315">
        <f t="shared" si="2647"/>
        <v>0</v>
      </c>
      <c r="DE822" s="314">
        <f t="shared" si="2648"/>
        <v>0</v>
      </c>
      <c r="DF822" s="314">
        <f t="shared" si="2649"/>
        <v>0</v>
      </c>
      <c r="DG822" s="314">
        <f t="shared" si="2650"/>
        <v>0</v>
      </c>
      <c r="DH822" s="314" t="str">
        <f t="shared" si="2651"/>
        <v/>
      </c>
      <c r="DI822" s="314" t="str">
        <f t="shared" si="2652"/>
        <v/>
      </c>
      <c r="DJ822" s="313" t="str">
        <f t="shared" si="2653"/>
        <v/>
      </c>
      <c r="DK822" s="312" t="str">
        <f t="shared" si="2654"/>
        <v/>
      </c>
      <c r="DL822" s="428">
        <f t="shared" si="2655"/>
        <v>9</v>
      </c>
      <c r="DM822" s="66">
        <f t="shared" si="2656"/>
        <v>9</v>
      </c>
      <c r="DN822" s="66">
        <f t="shared" si="2657"/>
        <v>9</v>
      </c>
      <c r="DO822" s="66">
        <f t="shared" si="2658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>SUM(B144)</f>
        <v>0</v>
      </c>
      <c r="C823" s="574">
        <f>SUM(C144)</f>
        <v>0</v>
      </c>
      <c r="D823" s="574">
        <f>SUM(D144)</f>
        <v>0</v>
      </c>
      <c r="E823" s="574">
        <f>SUM(E144)</f>
        <v>0</v>
      </c>
      <c r="F823" s="574">
        <f>SUM(F144)</f>
        <v>0</v>
      </c>
      <c r="G823" s="574">
        <f>SUM(G144)</f>
        <v>0</v>
      </c>
      <c r="H823" s="574">
        <f>SUM(H144)</f>
        <v>0</v>
      </c>
      <c r="I823" s="574">
        <f>SUM(I144)</f>
        <v>0</v>
      </c>
      <c r="J823" s="574">
        <f>SUM(J144)</f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>SUM(T144)</f>
        <v>0</v>
      </c>
      <c r="U823" s="574">
        <f>SUM(U144)</f>
        <v>0</v>
      </c>
      <c r="V823" s="574">
        <f>SUM(V144)</f>
        <v>0</v>
      </c>
      <c r="W823" s="574">
        <f>SUM(W144)</f>
        <v>0</v>
      </c>
      <c r="X823" s="574">
        <f>SUM(X144)</f>
        <v>0</v>
      </c>
      <c r="Y823" s="574">
        <f>SUM(Y144)</f>
        <v>0</v>
      </c>
      <c r="Z823" s="574">
        <f>SUM(Z144)</f>
        <v>0</v>
      </c>
      <c r="AA823" s="574">
        <f>SUM(AA144)</f>
        <v>0</v>
      </c>
      <c r="AB823" s="574">
        <f>SUM(AB144)</f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>SUM(AL144)</f>
        <v>0</v>
      </c>
      <c r="AM823" s="574">
        <f>SUM(AM144)</f>
        <v>0</v>
      </c>
      <c r="AN823" s="574">
        <f>SUM(AN144)</f>
        <v>0</v>
      </c>
      <c r="AO823" s="574">
        <f>SUM(AO144)</f>
        <v>0</v>
      </c>
      <c r="AP823" s="574">
        <f>SUM(AP144)</f>
        <v>0</v>
      </c>
      <c r="AQ823" s="574">
        <f>SUM(AQ144)</f>
        <v>0</v>
      </c>
      <c r="AR823" s="574">
        <f>SUM(AR144)</f>
        <v>0</v>
      </c>
      <c r="AS823" s="574">
        <f>SUM(AS144)</f>
        <v>0</v>
      </c>
      <c r="AT823" s="574">
        <f>SUM(AT144)</f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>SUM(BD144)</f>
        <v>0</v>
      </c>
      <c r="BE823" s="574">
        <f>SUM(BE144)</f>
        <v>0</v>
      </c>
      <c r="BF823" s="574">
        <f>SUM(BF144)</f>
        <v>0</v>
      </c>
      <c r="BG823" s="574">
        <f>SUM(BG144)</f>
        <v>0</v>
      </c>
      <c r="BH823" s="574">
        <f>SUM(BH144)</f>
        <v>0</v>
      </c>
      <c r="BI823" s="574">
        <f>SUM(BI144)</f>
        <v>0</v>
      </c>
      <c r="BJ823" s="574">
        <f>SUM(BJ144)</f>
        <v>0</v>
      </c>
      <c r="BK823" s="574">
        <f>SUM(BK144)</f>
        <v>0</v>
      </c>
      <c r="BL823" s="574">
        <f>SUM(BL144)</f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>SUM(BV144)</f>
        <v>0</v>
      </c>
      <c r="BW823" s="581">
        <f>SUM(BW144)</f>
        <v>0</v>
      </c>
      <c r="BX823" s="581">
        <f>SUM(BX144)</f>
        <v>0</v>
      </c>
      <c r="BY823" s="581">
        <f>SUM(BY144)</f>
        <v>0</v>
      </c>
      <c r="BZ823" s="398">
        <f t="shared" si="2632"/>
        <v>0</v>
      </c>
      <c r="CA823" s="398">
        <f t="shared" si="2633"/>
        <v>0</v>
      </c>
      <c r="CB823" s="398">
        <f t="shared" si="2634"/>
        <v>0</v>
      </c>
      <c r="CC823" s="465">
        <f t="shared" si="2635"/>
        <v>0</v>
      </c>
      <c r="CD823" s="1114" t="str">
        <f t="shared" si="2659"/>
        <v/>
      </c>
      <c r="CE823" s="1115" t="str">
        <f t="shared" si="2637"/>
        <v/>
      </c>
      <c r="CF823" s="1116" t="str">
        <f t="shared" si="2637"/>
        <v/>
      </c>
      <c r="CG823" s="1116" t="str">
        <f t="shared" si="2637"/>
        <v/>
      </c>
      <c r="CH823" s="1116">
        <f t="shared" si="2637"/>
        <v>0</v>
      </c>
      <c r="CI823" s="1116">
        <f t="shared" si="2637"/>
        <v>0</v>
      </c>
      <c r="CJ823" s="1116">
        <f t="shared" si="2637"/>
        <v>0</v>
      </c>
      <c r="CK823" s="1117">
        <f t="shared" si="2637"/>
        <v>0</v>
      </c>
      <c r="CL823" s="1117">
        <f t="shared" si="2637"/>
        <v>0</v>
      </c>
      <c r="CM823" s="1117">
        <f t="shared" si="2637"/>
        <v>0</v>
      </c>
      <c r="CN823" s="1116">
        <f t="shared" si="2637"/>
        <v>0</v>
      </c>
      <c r="CO823" s="1116">
        <f t="shared" si="2637"/>
        <v>0</v>
      </c>
      <c r="CP823" s="1116">
        <f t="shared" si="2637"/>
        <v>0</v>
      </c>
      <c r="CQ823" s="1116" t="str">
        <f t="shared" si="2637"/>
        <v/>
      </c>
      <c r="CR823" s="1116" t="str">
        <f t="shared" si="2637"/>
        <v/>
      </c>
      <c r="CS823" s="1115" t="str">
        <f t="shared" si="2637"/>
        <v/>
      </c>
      <c r="CT823" s="1118" t="str">
        <f t="shared" si="2637"/>
        <v/>
      </c>
      <c r="CU823" s="312" t="str">
        <f t="shared" si="2638"/>
        <v/>
      </c>
      <c r="CV823" s="313" t="str">
        <f t="shared" si="2639"/>
        <v/>
      </c>
      <c r="CW823" s="314" t="str">
        <f t="shared" si="2640"/>
        <v/>
      </c>
      <c r="CX823" s="314" t="str">
        <f t="shared" si="2641"/>
        <v/>
      </c>
      <c r="CY823" s="314">
        <f t="shared" si="2642"/>
        <v>0</v>
      </c>
      <c r="CZ823" s="314">
        <f t="shared" si="2643"/>
        <v>0</v>
      </c>
      <c r="DA823" s="314">
        <f t="shared" si="2644"/>
        <v>0</v>
      </c>
      <c r="DB823" s="315">
        <f t="shared" si="2645"/>
        <v>0</v>
      </c>
      <c r="DC823" s="315">
        <f t="shared" si="2646"/>
        <v>0</v>
      </c>
      <c r="DD823" s="315">
        <f t="shared" si="2647"/>
        <v>0</v>
      </c>
      <c r="DE823" s="314">
        <f t="shared" si="2648"/>
        <v>0</v>
      </c>
      <c r="DF823" s="314">
        <f t="shared" si="2649"/>
        <v>0</v>
      </c>
      <c r="DG823" s="314">
        <f t="shared" si="2650"/>
        <v>0</v>
      </c>
      <c r="DH823" s="314" t="str">
        <f t="shared" si="2651"/>
        <v/>
      </c>
      <c r="DI823" s="314" t="str">
        <f t="shared" si="2652"/>
        <v/>
      </c>
      <c r="DJ823" s="313" t="str">
        <f t="shared" si="2653"/>
        <v/>
      </c>
      <c r="DK823" s="312" t="str">
        <f t="shared" si="2654"/>
        <v/>
      </c>
      <c r="DL823" s="428">
        <f t="shared" si="2655"/>
        <v>9</v>
      </c>
      <c r="DM823" s="66">
        <f t="shared" si="2656"/>
        <v>9</v>
      </c>
      <c r="DN823" s="66">
        <f t="shared" si="2657"/>
        <v>9</v>
      </c>
      <c r="DO823" s="66">
        <f t="shared" si="2658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>SUM(B145)</f>
        <v>0</v>
      </c>
      <c r="C824" s="574">
        <f>SUM(C145)</f>
        <v>0</v>
      </c>
      <c r="D824" s="574">
        <f>SUM(D145)</f>
        <v>0</v>
      </c>
      <c r="E824" s="574">
        <f>SUM(E145)</f>
        <v>0</v>
      </c>
      <c r="F824" s="574">
        <f>SUM(F145)</f>
        <v>0</v>
      </c>
      <c r="G824" s="574">
        <f>SUM(G145)</f>
        <v>0</v>
      </c>
      <c r="H824" s="574">
        <f>SUM(H145)</f>
        <v>0</v>
      </c>
      <c r="I824" s="574">
        <f>SUM(I145)</f>
        <v>0</v>
      </c>
      <c r="J824" s="574">
        <f>SUM(J145)</f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>SUM(T145)</f>
        <v>0</v>
      </c>
      <c r="U824" s="574">
        <f>SUM(U145)</f>
        <v>0</v>
      </c>
      <c r="V824" s="574">
        <f>SUM(V145)</f>
        <v>0</v>
      </c>
      <c r="W824" s="574">
        <f>SUM(W145)</f>
        <v>0</v>
      </c>
      <c r="X824" s="574">
        <f>SUM(X145)</f>
        <v>0</v>
      </c>
      <c r="Y824" s="574">
        <f>SUM(Y145)</f>
        <v>0</v>
      </c>
      <c r="Z824" s="574">
        <f>SUM(Z145)</f>
        <v>0</v>
      </c>
      <c r="AA824" s="574">
        <f>SUM(AA145)</f>
        <v>0</v>
      </c>
      <c r="AB824" s="574">
        <f>SUM(AB145)</f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>SUM(AL145)</f>
        <v>0</v>
      </c>
      <c r="AM824" s="574">
        <f>SUM(AM145)</f>
        <v>0</v>
      </c>
      <c r="AN824" s="574">
        <f>SUM(AN145)</f>
        <v>0</v>
      </c>
      <c r="AO824" s="574">
        <f>SUM(AO145)</f>
        <v>0</v>
      </c>
      <c r="AP824" s="574">
        <f>SUM(AP145)</f>
        <v>0</v>
      </c>
      <c r="AQ824" s="574">
        <f>SUM(AQ145)</f>
        <v>0</v>
      </c>
      <c r="AR824" s="574">
        <f>SUM(AR145)</f>
        <v>0</v>
      </c>
      <c r="AS824" s="574">
        <f>SUM(AS145)</f>
        <v>0</v>
      </c>
      <c r="AT824" s="574">
        <f>SUM(AT145)</f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>SUM(BD145)</f>
        <v>0</v>
      </c>
      <c r="BE824" s="574">
        <f>SUM(BE145)</f>
        <v>0</v>
      </c>
      <c r="BF824" s="574">
        <f>SUM(BF145)</f>
        <v>0</v>
      </c>
      <c r="BG824" s="574">
        <f>SUM(BG145)</f>
        <v>0</v>
      </c>
      <c r="BH824" s="574">
        <f>SUM(BH145)</f>
        <v>0</v>
      </c>
      <c r="BI824" s="574">
        <f>SUM(BI145)</f>
        <v>0</v>
      </c>
      <c r="BJ824" s="574">
        <f>SUM(BJ145)</f>
        <v>0</v>
      </c>
      <c r="BK824" s="574">
        <f>SUM(BK145)</f>
        <v>0</v>
      </c>
      <c r="BL824" s="574">
        <f>SUM(BL145)</f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>SUM(BV145)</f>
        <v>0</v>
      </c>
      <c r="BW824" s="581">
        <f>SUM(BW145)</f>
        <v>0</v>
      </c>
      <c r="BX824" s="581">
        <f>SUM(BX145)</f>
        <v>0</v>
      </c>
      <c r="BY824" s="581">
        <f>SUM(BY145)</f>
        <v>0</v>
      </c>
      <c r="BZ824" s="398">
        <f t="shared" si="2632"/>
        <v>0</v>
      </c>
      <c r="CA824" s="398">
        <f t="shared" si="2633"/>
        <v>0</v>
      </c>
      <c r="CB824" s="398">
        <f t="shared" si="2634"/>
        <v>0</v>
      </c>
      <c r="CC824" s="465">
        <f t="shared" si="2635"/>
        <v>0</v>
      </c>
      <c r="CD824" s="1114" t="str">
        <f t="shared" si="2659"/>
        <v/>
      </c>
      <c r="CE824" s="1115" t="str">
        <f t="shared" si="2637"/>
        <v/>
      </c>
      <c r="CF824" s="1116" t="str">
        <f t="shared" si="2637"/>
        <v/>
      </c>
      <c r="CG824" s="1116" t="str">
        <f t="shared" si="2637"/>
        <v/>
      </c>
      <c r="CH824" s="1116">
        <f t="shared" si="2637"/>
        <v>0</v>
      </c>
      <c r="CI824" s="1116">
        <f t="shared" si="2637"/>
        <v>0</v>
      </c>
      <c r="CJ824" s="1116">
        <f t="shared" si="2637"/>
        <v>0</v>
      </c>
      <c r="CK824" s="1117">
        <f t="shared" si="2637"/>
        <v>0</v>
      </c>
      <c r="CL824" s="1117">
        <f t="shared" si="2637"/>
        <v>0</v>
      </c>
      <c r="CM824" s="1117">
        <f t="shared" si="2637"/>
        <v>0</v>
      </c>
      <c r="CN824" s="1116">
        <f t="shared" si="2637"/>
        <v>0</v>
      </c>
      <c r="CO824" s="1116">
        <f t="shared" si="2637"/>
        <v>0</v>
      </c>
      <c r="CP824" s="1116">
        <f t="shared" si="2637"/>
        <v>0</v>
      </c>
      <c r="CQ824" s="1116" t="str">
        <f t="shared" si="2637"/>
        <v/>
      </c>
      <c r="CR824" s="1116" t="str">
        <f t="shared" si="2637"/>
        <v/>
      </c>
      <c r="CS824" s="1115" t="str">
        <f t="shared" si="2637"/>
        <v/>
      </c>
      <c r="CT824" s="1118" t="str">
        <f t="shared" si="2637"/>
        <v/>
      </c>
      <c r="CU824" s="312" t="str">
        <f t="shared" si="2638"/>
        <v/>
      </c>
      <c r="CV824" s="313" t="str">
        <f t="shared" si="2639"/>
        <v/>
      </c>
      <c r="CW824" s="314" t="str">
        <f t="shared" si="2640"/>
        <v/>
      </c>
      <c r="CX824" s="314" t="str">
        <f t="shared" si="2641"/>
        <v/>
      </c>
      <c r="CY824" s="314">
        <f t="shared" si="2642"/>
        <v>0</v>
      </c>
      <c r="CZ824" s="314">
        <f t="shared" si="2643"/>
        <v>0</v>
      </c>
      <c r="DA824" s="314">
        <f t="shared" si="2644"/>
        <v>0</v>
      </c>
      <c r="DB824" s="315">
        <f t="shared" si="2645"/>
        <v>0</v>
      </c>
      <c r="DC824" s="315">
        <f t="shared" si="2646"/>
        <v>0</v>
      </c>
      <c r="DD824" s="315">
        <f t="shared" si="2647"/>
        <v>0</v>
      </c>
      <c r="DE824" s="314">
        <f t="shared" si="2648"/>
        <v>0</v>
      </c>
      <c r="DF824" s="314">
        <f t="shared" si="2649"/>
        <v>0</v>
      </c>
      <c r="DG824" s="314">
        <f t="shared" si="2650"/>
        <v>0</v>
      </c>
      <c r="DH824" s="314" t="str">
        <f t="shared" si="2651"/>
        <v/>
      </c>
      <c r="DI824" s="314" t="str">
        <f t="shared" si="2652"/>
        <v/>
      </c>
      <c r="DJ824" s="313" t="str">
        <f t="shared" si="2653"/>
        <v/>
      </c>
      <c r="DK824" s="312" t="str">
        <f t="shared" si="2654"/>
        <v/>
      </c>
      <c r="DL824" s="428">
        <f t="shared" si="2655"/>
        <v>9</v>
      </c>
      <c r="DM824" s="66">
        <f t="shared" si="2656"/>
        <v>9</v>
      </c>
      <c r="DN824" s="66">
        <f t="shared" si="2657"/>
        <v>9</v>
      </c>
      <c r="DO824" s="66">
        <f t="shared" si="2658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>SUM(B172)</f>
        <v>0</v>
      </c>
      <c r="C825" s="574">
        <f>SUM(C172)</f>
        <v>0</v>
      </c>
      <c r="D825" s="574">
        <f>SUM(D172)</f>
        <v>0</v>
      </c>
      <c r="E825" s="574">
        <f>SUM(E172)</f>
        <v>0</v>
      </c>
      <c r="F825" s="574">
        <f>SUM(F172)</f>
        <v>0</v>
      </c>
      <c r="G825" s="574">
        <f>SUM(G172)</f>
        <v>0</v>
      </c>
      <c r="H825" s="574">
        <f>SUM(H172)</f>
        <v>0</v>
      </c>
      <c r="I825" s="574">
        <f>SUM(I172)</f>
        <v>0</v>
      </c>
      <c r="J825" s="574">
        <f>SUM(J172)</f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>SUM(T172)</f>
        <v>0</v>
      </c>
      <c r="U825" s="574">
        <f>SUM(U172)</f>
        <v>0</v>
      </c>
      <c r="V825" s="574">
        <f>SUM(V172)</f>
        <v>0</v>
      </c>
      <c r="W825" s="574">
        <f>SUM(W172)</f>
        <v>0</v>
      </c>
      <c r="X825" s="574">
        <f>SUM(X172)</f>
        <v>0</v>
      </c>
      <c r="Y825" s="574">
        <f>SUM(Y172)</f>
        <v>0</v>
      </c>
      <c r="Z825" s="574">
        <f>SUM(Z172)</f>
        <v>0</v>
      </c>
      <c r="AA825" s="574">
        <f>SUM(AA172)</f>
        <v>0</v>
      </c>
      <c r="AB825" s="574">
        <f>SUM(AB172)</f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>SUM(AL172)</f>
        <v>0</v>
      </c>
      <c r="AM825" s="574">
        <f>SUM(AM172)</f>
        <v>0</v>
      </c>
      <c r="AN825" s="574">
        <f>SUM(AN172)</f>
        <v>0</v>
      </c>
      <c r="AO825" s="574">
        <f>SUM(AO172)</f>
        <v>0</v>
      </c>
      <c r="AP825" s="574">
        <f>SUM(AP172)</f>
        <v>0</v>
      </c>
      <c r="AQ825" s="574">
        <f>SUM(AQ172)</f>
        <v>0</v>
      </c>
      <c r="AR825" s="574">
        <f>SUM(AR172)</f>
        <v>0</v>
      </c>
      <c r="AS825" s="574">
        <f>SUM(AS172)</f>
        <v>0</v>
      </c>
      <c r="AT825" s="574">
        <f>SUM(AT172)</f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>SUM(BD172)</f>
        <v>0</v>
      </c>
      <c r="BE825" s="574">
        <f>SUM(BE172)</f>
        <v>0</v>
      </c>
      <c r="BF825" s="574">
        <f>SUM(BF172)</f>
        <v>0</v>
      </c>
      <c r="BG825" s="574">
        <f>SUM(BG172)</f>
        <v>0</v>
      </c>
      <c r="BH825" s="574">
        <f>SUM(BH172)</f>
        <v>0</v>
      </c>
      <c r="BI825" s="574">
        <f>SUM(BI172)</f>
        <v>0</v>
      </c>
      <c r="BJ825" s="574">
        <f>SUM(BJ172)</f>
        <v>0</v>
      </c>
      <c r="BK825" s="574">
        <f>SUM(BK172)</f>
        <v>0</v>
      </c>
      <c r="BL825" s="574">
        <f>SUM(BL172)</f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>SUM(BV172)</f>
        <v>0</v>
      </c>
      <c r="BW825" s="581">
        <f>SUM(BW172)</f>
        <v>0</v>
      </c>
      <c r="BX825" s="581">
        <f>SUM(BX172)</f>
        <v>0</v>
      </c>
      <c r="BY825" s="581">
        <f>SUM(BY172)</f>
        <v>0</v>
      </c>
      <c r="BZ825" s="398">
        <f t="shared" si="2632"/>
        <v>0</v>
      </c>
      <c r="CA825" s="398">
        <f t="shared" si="2633"/>
        <v>0</v>
      </c>
      <c r="CB825" s="398">
        <f t="shared" si="2634"/>
        <v>0</v>
      </c>
      <c r="CC825" s="465">
        <f t="shared" si="2635"/>
        <v>0</v>
      </c>
      <c r="CD825" s="1114" t="str">
        <f t="shared" si="2659"/>
        <v/>
      </c>
      <c r="CE825" s="1115" t="str">
        <f t="shared" si="2637"/>
        <v/>
      </c>
      <c r="CF825" s="1116" t="str">
        <f t="shared" si="2637"/>
        <v/>
      </c>
      <c r="CG825" s="1116" t="str">
        <f t="shared" si="2637"/>
        <v/>
      </c>
      <c r="CH825" s="1116">
        <f t="shared" si="2637"/>
        <v>0</v>
      </c>
      <c r="CI825" s="1116">
        <f t="shared" si="2637"/>
        <v>0</v>
      </c>
      <c r="CJ825" s="1116">
        <f t="shared" si="2637"/>
        <v>0</v>
      </c>
      <c r="CK825" s="1117">
        <f t="shared" si="2637"/>
        <v>0</v>
      </c>
      <c r="CL825" s="1117">
        <f t="shared" si="2637"/>
        <v>0</v>
      </c>
      <c r="CM825" s="1117">
        <f t="shared" si="2637"/>
        <v>0</v>
      </c>
      <c r="CN825" s="1116">
        <f t="shared" si="2637"/>
        <v>0</v>
      </c>
      <c r="CO825" s="1116">
        <f t="shared" si="2637"/>
        <v>0</v>
      </c>
      <c r="CP825" s="1116">
        <f t="shared" si="2637"/>
        <v>0</v>
      </c>
      <c r="CQ825" s="1116" t="str">
        <f t="shared" si="2637"/>
        <v/>
      </c>
      <c r="CR825" s="1116" t="str">
        <f t="shared" si="2637"/>
        <v/>
      </c>
      <c r="CS825" s="1115" t="str">
        <f t="shared" si="2637"/>
        <v/>
      </c>
      <c r="CT825" s="1118" t="str">
        <f t="shared" si="2637"/>
        <v/>
      </c>
      <c r="CU825" s="312" t="str">
        <f t="shared" si="2638"/>
        <v/>
      </c>
      <c r="CV825" s="313" t="str">
        <f t="shared" si="2639"/>
        <v/>
      </c>
      <c r="CW825" s="314" t="str">
        <f t="shared" si="2640"/>
        <v/>
      </c>
      <c r="CX825" s="314" t="str">
        <f t="shared" si="2641"/>
        <v/>
      </c>
      <c r="CY825" s="314">
        <f t="shared" si="2642"/>
        <v>0</v>
      </c>
      <c r="CZ825" s="314">
        <f t="shared" si="2643"/>
        <v>0</v>
      </c>
      <c r="DA825" s="314">
        <f t="shared" si="2644"/>
        <v>0</v>
      </c>
      <c r="DB825" s="315">
        <f t="shared" si="2645"/>
        <v>0</v>
      </c>
      <c r="DC825" s="315">
        <f t="shared" si="2646"/>
        <v>0</v>
      </c>
      <c r="DD825" s="315">
        <f t="shared" si="2647"/>
        <v>0</v>
      </c>
      <c r="DE825" s="314">
        <f t="shared" si="2648"/>
        <v>0</v>
      </c>
      <c r="DF825" s="314">
        <f t="shared" si="2649"/>
        <v>0</v>
      </c>
      <c r="DG825" s="314">
        <f t="shared" si="2650"/>
        <v>0</v>
      </c>
      <c r="DH825" s="314" t="str">
        <f t="shared" si="2651"/>
        <v/>
      </c>
      <c r="DI825" s="314" t="str">
        <f t="shared" si="2652"/>
        <v/>
      </c>
      <c r="DJ825" s="313" t="str">
        <f t="shared" si="2653"/>
        <v/>
      </c>
      <c r="DK825" s="312" t="str">
        <f t="shared" si="2654"/>
        <v/>
      </c>
      <c r="DL825" s="428">
        <f t="shared" si="2655"/>
        <v>9</v>
      </c>
      <c r="DM825" s="66">
        <f t="shared" si="2656"/>
        <v>9</v>
      </c>
      <c r="DN825" s="66">
        <f t="shared" si="2657"/>
        <v>9</v>
      </c>
      <c r="DO825" s="66">
        <f t="shared" si="2658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>SUM(B173)</f>
        <v>0</v>
      </c>
      <c r="C826" s="574">
        <f>SUM(C173)</f>
        <v>0</v>
      </c>
      <c r="D826" s="574">
        <f>SUM(D173)</f>
        <v>0</v>
      </c>
      <c r="E826" s="574">
        <f>SUM(E173)</f>
        <v>0</v>
      </c>
      <c r="F826" s="574">
        <f>SUM(F173)</f>
        <v>0</v>
      </c>
      <c r="G826" s="574">
        <f>SUM(G173)</f>
        <v>0</v>
      </c>
      <c r="H826" s="574">
        <f>SUM(H173)</f>
        <v>0</v>
      </c>
      <c r="I826" s="574">
        <f>SUM(I173)</f>
        <v>0</v>
      </c>
      <c r="J826" s="574">
        <f>SUM(J173)</f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>SUM(T173)</f>
        <v>0</v>
      </c>
      <c r="U826" s="574">
        <f>SUM(U173)</f>
        <v>0</v>
      </c>
      <c r="V826" s="574">
        <f>SUM(V173)</f>
        <v>0</v>
      </c>
      <c r="W826" s="574">
        <f>SUM(W173)</f>
        <v>0</v>
      </c>
      <c r="X826" s="574">
        <f>SUM(X173)</f>
        <v>0</v>
      </c>
      <c r="Y826" s="574">
        <f>SUM(Y173)</f>
        <v>0</v>
      </c>
      <c r="Z826" s="574">
        <f>SUM(Z173)</f>
        <v>0</v>
      </c>
      <c r="AA826" s="574">
        <f>SUM(AA173)</f>
        <v>0</v>
      </c>
      <c r="AB826" s="574">
        <f>SUM(AB173)</f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>SUM(AL173)</f>
        <v>0</v>
      </c>
      <c r="AM826" s="574">
        <f>SUM(AM173)</f>
        <v>0</v>
      </c>
      <c r="AN826" s="574">
        <f>SUM(AN173)</f>
        <v>0</v>
      </c>
      <c r="AO826" s="574">
        <f>SUM(AO173)</f>
        <v>0</v>
      </c>
      <c r="AP826" s="574">
        <f>SUM(AP173)</f>
        <v>0</v>
      </c>
      <c r="AQ826" s="574">
        <f>SUM(AQ173)</f>
        <v>0</v>
      </c>
      <c r="AR826" s="574">
        <f>SUM(AR173)</f>
        <v>0</v>
      </c>
      <c r="AS826" s="574">
        <f>SUM(AS173)</f>
        <v>0</v>
      </c>
      <c r="AT826" s="574">
        <f>SUM(AT173)</f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>SUM(BD173)</f>
        <v>0</v>
      </c>
      <c r="BE826" s="574">
        <f>SUM(BE173)</f>
        <v>0</v>
      </c>
      <c r="BF826" s="574">
        <f>SUM(BF173)</f>
        <v>0</v>
      </c>
      <c r="BG826" s="574">
        <f>SUM(BG173)</f>
        <v>0</v>
      </c>
      <c r="BH826" s="574">
        <f>SUM(BH173)</f>
        <v>0</v>
      </c>
      <c r="BI826" s="574">
        <f>SUM(BI173)</f>
        <v>0</v>
      </c>
      <c r="BJ826" s="574">
        <f>SUM(BJ173)</f>
        <v>0</v>
      </c>
      <c r="BK826" s="574">
        <f>SUM(BK173)</f>
        <v>0</v>
      </c>
      <c r="BL826" s="574">
        <f>SUM(BL173)</f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>SUM(BV173)</f>
        <v>0</v>
      </c>
      <c r="BW826" s="581">
        <f>SUM(BW173)</f>
        <v>0</v>
      </c>
      <c r="BX826" s="581">
        <f>SUM(BX173)</f>
        <v>0</v>
      </c>
      <c r="BY826" s="581">
        <f>SUM(BY173)</f>
        <v>0</v>
      </c>
      <c r="BZ826" s="398">
        <f t="shared" si="2632"/>
        <v>0</v>
      </c>
      <c r="CA826" s="398">
        <f t="shared" si="2633"/>
        <v>0</v>
      </c>
      <c r="CB826" s="398">
        <f t="shared" si="2634"/>
        <v>0</v>
      </c>
      <c r="CC826" s="465">
        <f t="shared" si="2635"/>
        <v>0</v>
      </c>
      <c r="CD826" s="1114" t="str">
        <f t="shared" si="2659"/>
        <v/>
      </c>
      <c r="CE826" s="1115" t="str">
        <f t="shared" si="2637"/>
        <v/>
      </c>
      <c r="CF826" s="1116" t="str">
        <f t="shared" si="2637"/>
        <v/>
      </c>
      <c r="CG826" s="1116" t="str">
        <f t="shared" si="2637"/>
        <v/>
      </c>
      <c r="CH826" s="1116">
        <f t="shared" si="2637"/>
        <v>0</v>
      </c>
      <c r="CI826" s="1116">
        <f t="shared" si="2637"/>
        <v>0</v>
      </c>
      <c r="CJ826" s="1116">
        <f t="shared" si="2637"/>
        <v>0</v>
      </c>
      <c r="CK826" s="1117">
        <f t="shared" si="2637"/>
        <v>0</v>
      </c>
      <c r="CL826" s="1117">
        <f t="shared" si="2637"/>
        <v>0</v>
      </c>
      <c r="CM826" s="1117">
        <f t="shared" si="2637"/>
        <v>0</v>
      </c>
      <c r="CN826" s="1116">
        <f t="shared" si="2637"/>
        <v>0</v>
      </c>
      <c r="CO826" s="1116">
        <f t="shared" si="2637"/>
        <v>0</v>
      </c>
      <c r="CP826" s="1116">
        <f t="shared" si="2637"/>
        <v>0</v>
      </c>
      <c r="CQ826" s="1116" t="str">
        <f t="shared" si="2637"/>
        <v/>
      </c>
      <c r="CR826" s="1116" t="str">
        <f t="shared" si="2637"/>
        <v/>
      </c>
      <c r="CS826" s="1115" t="str">
        <f t="shared" si="2637"/>
        <v/>
      </c>
      <c r="CT826" s="1118" t="str">
        <f t="shared" si="2637"/>
        <v/>
      </c>
      <c r="CU826" s="312" t="str">
        <f t="shared" si="2638"/>
        <v/>
      </c>
      <c r="CV826" s="313" t="str">
        <f t="shared" si="2639"/>
        <v/>
      </c>
      <c r="CW826" s="314" t="str">
        <f t="shared" si="2640"/>
        <v/>
      </c>
      <c r="CX826" s="314" t="str">
        <f t="shared" si="2641"/>
        <v/>
      </c>
      <c r="CY826" s="314">
        <f t="shared" si="2642"/>
        <v>0</v>
      </c>
      <c r="CZ826" s="314">
        <f t="shared" si="2643"/>
        <v>0</v>
      </c>
      <c r="DA826" s="314">
        <f t="shared" si="2644"/>
        <v>0</v>
      </c>
      <c r="DB826" s="315">
        <f t="shared" si="2645"/>
        <v>0</v>
      </c>
      <c r="DC826" s="315">
        <f t="shared" si="2646"/>
        <v>0</v>
      </c>
      <c r="DD826" s="315">
        <f t="shared" si="2647"/>
        <v>0</v>
      </c>
      <c r="DE826" s="314">
        <f t="shared" si="2648"/>
        <v>0</v>
      </c>
      <c r="DF826" s="314">
        <f t="shared" si="2649"/>
        <v>0</v>
      </c>
      <c r="DG826" s="314">
        <f t="shared" si="2650"/>
        <v>0</v>
      </c>
      <c r="DH826" s="314" t="str">
        <f t="shared" si="2651"/>
        <v/>
      </c>
      <c r="DI826" s="314" t="str">
        <f t="shared" si="2652"/>
        <v/>
      </c>
      <c r="DJ826" s="313" t="str">
        <f t="shared" si="2653"/>
        <v/>
      </c>
      <c r="DK826" s="312" t="str">
        <f t="shared" si="2654"/>
        <v/>
      </c>
      <c r="DL826" s="428">
        <f t="shared" si="2655"/>
        <v>9</v>
      </c>
      <c r="DM826" s="66">
        <f t="shared" si="2656"/>
        <v>9</v>
      </c>
      <c r="DN826" s="66">
        <f t="shared" si="2657"/>
        <v>9</v>
      </c>
      <c r="DO826" s="66">
        <f t="shared" si="2658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>SUM(B183,B180,B177)</f>
        <v>0</v>
      </c>
      <c r="C827" s="574">
        <f>SUM(C183,C180,C177)</f>
        <v>0</v>
      </c>
      <c r="D827" s="574">
        <f>SUM(D183,D180,D177)</f>
        <v>0</v>
      </c>
      <c r="E827" s="574">
        <f>SUM(E183,E180,E177)</f>
        <v>0</v>
      </c>
      <c r="F827" s="574">
        <f>SUM(F183,F180,F177)</f>
        <v>0</v>
      </c>
      <c r="G827" s="574">
        <f>SUM(G183,G180,G177)</f>
        <v>0</v>
      </c>
      <c r="H827" s="574">
        <f>SUM(H183,H180,H177)</f>
        <v>0</v>
      </c>
      <c r="I827" s="574">
        <f>SUM(I183,I180,I177)</f>
        <v>0</v>
      </c>
      <c r="J827" s="574">
        <f>SUM(J183,J180,J177)</f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>SUM(T183,T180,T177)</f>
        <v>0</v>
      </c>
      <c r="U827" s="574">
        <f>SUM(U183,U180,U177)</f>
        <v>0</v>
      </c>
      <c r="V827" s="574">
        <f>SUM(V183,V180,V177)</f>
        <v>0</v>
      </c>
      <c r="W827" s="574">
        <f>SUM(W183,W180,W177)</f>
        <v>0</v>
      </c>
      <c r="X827" s="574">
        <f>SUM(X183,X180,X177)</f>
        <v>0</v>
      </c>
      <c r="Y827" s="574">
        <f>SUM(Y183,Y180,Y177)</f>
        <v>0</v>
      </c>
      <c r="Z827" s="574">
        <f>SUM(Z183,Z180,Z177)</f>
        <v>0</v>
      </c>
      <c r="AA827" s="574">
        <f>SUM(AA183,AA180,AA177)</f>
        <v>0</v>
      </c>
      <c r="AB827" s="574">
        <f>SUM(AB183,AB180,AB177)</f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>SUM(AL183,AL180,AL177)</f>
        <v>1.7197414457688433E-2</v>
      </c>
      <c r="AM827" s="574">
        <f>SUM(AM183,AM180,AM177)</f>
        <v>3.9410741465535993E-3</v>
      </c>
      <c r="AN827" s="574">
        <f>SUM(AN183,AN180,AN177)</f>
        <v>0</v>
      </c>
      <c r="AO827" s="574">
        <f>SUM(AO183,AO180,AO177)</f>
        <v>5.9116112198303985E-3</v>
      </c>
      <c r="AP827" s="574">
        <f>SUM(AP183,AP180,AP177)</f>
        <v>0</v>
      </c>
      <c r="AQ827" s="574">
        <f>SUM(AQ183,AQ180,AQ177)</f>
        <v>9.2411393781256804E-2</v>
      </c>
      <c r="AR827" s="574">
        <f>SUM(AR183,AR180,AR177)</f>
        <v>5.9116112198303985E-3</v>
      </c>
      <c r="AS827" s="574">
        <f>SUM(AS183,AS180,AS177)</f>
        <v>6.9308545335942606E-2</v>
      </c>
      <c r="AT827" s="574">
        <f>SUM(AT183,AT180,AT177)</f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>SUM(BD183,BD180,BD177)</f>
        <v>0</v>
      </c>
      <c r="BE827" s="574">
        <f>SUM(BE183,BE180,BE177)</f>
        <v>7.8821482931071985E-3</v>
      </c>
      <c r="BF827" s="574">
        <f>SUM(BF183,BF180,BF177)</f>
        <v>4.7292889758643189E-3</v>
      </c>
      <c r="BG827" s="574">
        <f>SUM(BG183,BG180,BG177)</f>
        <v>9.4585779517286379E-3</v>
      </c>
      <c r="BH827" s="574">
        <f>SUM(BH183,BH180,BH177)</f>
        <v>0</v>
      </c>
      <c r="BI827" s="574">
        <f>SUM(BI183,BI180,BI177)</f>
        <v>0</v>
      </c>
      <c r="BJ827" s="574">
        <f>SUM(BJ183,BJ180,BJ177)</f>
        <v>0</v>
      </c>
      <c r="BK827" s="574">
        <f>SUM(BK183,BK180,BK177)</f>
        <v>5.4087845183735606E-2</v>
      </c>
      <c r="BL827" s="574">
        <f>SUM(BL183,BL180,BL177)</f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632"/>
        <v>0</v>
      </c>
      <c r="CA827" s="398">
        <f t="shared" si="2633"/>
        <v>0</v>
      </c>
      <c r="CB827" s="398">
        <f t="shared" si="2634"/>
        <v>2.2531013235514215E-2</v>
      </c>
      <c r="CC827" s="465">
        <f t="shared" si="2635"/>
        <v>3.1528593172428787E-3</v>
      </c>
      <c r="CD827" s="1114" t="str">
        <f t="shared" si="2659"/>
        <v/>
      </c>
      <c r="CE827" s="1115" t="str">
        <f t="shared" si="2637"/>
        <v/>
      </c>
      <c r="CF827" s="1116" t="str">
        <f t="shared" si="2637"/>
        <v/>
      </c>
      <c r="CG827" s="1116" t="str">
        <f t="shared" si="2637"/>
        <v/>
      </c>
      <c r="CH827" s="1116">
        <f t="shared" si="2637"/>
        <v>0</v>
      </c>
      <c r="CI827" s="1116">
        <f t="shared" si="2637"/>
        <v>0</v>
      </c>
      <c r="CJ827" s="1116">
        <f t="shared" si="2637"/>
        <v>0</v>
      </c>
      <c r="CK827" s="1117">
        <f t="shared" si="2637"/>
        <v>0</v>
      </c>
      <c r="CL827" s="1117">
        <f t="shared" si="2637"/>
        <v>0</v>
      </c>
      <c r="CM827" s="1117">
        <f t="shared" si="2637"/>
        <v>0</v>
      </c>
      <c r="CN827" s="1116">
        <f t="shared" si="2637"/>
        <v>0</v>
      </c>
      <c r="CO827" s="1116">
        <f t="shared" si="2637"/>
        <v>0</v>
      </c>
      <c r="CP827" s="1116">
        <f t="shared" si="2637"/>
        <v>0</v>
      </c>
      <c r="CQ827" s="1116" t="str">
        <f t="shared" si="2637"/>
        <v/>
      </c>
      <c r="CR827" s="1116" t="str">
        <f t="shared" si="2637"/>
        <v/>
      </c>
      <c r="CS827" s="1115" t="str">
        <f t="shared" si="2637"/>
        <v/>
      </c>
      <c r="CT827" s="1118" t="str">
        <f t="shared" si="2637"/>
        <v/>
      </c>
      <c r="CU827" s="312" t="str">
        <f t="shared" si="2638"/>
        <v/>
      </c>
      <c r="CV827" s="313" t="str">
        <f t="shared" si="2639"/>
        <v/>
      </c>
      <c r="CW827" s="314" t="str">
        <f t="shared" si="2640"/>
        <v/>
      </c>
      <c r="CX827" s="314" t="str">
        <f t="shared" si="2641"/>
        <v/>
      </c>
      <c r="CY827" s="314">
        <f t="shared" si="2642"/>
        <v>0</v>
      </c>
      <c r="CZ827" s="314">
        <f t="shared" si="2643"/>
        <v>0</v>
      </c>
      <c r="DA827" s="314">
        <f t="shared" si="2644"/>
        <v>0</v>
      </c>
      <c r="DB827" s="315">
        <f t="shared" si="2645"/>
        <v>0</v>
      </c>
      <c r="DC827" s="315">
        <f t="shared" si="2646"/>
        <v>0</v>
      </c>
      <c r="DD827" s="315">
        <f t="shared" si="2647"/>
        <v>0</v>
      </c>
      <c r="DE827" s="314">
        <f t="shared" si="2648"/>
        <v>0</v>
      </c>
      <c r="DF827" s="314">
        <f t="shared" si="2649"/>
        <v>0</v>
      </c>
      <c r="DG827" s="314">
        <f t="shared" si="2650"/>
        <v>0</v>
      </c>
      <c r="DH827" s="314" t="str">
        <f t="shared" si="2651"/>
        <v/>
      </c>
      <c r="DI827" s="314" t="str">
        <f t="shared" si="2652"/>
        <v/>
      </c>
      <c r="DJ827" s="313" t="str">
        <f t="shared" si="2653"/>
        <v/>
      </c>
      <c r="DK827" s="312" t="str">
        <f t="shared" si="2654"/>
        <v/>
      </c>
      <c r="DL827" s="428">
        <f t="shared" si="2655"/>
        <v>9</v>
      </c>
      <c r="DM827" s="66">
        <f t="shared" si="2656"/>
        <v>9</v>
      </c>
      <c r="DN827" s="66">
        <f t="shared" si="2657"/>
        <v>9</v>
      </c>
      <c r="DO827" s="66">
        <f t="shared" si="2658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19"/>
      <c r="CE828" s="1156"/>
      <c r="CF828" s="1156"/>
      <c r="CG828" s="1156"/>
      <c r="CH828" s="1156"/>
      <c r="CI828" s="1156"/>
      <c r="CJ828" s="1156"/>
      <c r="CK828" s="1156"/>
      <c r="CL828" s="1156"/>
      <c r="CM828" s="1156"/>
      <c r="CN828" s="1156"/>
      <c r="CO828" s="1156"/>
      <c r="CP828" s="1156"/>
      <c r="CQ828" s="1156"/>
      <c r="CR828" s="1156"/>
      <c r="CS828" s="1156"/>
      <c r="CT828" s="1121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660">SUM(B229)</f>
        <v>4.2500000000000003E-2</v>
      </c>
      <c r="C829" s="581">
        <f t="shared" si="2660"/>
        <v>4.2500000000000003E-2</v>
      </c>
      <c r="D829" s="581">
        <f t="shared" si="2660"/>
        <v>4.2500000000000003E-2</v>
      </c>
      <c r="E829" s="581">
        <f t="shared" si="2660"/>
        <v>4.2500000000000003E-2</v>
      </c>
      <c r="F829" s="581">
        <f t="shared" si="2660"/>
        <v>4.2500000000000003E-2</v>
      </c>
      <c r="G829" s="581">
        <f t="shared" si="2660"/>
        <v>4.2500000000000003E-2</v>
      </c>
      <c r="H829" s="581">
        <f t="shared" si="2660"/>
        <v>4.2500000000000003E-2</v>
      </c>
      <c r="I829" s="581">
        <f t="shared" si="2660"/>
        <v>4.2500000000000003E-2</v>
      </c>
      <c r="J829" s="581">
        <f t="shared" si="2660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661">SUM(T229)</f>
        <v>2.8333333333333335E-2</v>
      </c>
      <c r="U829" s="581">
        <f t="shared" si="2661"/>
        <v>2.8333333333333335E-2</v>
      </c>
      <c r="V829" s="581">
        <f t="shared" si="2661"/>
        <v>2.8333333333333335E-2</v>
      </c>
      <c r="W829" s="581">
        <f t="shared" si="2661"/>
        <v>0.17</v>
      </c>
      <c r="X829" s="581">
        <f t="shared" si="2661"/>
        <v>2.8333333333333335E-2</v>
      </c>
      <c r="Y829" s="581">
        <f t="shared" si="2661"/>
        <v>2.8333333333333335E-2</v>
      </c>
      <c r="Z829" s="581">
        <f t="shared" si="2661"/>
        <v>2.8333333333333335E-2</v>
      </c>
      <c r="AA829" s="581">
        <f t="shared" si="2661"/>
        <v>2.8333333333333335E-2</v>
      </c>
      <c r="AB829" s="581">
        <f t="shared" si="2661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662">SUM(AL229)</f>
        <v>1.4166666666666668E-2</v>
      </c>
      <c r="AM829" s="581">
        <f t="shared" si="2662"/>
        <v>1.4166666666666668E-2</v>
      </c>
      <c r="AN829" s="581">
        <f t="shared" si="2662"/>
        <v>1.4166666666666668E-2</v>
      </c>
      <c r="AO829" s="581">
        <f t="shared" si="2662"/>
        <v>1.4166666666666668E-2</v>
      </c>
      <c r="AP829" s="581">
        <f t="shared" si="2662"/>
        <v>1.4166666666666668E-2</v>
      </c>
      <c r="AQ829" s="581">
        <f t="shared" si="2662"/>
        <v>1.4166666666666668E-2</v>
      </c>
      <c r="AR829" s="581">
        <f t="shared" si="2662"/>
        <v>1.4166666666666668E-2</v>
      </c>
      <c r="AS829" s="581">
        <f t="shared" si="2662"/>
        <v>1.4166666666666668E-2</v>
      </c>
      <c r="AT829" s="581">
        <f t="shared" si="2662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663">SUM(BD229)</f>
        <v>1.4166666666666668E-2</v>
      </c>
      <c r="BE829" s="581">
        <f t="shared" si="2663"/>
        <v>1.4166666666666668E-2</v>
      </c>
      <c r="BF829" s="581">
        <f t="shared" si="2663"/>
        <v>1.4166666666666668E-2</v>
      </c>
      <c r="BG829" s="581">
        <f t="shared" si="2663"/>
        <v>1.4166666666666668E-2</v>
      </c>
      <c r="BH829" s="581">
        <f t="shared" si="2663"/>
        <v>1.4166666666666668E-2</v>
      </c>
      <c r="BI829" s="581">
        <f t="shared" si="2663"/>
        <v>1.4166666666666668E-2</v>
      </c>
      <c r="BJ829" s="581">
        <f t="shared" si="2663"/>
        <v>1.4166666666666668E-2</v>
      </c>
      <c r="BK829" s="581">
        <f t="shared" si="2663"/>
        <v>1.4166666666666668E-2</v>
      </c>
      <c r="BL829" s="581">
        <f t="shared" si="2663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664">IF(DL829&lt;3,"",(SUM(B829:R829)-MIN(B829:R829)-MAX(B829:R829))/(DL829-2))</f>
        <v>4.2499999999999996E-2</v>
      </c>
      <c r="CA829" s="398">
        <f t="shared" ref="CA829:CA848" si="2665">IF(DM829&lt;3,"",(SUM(T829:AJ829)-MIN(T829:AJ829)-MAX(T829:AJ829))/(DM829-2))</f>
        <v>2.8333333333333325E-2</v>
      </c>
      <c r="CB829" s="398">
        <f t="shared" ref="CB829:CB848" si="2666">IF(DN829&lt;3,"",(SUM(AL829:BB829)-MIN(AL829:BB829)-MAX(AL829:BB829))/(DN829-2))</f>
        <v>1.4166666666666664E-2</v>
      </c>
      <c r="CC829" s="465">
        <f t="shared" ref="CC829:CC848" si="2667">IF(DO829&lt;3,"",(SUM(BD829:BT829)-MIN(BD829:BT829)-MAX(BD829:BT829))/(DO829-2))</f>
        <v>1.4166666666666664E-2</v>
      </c>
      <c r="CD829" s="1114" t="str">
        <f t="shared" ref="CD829:CS829" si="266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5" t="str">
        <f t="shared" si="2668"/>
        <v/>
      </c>
      <c r="CF829" s="1116" t="str">
        <f t="shared" si="2668"/>
        <v/>
      </c>
      <c r="CG829" s="1116" t="str">
        <f t="shared" si="2668"/>
        <v/>
      </c>
      <c r="CH829" s="1116">
        <f t="shared" si="2668"/>
        <v>4.2500000000000003E-2</v>
      </c>
      <c r="CI829" s="1116">
        <f t="shared" si="2668"/>
        <v>4.2500000000000003E-2</v>
      </c>
      <c r="CJ829" s="1116">
        <f t="shared" si="2668"/>
        <v>4.2500000000000003E-2</v>
      </c>
      <c r="CK829" s="1117">
        <f t="shared" si="2668"/>
        <v>4.2500000000000003E-2</v>
      </c>
      <c r="CL829" s="1117">
        <f t="shared" si="2668"/>
        <v>4.2500000000000003E-2</v>
      </c>
      <c r="CM829" s="1117">
        <f t="shared" si="2668"/>
        <v>4.2500000000000003E-2</v>
      </c>
      <c r="CN829" s="1116">
        <f t="shared" si="2668"/>
        <v>4.2500000000000003E-2</v>
      </c>
      <c r="CO829" s="1116">
        <f t="shared" si="2668"/>
        <v>4.2500000000000003E-2</v>
      </c>
      <c r="CP829" s="1116">
        <f t="shared" si="2668"/>
        <v>4.2500000000000003E-2</v>
      </c>
      <c r="CQ829" s="1116" t="str">
        <f t="shared" si="2668"/>
        <v/>
      </c>
      <c r="CR829" s="1116" t="str">
        <f t="shared" si="2668"/>
        <v/>
      </c>
      <c r="CS829" s="1115" t="str">
        <f t="shared" si="2668"/>
        <v/>
      </c>
      <c r="CT829" s="1118" t="str">
        <f t="shared" ref="CE829:CT845" si="266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67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67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67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67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67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67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67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67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67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67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68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68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68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68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68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68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68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687">COUNT(B829:R829)</f>
        <v>9</v>
      </c>
      <c r="DM829" s="66">
        <f t="shared" ref="DM829:DM848" si="2688">COUNT(T829:AJ829)</f>
        <v>9</v>
      </c>
      <c r="DN829" s="66">
        <f t="shared" ref="DN829:DN848" si="2689">COUNT(AL829:BB829)</f>
        <v>9</v>
      </c>
      <c r="DO829" s="66">
        <f t="shared" ref="DO829:DO848" si="2690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691">SUM(B232)</f>
        <v>5.6666666666666671E-2</v>
      </c>
      <c r="C830" s="581">
        <f t="shared" si="2691"/>
        <v>5.6666666666666671E-2</v>
      </c>
      <c r="D830" s="581">
        <f t="shared" si="2691"/>
        <v>5.6666666666666671E-2</v>
      </c>
      <c r="E830" s="581">
        <f t="shared" si="2691"/>
        <v>5.6666666666666671E-2</v>
      </c>
      <c r="F830" s="581">
        <f t="shared" si="2691"/>
        <v>5.6666666666666671E-2</v>
      </c>
      <c r="G830" s="581">
        <f t="shared" si="2691"/>
        <v>5.6666666666666671E-2</v>
      </c>
      <c r="H830" s="581">
        <f t="shared" si="2691"/>
        <v>5.6666666666666671E-2</v>
      </c>
      <c r="I830" s="581">
        <f t="shared" si="2691"/>
        <v>5.6666666666666671E-2</v>
      </c>
      <c r="J830" s="581">
        <f t="shared" si="2691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692">SUM(T232)</f>
        <v>4.2500000000000003E-2</v>
      </c>
      <c r="U830" s="581">
        <f t="shared" si="2692"/>
        <v>4.2500000000000003E-2</v>
      </c>
      <c r="V830" s="581">
        <f t="shared" si="2692"/>
        <v>4.2500000000000003E-2</v>
      </c>
      <c r="W830" s="581">
        <f t="shared" si="2692"/>
        <v>4.2500000000000003E-2</v>
      </c>
      <c r="X830" s="581">
        <f t="shared" si="2692"/>
        <v>4.2500000000000003E-2</v>
      </c>
      <c r="Y830" s="581">
        <f t="shared" si="2692"/>
        <v>4.2500000000000003E-2</v>
      </c>
      <c r="Z830" s="581">
        <f t="shared" si="2692"/>
        <v>4.2500000000000003E-2</v>
      </c>
      <c r="AA830" s="581">
        <f t="shared" si="2692"/>
        <v>4.2500000000000003E-2</v>
      </c>
      <c r="AB830" s="581">
        <f t="shared" si="2692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693">SUM(AL232)</f>
        <v>2.8333333333333335E-2</v>
      </c>
      <c r="AM830" s="581">
        <f t="shared" si="2693"/>
        <v>2.8333333333333335E-2</v>
      </c>
      <c r="AN830" s="581">
        <f t="shared" si="2693"/>
        <v>2.8333333333333335E-2</v>
      </c>
      <c r="AO830" s="581">
        <f t="shared" si="2693"/>
        <v>2.8333333333333335E-2</v>
      </c>
      <c r="AP830" s="581">
        <f t="shared" si="2693"/>
        <v>2.8333333333333335E-2</v>
      </c>
      <c r="AQ830" s="581">
        <f t="shared" si="2693"/>
        <v>2.8333333333333335E-2</v>
      </c>
      <c r="AR830" s="581">
        <f t="shared" si="2693"/>
        <v>2.8333333333333335E-2</v>
      </c>
      <c r="AS830" s="581">
        <f t="shared" si="2693"/>
        <v>2.8333333333333335E-2</v>
      </c>
      <c r="AT830" s="581">
        <f t="shared" si="2693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694">SUM(BD232)</f>
        <v>2.8333333333333335E-2</v>
      </c>
      <c r="BE830" s="581">
        <f t="shared" si="2694"/>
        <v>2.8333333333333335E-2</v>
      </c>
      <c r="BF830" s="581">
        <f t="shared" si="2694"/>
        <v>2.8333333333333335E-2</v>
      </c>
      <c r="BG830" s="581">
        <f t="shared" si="2694"/>
        <v>2.8333333333333335E-2</v>
      </c>
      <c r="BH830" s="581">
        <f t="shared" si="2694"/>
        <v>2.8333333333333335E-2</v>
      </c>
      <c r="BI830" s="581">
        <f t="shared" si="2694"/>
        <v>2.8333333333333335E-2</v>
      </c>
      <c r="BJ830" s="581">
        <f t="shared" si="2694"/>
        <v>2.8333333333333335E-2</v>
      </c>
      <c r="BK830" s="581">
        <f t="shared" si="2694"/>
        <v>2.8333333333333335E-2</v>
      </c>
      <c r="BL830" s="581">
        <f t="shared" si="2694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664"/>
        <v>5.6666666666666657E-2</v>
      </c>
      <c r="CA830" s="398">
        <f t="shared" si="2665"/>
        <v>4.2499999999999996E-2</v>
      </c>
      <c r="CB830" s="398">
        <f t="shared" si="2666"/>
        <v>2.8333333333333328E-2</v>
      </c>
      <c r="CC830" s="465">
        <f t="shared" si="2667"/>
        <v>2.8333333333333328E-2</v>
      </c>
      <c r="CD830" s="1114" t="str">
        <f t="shared" ref="CD830:CD848" si="26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5" t="str">
        <f t="shared" si="2669"/>
        <v/>
      </c>
      <c r="CF830" s="1116" t="str">
        <f t="shared" si="2669"/>
        <v/>
      </c>
      <c r="CG830" s="1116" t="str">
        <f t="shared" si="2669"/>
        <v/>
      </c>
      <c r="CH830" s="1116">
        <f t="shared" si="2669"/>
        <v>5.6666666666666671E-2</v>
      </c>
      <c r="CI830" s="1116">
        <f t="shared" si="2669"/>
        <v>5.6666666666666671E-2</v>
      </c>
      <c r="CJ830" s="1116">
        <f t="shared" si="2669"/>
        <v>5.6666666666666671E-2</v>
      </c>
      <c r="CK830" s="1117">
        <f t="shared" si="2669"/>
        <v>5.6666666666666671E-2</v>
      </c>
      <c r="CL830" s="1117">
        <f t="shared" si="2669"/>
        <v>5.6666666666666671E-2</v>
      </c>
      <c r="CM830" s="1117">
        <f t="shared" si="2669"/>
        <v>5.6666666666666671E-2</v>
      </c>
      <c r="CN830" s="1116">
        <f t="shared" si="2669"/>
        <v>5.6666666666666671E-2</v>
      </c>
      <c r="CO830" s="1116">
        <f t="shared" si="2669"/>
        <v>5.6666666666666671E-2</v>
      </c>
      <c r="CP830" s="1116">
        <f t="shared" si="2669"/>
        <v>5.6666666666666671E-2</v>
      </c>
      <c r="CQ830" s="1116" t="str">
        <f t="shared" si="2669"/>
        <v/>
      </c>
      <c r="CR830" s="1116" t="str">
        <f t="shared" si="2669"/>
        <v/>
      </c>
      <c r="CS830" s="1115" t="str">
        <f t="shared" si="2669"/>
        <v/>
      </c>
      <c r="CT830" s="1118" t="str">
        <f t="shared" si="2669"/>
        <v/>
      </c>
      <c r="CU830" s="312" t="str">
        <f t="shared" si="2670"/>
        <v/>
      </c>
      <c r="CV830" s="313" t="str">
        <f t="shared" si="2671"/>
        <v/>
      </c>
      <c r="CW830" s="314" t="str">
        <f t="shared" si="2672"/>
        <v/>
      </c>
      <c r="CX830" s="314" t="str">
        <f t="shared" si="2673"/>
        <v/>
      </c>
      <c r="CY830" s="314">
        <f t="shared" si="2674"/>
        <v>4.2500000000000003E-2</v>
      </c>
      <c r="CZ830" s="314">
        <f t="shared" si="2675"/>
        <v>4.2500000000000003E-2</v>
      </c>
      <c r="DA830" s="314">
        <f t="shared" si="2676"/>
        <v>4.2500000000000003E-2</v>
      </c>
      <c r="DB830" s="315">
        <f t="shared" si="2677"/>
        <v>4.2500000000000003E-2</v>
      </c>
      <c r="DC830" s="315">
        <f t="shared" si="2678"/>
        <v>4.2500000000000003E-2</v>
      </c>
      <c r="DD830" s="315">
        <f t="shared" si="2679"/>
        <v>4.2500000000000003E-2</v>
      </c>
      <c r="DE830" s="314">
        <f t="shared" si="2680"/>
        <v>4.2500000000000003E-2</v>
      </c>
      <c r="DF830" s="314">
        <f t="shared" si="2681"/>
        <v>4.2500000000000003E-2</v>
      </c>
      <c r="DG830" s="314">
        <f t="shared" si="2682"/>
        <v>4.2500000000000003E-2</v>
      </c>
      <c r="DH830" s="314" t="str">
        <f t="shared" si="2683"/>
        <v/>
      </c>
      <c r="DI830" s="314" t="str">
        <f t="shared" si="2684"/>
        <v/>
      </c>
      <c r="DJ830" s="313" t="str">
        <f t="shared" si="2685"/>
        <v/>
      </c>
      <c r="DK830" s="312" t="str">
        <f t="shared" si="2686"/>
        <v/>
      </c>
      <c r="DL830" s="428">
        <f t="shared" si="2687"/>
        <v>9</v>
      </c>
      <c r="DM830" s="66">
        <f t="shared" si="2688"/>
        <v>9</v>
      </c>
      <c r="DN830" s="66">
        <f t="shared" si="2689"/>
        <v>9</v>
      </c>
      <c r="DO830" s="66">
        <f t="shared" si="2690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696">SUM(B242)</f>
        <v>0.21784735812133074</v>
      </c>
      <c r="C831" s="581">
        <f t="shared" si="2696"/>
        <v>0.10148168856583731</v>
      </c>
      <c r="D831" s="581">
        <f t="shared" si="2696"/>
        <v>7.893020221787346E-2</v>
      </c>
      <c r="E831" s="581">
        <f t="shared" si="2696"/>
        <v>7.893020221787346E-2</v>
      </c>
      <c r="F831" s="581">
        <f t="shared" si="2696"/>
        <v>3.946510110893673E-2</v>
      </c>
      <c r="G831" s="581">
        <f t="shared" si="2696"/>
        <v>0.10063600782778866</v>
      </c>
      <c r="H831" s="581">
        <f t="shared" si="2696"/>
        <v>0.15786040443574692</v>
      </c>
      <c r="I831" s="581">
        <f t="shared" si="2696"/>
        <v>0.11839530332681018</v>
      </c>
      <c r="J831" s="581">
        <f t="shared" si="2696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697">SUM(T242)</f>
        <v>0.11839530332681018</v>
      </c>
      <c r="U831" s="581">
        <f t="shared" si="2697"/>
        <v>0.19373776908023482</v>
      </c>
      <c r="V831" s="581">
        <f t="shared" si="2697"/>
        <v>9.8662752772341808E-2</v>
      </c>
      <c r="W831" s="581">
        <f t="shared" si="2697"/>
        <v>0.28414872798434443</v>
      </c>
      <c r="X831" s="581">
        <f t="shared" si="2697"/>
        <v>0.14799412915851273</v>
      </c>
      <c r="Y831" s="581">
        <f t="shared" si="2697"/>
        <v>0.10148168856583731</v>
      </c>
      <c r="Z831" s="581">
        <f t="shared" si="2697"/>
        <v>0.14799412915851273</v>
      </c>
      <c r="AA831" s="581">
        <f t="shared" si="2697"/>
        <v>0.11839530332681018</v>
      </c>
      <c r="AB831" s="581">
        <f t="shared" si="2697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698">SUM(AL242)</f>
        <v>0.30136986301369861</v>
      </c>
      <c r="AM831" s="581">
        <f t="shared" si="2698"/>
        <v>0.37886497064579255</v>
      </c>
      <c r="AN831" s="581">
        <f t="shared" si="2698"/>
        <v>0.34926614481409002</v>
      </c>
      <c r="AO831" s="581">
        <f t="shared" si="2698"/>
        <v>0.14799412915851273</v>
      </c>
      <c r="AP831" s="581">
        <f t="shared" si="2698"/>
        <v>0.47358121330724073</v>
      </c>
      <c r="AQ831" s="581">
        <f t="shared" si="2698"/>
        <v>0.11839530332681018</v>
      </c>
      <c r="AR831" s="581">
        <f t="shared" si="2698"/>
        <v>0.35518590998043054</v>
      </c>
      <c r="AS831" s="581">
        <f t="shared" si="2698"/>
        <v>0.35518590998043054</v>
      </c>
      <c r="AT831" s="581">
        <f t="shared" si="2698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699">SUM(BD242)</f>
        <v>0.69063926940639275</v>
      </c>
      <c r="BE831" s="581">
        <f t="shared" si="2699"/>
        <v>0.61170906718851925</v>
      </c>
      <c r="BF831" s="581">
        <f t="shared" si="2699"/>
        <v>0.71037181996086107</v>
      </c>
      <c r="BG831" s="581">
        <f t="shared" si="2699"/>
        <v>0.71037181996086107</v>
      </c>
      <c r="BH831" s="581">
        <f t="shared" si="2699"/>
        <v>0.37412915851272016</v>
      </c>
      <c r="BI831" s="581">
        <f t="shared" si="2699"/>
        <v>0.33827229521945767</v>
      </c>
      <c r="BJ831" s="581">
        <f t="shared" si="2699"/>
        <v>0.31572080887149384</v>
      </c>
      <c r="BK831" s="581">
        <f t="shared" si="2699"/>
        <v>0.49331376386170905</v>
      </c>
      <c r="BL831" s="581">
        <f t="shared" si="2699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664"/>
        <v>0.10732091270950651</v>
      </c>
      <c r="CA831" s="398">
        <f t="shared" si="2665"/>
        <v>0.14244778146092099</v>
      </c>
      <c r="CB831" s="398">
        <f t="shared" si="2666"/>
        <v>0.30352250489236793</v>
      </c>
      <c r="CC831" s="465">
        <f t="shared" si="2667"/>
        <v>0.50487945471730755</v>
      </c>
      <c r="CD831" s="1114" t="str">
        <f t="shared" si="2695"/>
        <v/>
      </c>
      <c r="CE831" s="1115" t="str">
        <f t="shared" si="2669"/>
        <v/>
      </c>
      <c r="CF831" s="1116" t="str">
        <f t="shared" si="2669"/>
        <v/>
      </c>
      <c r="CG831" s="1116" t="str">
        <f t="shared" si="2669"/>
        <v/>
      </c>
      <c r="CH831" s="1116">
        <f t="shared" si="2669"/>
        <v>3.946510110893673E-2</v>
      </c>
      <c r="CI831" s="1116">
        <f t="shared" si="2669"/>
        <v>7.893020221787346E-2</v>
      </c>
      <c r="CJ831" s="1116">
        <f t="shared" si="2669"/>
        <v>7.893020221787346E-2</v>
      </c>
      <c r="CK831" s="1117">
        <f t="shared" si="2669"/>
        <v>0.10063600782778866</v>
      </c>
      <c r="CL831" s="1117">
        <f t="shared" si="2669"/>
        <v>0.10148168856583731</v>
      </c>
      <c r="CM831" s="1117">
        <f t="shared" si="2669"/>
        <v>0.11501258037461559</v>
      </c>
      <c r="CN831" s="1116">
        <f t="shared" si="2669"/>
        <v>0.11839530332681018</v>
      </c>
      <c r="CO831" s="1116">
        <f t="shared" si="2669"/>
        <v>0.15786040443574692</v>
      </c>
      <c r="CP831" s="1116">
        <f t="shared" si="2669"/>
        <v>0.21784735812133074</v>
      </c>
      <c r="CQ831" s="1116" t="str">
        <f t="shared" si="2669"/>
        <v/>
      </c>
      <c r="CR831" s="1116" t="str">
        <f t="shared" si="2669"/>
        <v/>
      </c>
      <c r="CS831" s="1115" t="str">
        <f t="shared" si="2669"/>
        <v/>
      </c>
      <c r="CT831" s="1118" t="str">
        <f t="shared" si="2669"/>
        <v/>
      </c>
      <c r="CU831" s="312" t="str">
        <f t="shared" si="2670"/>
        <v/>
      </c>
      <c r="CV831" s="313" t="str">
        <f t="shared" si="2671"/>
        <v/>
      </c>
      <c r="CW831" s="314" t="str">
        <f t="shared" si="2672"/>
        <v/>
      </c>
      <c r="CX831" s="314" t="str">
        <f t="shared" si="2673"/>
        <v/>
      </c>
      <c r="CY831" s="314">
        <f t="shared" si="2674"/>
        <v>9.8662752772341808E-2</v>
      </c>
      <c r="CZ831" s="314">
        <f t="shared" si="2675"/>
        <v>0.10148168856583731</v>
      </c>
      <c r="DA831" s="314">
        <f t="shared" si="2676"/>
        <v>0.11839530332681018</v>
      </c>
      <c r="DB831" s="315">
        <f t="shared" si="2677"/>
        <v>0.11839530332681018</v>
      </c>
      <c r="DC831" s="315">
        <f t="shared" si="2678"/>
        <v>0.14799412915851273</v>
      </c>
      <c r="DD831" s="315">
        <f t="shared" si="2679"/>
        <v>0.14799412915851273</v>
      </c>
      <c r="DE831" s="314">
        <f t="shared" si="2680"/>
        <v>0.16913614760972884</v>
      </c>
      <c r="DF831" s="314">
        <f t="shared" si="2681"/>
        <v>0.19373776908023482</v>
      </c>
      <c r="DG831" s="314">
        <f t="shared" si="2682"/>
        <v>0.28414872798434443</v>
      </c>
      <c r="DH831" s="314" t="str">
        <f t="shared" si="2683"/>
        <v/>
      </c>
      <c r="DI831" s="314" t="str">
        <f t="shared" si="2684"/>
        <v/>
      </c>
      <c r="DJ831" s="313" t="str">
        <f t="shared" si="2685"/>
        <v/>
      </c>
      <c r="DK831" s="312" t="str">
        <f t="shared" si="2686"/>
        <v/>
      </c>
      <c r="DL831" s="428">
        <f t="shared" si="2687"/>
        <v>9</v>
      </c>
      <c r="DM831" s="66">
        <f t="shared" si="2688"/>
        <v>9</v>
      </c>
      <c r="DN831" s="66">
        <f t="shared" si="2689"/>
        <v>9</v>
      </c>
      <c r="DO831" s="66">
        <f t="shared" si="2690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700">SUM(B249)</f>
        <v>0</v>
      </c>
      <c r="C832" s="581">
        <f t="shared" si="2700"/>
        <v>0</v>
      </c>
      <c r="D832" s="581">
        <f t="shared" si="2700"/>
        <v>0</v>
      </c>
      <c r="E832" s="581">
        <f t="shared" si="2700"/>
        <v>0</v>
      </c>
      <c r="F832" s="581">
        <f t="shared" si="2700"/>
        <v>0</v>
      </c>
      <c r="G832" s="581">
        <f t="shared" si="2700"/>
        <v>0</v>
      </c>
      <c r="H832" s="581">
        <f t="shared" si="2700"/>
        <v>0</v>
      </c>
      <c r="I832" s="581">
        <f t="shared" si="2700"/>
        <v>0</v>
      </c>
      <c r="J832" s="581">
        <f t="shared" si="2700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701">SUM(T249)</f>
        <v>0</v>
      </c>
      <c r="U832" s="581">
        <f t="shared" si="2701"/>
        <v>0</v>
      </c>
      <c r="V832" s="581">
        <f t="shared" si="2701"/>
        <v>0</v>
      </c>
      <c r="W832" s="581">
        <f t="shared" si="2701"/>
        <v>0</v>
      </c>
      <c r="X832" s="581">
        <f t="shared" si="2701"/>
        <v>0</v>
      </c>
      <c r="Y832" s="581">
        <f t="shared" si="2701"/>
        <v>0</v>
      </c>
      <c r="Z832" s="581">
        <f t="shared" si="2701"/>
        <v>2.315720808871494E-2</v>
      </c>
      <c r="AA832" s="581">
        <f t="shared" si="2701"/>
        <v>0</v>
      </c>
      <c r="AB832" s="581">
        <f t="shared" si="2701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702">SUM(AL249)</f>
        <v>0</v>
      </c>
      <c r="AM832" s="581">
        <f t="shared" si="2702"/>
        <v>0</v>
      </c>
      <c r="AN832" s="581">
        <f t="shared" si="2702"/>
        <v>0</v>
      </c>
      <c r="AO832" s="581">
        <f t="shared" si="2702"/>
        <v>0</v>
      </c>
      <c r="AP832" s="581">
        <f t="shared" si="2702"/>
        <v>0</v>
      </c>
      <c r="AQ832" s="581">
        <f t="shared" si="2702"/>
        <v>7.7190693629049789E-2</v>
      </c>
      <c r="AR832" s="581">
        <f t="shared" si="2702"/>
        <v>0</v>
      </c>
      <c r="AS832" s="581">
        <f t="shared" si="2702"/>
        <v>5.7893020221787342E-2</v>
      </c>
      <c r="AT832" s="581">
        <f t="shared" si="2702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703">SUM(BD249)</f>
        <v>0</v>
      </c>
      <c r="BE832" s="581">
        <f t="shared" si="2703"/>
        <v>0</v>
      </c>
      <c r="BF832" s="581">
        <f t="shared" si="2703"/>
        <v>0</v>
      </c>
      <c r="BG832" s="581">
        <f t="shared" si="2703"/>
        <v>0</v>
      </c>
      <c r="BH832" s="581">
        <f t="shared" si="2703"/>
        <v>0</v>
      </c>
      <c r="BI832" s="581">
        <f t="shared" si="2703"/>
        <v>0</v>
      </c>
      <c r="BJ832" s="581">
        <f t="shared" si="2703"/>
        <v>0</v>
      </c>
      <c r="BK832" s="581">
        <f t="shared" si="2703"/>
        <v>0</v>
      </c>
      <c r="BL832" s="581">
        <f t="shared" si="2703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664"/>
        <v>0</v>
      </c>
      <c r="CA832" s="398">
        <f t="shared" si="2665"/>
        <v>0</v>
      </c>
      <c r="CB832" s="398">
        <f t="shared" si="2666"/>
        <v>1.8194949212561734E-2</v>
      </c>
      <c r="CC832" s="465">
        <f t="shared" si="2667"/>
        <v>0</v>
      </c>
      <c r="CD832" s="1114" t="str">
        <f t="shared" si="2695"/>
        <v/>
      </c>
      <c r="CE832" s="1115" t="str">
        <f t="shared" si="2669"/>
        <v/>
      </c>
      <c r="CF832" s="1116" t="str">
        <f t="shared" si="2669"/>
        <v/>
      </c>
      <c r="CG832" s="1116" t="str">
        <f t="shared" si="2669"/>
        <v/>
      </c>
      <c r="CH832" s="1116">
        <f t="shared" si="2669"/>
        <v>0</v>
      </c>
      <c r="CI832" s="1116">
        <f t="shared" si="2669"/>
        <v>0</v>
      </c>
      <c r="CJ832" s="1116">
        <f t="shared" si="2669"/>
        <v>0</v>
      </c>
      <c r="CK832" s="1117">
        <f t="shared" si="2669"/>
        <v>0</v>
      </c>
      <c r="CL832" s="1117">
        <f t="shared" si="2669"/>
        <v>0</v>
      </c>
      <c r="CM832" s="1117">
        <f t="shared" si="2669"/>
        <v>0</v>
      </c>
      <c r="CN832" s="1116">
        <f t="shared" si="2669"/>
        <v>0</v>
      </c>
      <c r="CO832" s="1116">
        <f t="shared" si="2669"/>
        <v>0</v>
      </c>
      <c r="CP832" s="1116">
        <f t="shared" si="2669"/>
        <v>6.5501817165222243E-2</v>
      </c>
      <c r="CQ832" s="1116" t="str">
        <f t="shared" si="2669"/>
        <v/>
      </c>
      <c r="CR832" s="1116" t="str">
        <f t="shared" si="2669"/>
        <v/>
      </c>
      <c r="CS832" s="1115" t="str">
        <f t="shared" si="2669"/>
        <v/>
      </c>
      <c r="CT832" s="1118" t="str">
        <f t="shared" si="2669"/>
        <v/>
      </c>
      <c r="CU832" s="312" t="str">
        <f t="shared" si="2670"/>
        <v/>
      </c>
      <c r="CV832" s="313" t="str">
        <f t="shared" si="2671"/>
        <v/>
      </c>
      <c r="CW832" s="314" t="str">
        <f t="shared" si="2672"/>
        <v/>
      </c>
      <c r="CX832" s="314" t="str">
        <f t="shared" si="2673"/>
        <v/>
      </c>
      <c r="CY832" s="314">
        <f t="shared" si="2674"/>
        <v>0</v>
      </c>
      <c r="CZ832" s="314">
        <f t="shared" si="2675"/>
        <v>0</v>
      </c>
      <c r="DA832" s="314">
        <f t="shared" si="2676"/>
        <v>0</v>
      </c>
      <c r="DB832" s="315">
        <f t="shared" si="2677"/>
        <v>0</v>
      </c>
      <c r="DC832" s="315">
        <f t="shared" si="2678"/>
        <v>0</v>
      </c>
      <c r="DD832" s="315">
        <f t="shared" si="2679"/>
        <v>0</v>
      </c>
      <c r="DE832" s="314">
        <f t="shared" si="2680"/>
        <v>0</v>
      </c>
      <c r="DF832" s="314">
        <f t="shared" si="2681"/>
        <v>0</v>
      </c>
      <c r="DG832" s="314">
        <f t="shared" si="2682"/>
        <v>2.315720808871494E-2</v>
      </c>
      <c r="DH832" s="314" t="str">
        <f t="shared" si="2683"/>
        <v/>
      </c>
      <c r="DI832" s="314" t="str">
        <f t="shared" si="2684"/>
        <v/>
      </c>
      <c r="DJ832" s="313" t="str">
        <f t="shared" si="2685"/>
        <v/>
      </c>
      <c r="DK832" s="312" t="str">
        <f t="shared" si="2686"/>
        <v/>
      </c>
      <c r="DL832" s="428">
        <f t="shared" si="2687"/>
        <v>9</v>
      </c>
      <c r="DM832" s="66">
        <f t="shared" si="2688"/>
        <v>9</v>
      </c>
      <c r="DN832" s="66">
        <f t="shared" si="2689"/>
        <v>9</v>
      </c>
      <c r="DO832" s="66">
        <f t="shared" si="2690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704">SUM(B256)</f>
        <v>0</v>
      </c>
      <c r="C833" s="581">
        <f t="shared" si="2704"/>
        <v>0</v>
      </c>
      <c r="D833" s="581">
        <f t="shared" si="2704"/>
        <v>0</v>
      </c>
      <c r="E833" s="581">
        <f t="shared" si="2704"/>
        <v>0</v>
      </c>
      <c r="F833" s="581">
        <f t="shared" si="2704"/>
        <v>0</v>
      </c>
      <c r="G833" s="581">
        <f t="shared" si="2704"/>
        <v>0</v>
      </c>
      <c r="H833" s="581">
        <f t="shared" si="2704"/>
        <v>0</v>
      </c>
      <c r="I833" s="581">
        <f t="shared" si="2704"/>
        <v>0</v>
      </c>
      <c r="J833" s="581">
        <f t="shared" si="2704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705">SUM(T256)</f>
        <v>0</v>
      </c>
      <c r="U833" s="581">
        <f t="shared" si="2705"/>
        <v>0</v>
      </c>
      <c r="V833" s="581">
        <f t="shared" si="2705"/>
        <v>0</v>
      </c>
      <c r="W833" s="581">
        <f t="shared" si="2705"/>
        <v>0</v>
      </c>
      <c r="X833" s="581">
        <f t="shared" si="2705"/>
        <v>0</v>
      </c>
      <c r="Y833" s="581">
        <f t="shared" si="2705"/>
        <v>0</v>
      </c>
      <c r="Z833" s="581">
        <f t="shared" si="2705"/>
        <v>0</v>
      </c>
      <c r="AA833" s="581">
        <f t="shared" si="2705"/>
        <v>0</v>
      </c>
      <c r="AB833" s="581">
        <f t="shared" si="2705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706">SUM(AL256)</f>
        <v>0</v>
      </c>
      <c r="AM833" s="581">
        <f t="shared" si="2706"/>
        <v>0</v>
      </c>
      <c r="AN833" s="581">
        <f t="shared" si="2706"/>
        <v>0</v>
      </c>
      <c r="AO833" s="581">
        <f t="shared" si="2706"/>
        <v>0</v>
      </c>
      <c r="AP833" s="581">
        <f t="shared" si="2706"/>
        <v>0</v>
      </c>
      <c r="AQ833" s="581">
        <f t="shared" si="2706"/>
        <v>0</v>
      </c>
      <c r="AR833" s="581">
        <f t="shared" si="2706"/>
        <v>0</v>
      </c>
      <c r="AS833" s="581">
        <f t="shared" si="2706"/>
        <v>0</v>
      </c>
      <c r="AT833" s="581">
        <f t="shared" si="2706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707">SUM(BD256)</f>
        <v>0</v>
      </c>
      <c r="BE833" s="581">
        <f t="shared" si="2707"/>
        <v>0</v>
      </c>
      <c r="BF833" s="581">
        <f t="shared" si="2707"/>
        <v>0</v>
      </c>
      <c r="BG833" s="581">
        <f t="shared" si="2707"/>
        <v>0</v>
      </c>
      <c r="BH833" s="581">
        <f t="shared" si="2707"/>
        <v>0</v>
      </c>
      <c r="BI833" s="581">
        <f t="shared" si="2707"/>
        <v>0</v>
      </c>
      <c r="BJ833" s="581">
        <f t="shared" si="2707"/>
        <v>0</v>
      </c>
      <c r="BK833" s="581">
        <f t="shared" si="2707"/>
        <v>0</v>
      </c>
      <c r="BL833" s="581">
        <f t="shared" si="2707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664"/>
        <v>0</v>
      </c>
      <c r="CA833" s="398">
        <f t="shared" si="2665"/>
        <v>0</v>
      </c>
      <c r="CB833" s="398">
        <f t="shared" si="2666"/>
        <v>0</v>
      </c>
      <c r="CC833" s="465">
        <f t="shared" si="2667"/>
        <v>0</v>
      </c>
      <c r="CD833" s="1114" t="str">
        <f t="shared" si="2695"/>
        <v/>
      </c>
      <c r="CE833" s="1115" t="str">
        <f t="shared" si="2669"/>
        <v/>
      </c>
      <c r="CF833" s="1116" t="str">
        <f t="shared" si="2669"/>
        <v/>
      </c>
      <c r="CG833" s="1116" t="str">
        <f t="shared" si="2669"/>
        <v/>
      </c>
      <c r="CH833" s="1116">
        <f t="shared" si="2669"/>
        <v>0</v>
      </c>
      <c r="CI833" s="1116">
        <f t="shared" si="2669"/>
        <v>0</v>
      </c>
      <c r="CJ833" s="1116">
        <f t="shared" si="2669"/>
        <v>0</v>
      </c>
      <c r="CK833" s="1117">
        <f t="shared" si="2669"/>
        <v>0</v>
      </c>
      <c r="CL833" s="1117">
        <f t="shared" si="2669"/>
        <v>0</v>
      </c>
      <c r="CM833" s="1117">
        <f t="shared" si="2669"/>
        <v>0</v>
      </c>
      <c r="CN833" s="1116">
        <f t="shared" si="2669"/>
        <v>0</v>
      </c>
      <c r="CO833" s="1116">
        <f t="shared" si="2669"/>
        <v>0</v>
      </c>
      <c r="CP833" s="1116">
        <f t="shared" si="2669"/>
        <v>0</v>
      </c>
      <c r="CQ833" s="1116" t="str">
        <f t="shared" si="2669"/>
        <v/>
      </c>
      <c r="CR833" s="1116" t="str">
        <f t="shared" si="2669"/>
        <v/>
      </c>
      <c r="CS833" s="1115" t="str">
        <f t="shared" si="2669"/>
        <v/>
      </c>
      <c r="CT833" s="1118" t="str">
        <f t="shared" si="2669"/>
        <v/>
      </c>
      <c r="CU833" s="312" t="str">
        <f t="shared" si="2670"/>
        <v/>
      </c>
      <c r="CV833" s="313" t="str">
        <f t="shared" si="2671"/>
        <v/>
      </c>
      <c r="CW833" s="314" t="str">
        <f t="shared" si="2672"/>
        <v/>
      </c>
      <c r="CX833" s="314" t="str">
        <f t="shared" si="2673"/>
        <v/>
      </c>
      <c r="CY833" s="314">
        <f t="shared" si="2674"/>
        <v>0</v>
      </c>
      <c r="CZ833" s="314">
        <f t="shared" si="2675"/>
        <v>0</v>
      </c>
      <c r="DA833" s="314">
        <f t="shared" si="2676"/>
        <v>0</v>
      </c>
      <c r="DB833" s="315">
        <f t="shared" si="2677"/>
        <v>0</v>
      </c>
      <c r="DC833" s="315">
        <f t="shared" si="2678"/>
        <v>0</v>
      </c>
      <c r="DD833" s="315">
        <f t="shared" si="2679"/>
        <v>0</v>
      </c>
      <c r="DE833" s="314">
        <f t="shared" si="2680"/>
        <v>0</v>
      </c>
      <c r="DF833" s="314">
        <f t="shared" si="2681"/>
        <v>0</v>
      </c>
      <c r="DG833" s="314">
        <f t="shared" si="2682"/>
        <v>0</v>
      </c>
      <c r="DH833" s="314" t="str">
        <f t="shared" si="2683"/>
        <v/>
      </c>
      <c r="DI833" s="314" t="str">
        <f t="shared" si="2684"/>
        <v/>
      </c>
      <c r="DJ833" s="313" t="str">
        <f t="shared" si="2685"/>
        <v/>
      </c>
      <c r="DK833" s="312" t="str">
        <f t="shared" si="2686"/>
        <v/>
      </c>
      <c r="DL833" s="428">
        <f t="shared" si="2687"/>
        <v>9</v>
      </c>
      <c r="DM833" s="66">
        <f t="shared" si="2688"/>
        <v>9</v>
      </c>
      <c r="DN833" s="66">
        <f t="shared" si="2689"/>
        <v>9</v>
      </c>
      <c r="DO833" s="66">
        <f t="shared" si="2690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708">SUM(B263)</f>
        <v>0</v>
      </c>
      <c r="C834" s="581">
        <f t="shared" si="2708"/>
        <v>0</v>
      </c>
      <c r="D834" s="581">
        <f t="shared" si="2708"/>
        <v>0</v>
      </c>
      <c r="E834" s="581">
        <f t="shared" si="2708"/>
        <v>0</v>
      </c>
      <c r="F834" s="581">
        <f t="shared" si="2708"/>
        <v>0</v>
      </c>
      <c r="G834" s="581">
        <f t="shared" si="2708"/>
        <v>0</v>
      </c>
      <c r="H834" s="581">
        <f t="shared" si="2708"/>
        <v>0</v>
      </c>
      <c r="I834" s="581">
        <f t="shared" si="2708"/>
        <v>0</v>
      </c>
      <c r="J834" s="581">
        <f t="shared" si="2708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709">SUM(T263)</f>
        <v>0</v>
      </c>
      <c r="U834" s="581">
        <f t="shared" si="2709"/>
        <v>0</v>
      </c>
      <c r="V834" s="581">
        <f t="shared" si="2709"/>
        <v>0</v>
      </c>
      <c r="W834" s="581">
        <f t="shared" si="2709"/>
        <v>0</v>
      </c>
      <c r="X834" s="581">
        <f t="shared" si="2709"/>
        <v>0</v>
      </c>
      <c r="Y834" s="581">
        <f t="shared" si="2709"/>
        <v>0</v>
      </c>
      <c r="Z834" s="581">
        <f t="shared" si="2709"/>
        <v>0</v>
      </c>
      <c r="AA834" s="581">
        <f t="shared" si="2709"/>
        <v>0</v>
      </c>
      <c r="AB834" s="581">
        <f t="shared" si="2709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710">SUM(AL263)</f>
        <v>0</v>
      </c>
      <c r="AM834" s="581">
        <f t="shared" si="2710"/>
        <v>0</v>
      </c>
      <c r="AN834" s="581">
        <f t="shared" si="2710"/>
        <v>0</v>
      </c>
      <c r="AO834" s="581">
        <f t="shared" si="2710"/>
        <v>0</v>
      </c>
      <c r="AP834" s="581">
        <f t="shared" si="2710"/>
        <v>0</v>
      </c>
      <c r="AQ834" s="581">
        <f t="shared" si="2710"/>
        <v>0</v>
      </c>
      <c r="AR834" s="581">
        <f t="shared" si="2710"/>
        <v>0</v>
      </c>
      <c r="AS834" s="581">
        <f t="shared" si="2710"/>
        <v>0</v>
      </c>
      <c r="AT834" s="581">
        <f t="shared" si="2710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711">SUM(BD263)</f>
        <v>0</v>
      </c>
      <c r="BE834" s="581">
        <f t="shared" si="2711"/>
        <v>0</v>
      </c>
      <c r="BF834" s="581">
        <f t="shared" si="2711"/>
        <v>0</v>
      </c>
      <c r="BG834" s="581">
        <f t="shared" si="2711"/>
        <v>0</v>
      </c>
      <c r="BH834" s="581">
        <f t="shared" si="2711"/>
        <v>0</v>
      </c>
      <c r="BI834" s="581">
        <f t="shared" si="2711"/>
        <v>0</v>
      </c>
      <c r="BJ834" s="581">
        <f t="shared" si="2711"/>
        <v>0</v>
      </c>
      <c r="BK834" s="581">
        <f t="shared" si="2711"/>
        <v>0</v>
      </c>
      <c r="BL834" s="581">
        <f t="shared" si="2711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664"/>
        <v>0</v>
      </c>
      <c r="CA834" s="398">
        <f t="shared" si="2665"/>
        <v>0</v>
      </c>
      <c r="CB834" s="398">
        <f t="shared" si="2666"/>
        <v>0</v>
      </c>
      <c r="CC834" s="465">
        <f t="shared" si="2667"/>
        <v>0</v>
      </c>
      <c r="CD834" s="1114" t="str">
        <f t="shared" si="2695"/>
        <v/>
      </c>
      <c r="CE834" s="1115" t="str">
        <f t="shared" si="2669"/>
        <v/>
      </c>
      <c r="CF834" s="1116" t="str">
        <f t="shared" si="2669"/>
        <v/>
      </c>
      <c r="CG834" s="1116" t="str">
        <f t="shared" si="2669"/>
        <v/>
      </c>
      <c r="CH834" s="1116">
        <f t="shared" si="2669"/>
        <v>0</v>
      </c>
      <c r="CI834" s="1116">
        <f t="shared" si="2669"/>
        <v>0</v>
      </c>
      <c r="CJ834" s="1116">
        <f t="shared" si="2669"/>
        <v>0</v>
      </c>
      <c r="CK834" s="1117">
        <f t="shared" si="2669"/>
        <v>0</v>
      </c>
      <c r="CL834" s="1117">
        <f t="shared" si="2669"/>
        <v>0</v>
      </c>
      <c r="CM834" s="1117">
        <f t="shared" si="2669"/>
        <v>0</v>
      </c>
      <c r="CN834" s="1116">
        <f t="shared" si="2669"/>
        <v>0</v>
      </c>
      <c r="CO834" s="1116">
        <f t="shared" si="2669"/>
        <v>0</v>
      </c>
      <c r="CP834" s="1116">
        <f t="shared" si="2669"/>
        <v>0</v>
      </c>
      <c r="CQ834" s="1116" t="str">
        <f t="shared" si="2669"/>
        <v/>
      </c>
      <c r="CR834" s="1116" t="str">
        <f t="shared" si="2669"/>
        <v/>
      </c>
      <c r="CS834" s="1115" t="str">
        <f t="shared" si="2669"/>
        <v/>
      </c>
      <c r="CT834" s="1118" t="str">
        <f t="shared" si="2669"/>
        <v/>
      </c>
      <c r="CU834" s="312" t="str">
        <f t="shared" si="2670"/>
        <v/>
      </c>
      <c r="CV834" s="313" t="str">
        <f t="shared" si="2671"/>
        <v/>
      </c>
      <c r="CW834" s="314" t="str">
        <f t="shared" si="2672"/>
        <v/>
      </c>
      <c r="CX834" s="314" t="str">
        <f t="shared" si="2673"/>
        <v/>
      </c>
      <c r="CY834" s="314">
        <f t="shared" si="2674"/>
        <v>0</v>
      </c>
      <c r="CZ834" s="314">
        <f t="shared" si="2675"/>
        <v>0</v>
      </c>
      <c r="DA834" s="314">
        <f t="shared" si="2676"/>
        <v>0</v>
      </c>
      <c r="DB834" s="315">
        <f t="shared" si="2677"/>
        <v>0</v>
      </c>
      <c r="DC834" s="315">
        <f t="shared" si="2678"/>
        <v>0</v>
      </c>
      <c r="DD834" s="315">
        <f t="shared" si="2679"/>
        <v>0</v>
      </c>
      <c r="DE834" s="314">
        <f t="shared" si="2680"/>
        <v>0</v>
      </c>
      <c r="DF834" s="314">
        <f t="shared" si="2681"/>
        <v>0</v>
      </c>
      <c r="DG834" s="314">
        <f t="shared" si="2682"/>
        <v>0</v>
      </c>
      <c r="DH834" s="314" t="str">
        <f t="shared" si="2683"/>
        <v/>
      </c>
      <c r="DI834" s="314" t="str">
        <f t="shared" si="2684"/>
        <v/>
      </c>
      <c r="DJ834" s="313" t="str">
        <f t="shared" si="2685"/>
        <v/>
      </c>
      <c r="DK834" s="312" t="str">
        <f t="shared" si="2686"/>
        <v/>
      </c>
      <c r="DL834" s="428">
        <f t="shared" si="2687"/>
        <v>9</v>
      </c>
      <c r="DM834" s="66">
        <f t="shared" si="2688"/>
        <v>9</v>
      </c>
      <c r="DN834" s="66">
        <f t="shared" si="2689"/>
        <v>9</v>
      </c>
      <c r="DO834" s="66">
        <f t="shared" si="2690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712">SUM(B270)</f>
        <v>0</v>
      </c>
      <c r="C835" s="581">
        <f t="shared" si="2712"/>
        <v>3.5597800764141277E-2</v>
      </c>
      <c r="D835" s="581">
        <f t="shared" si="2712"/>
        <v>0</v>
      </c>
      <c r="E835" s="581">
        <f t="shared" si="2712"/>
        <v>0</v>
      </c>
      <c r="F835" s="581">
        <f t="shared" si="2712"/>
        <v>0</v>
      </c>
      <c r="G835" s="581">
        <f t="shared" si="2712"/>
        <v>0</v>
      </c>
      <c r="H835" s="581">
        <f t="shared" si="2712"/>
        <v>0</v>
      </c>
      <c r="I835" s="581">
        <f t="shared" si="2712"/>
        <v>0</v>
      </c>
      <c r="J835" s="581">
        <f t="shared" si="2712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713">SUM(T270)</f>
        <v>0</v>
      </c>
      <c r="U835" s="581">
        <f t="shared" si="2713"/>
        <v>0</v>
      </c>
      <c r="V835" s="581">
        <f t="shared" si="2713"/>
        <v>0</v>
      </c>
      <c r="W835" s="581">
        <f t="shared" si="2713"/>
        <v>0</v>
      </c>
      <c r="X835" s="581">
        <f t="shared" si="2713"/>
        <v>0</v>
      </c>
      <c r="Y835" s="581">
        <f t="shared" si="2713"/>
        <v>0</v>
      </c>
      <c r="Z835" s="581">
        <f t="shared" si="2713"/>
        <v>0</v>
      </c>
      <c r="AA835" s="581">
        <f t="shared" si="2713"/>
        <v>0</v>
      </c>
      <c r="AB835" s="581">
        <f t="shared" si="2713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714">SUM(AL270)</f>
        <v>4.5079760422226167E-2</v>
      </c>
      <c r="AM835" s="581">
        <f t="shared" si="2714"/>
        <v>0</v>
      </c>
      <c r="AN835" s="581">
        <f t="shared" si="2714"/>
        <v>0</v>
      </c>
      <c r="AO835" s="581">
        <f t="shared" si="2714"/>
        <v>0</v>
      </c>
      <c r="AP835" s="581">
        <f t="shared" si="2714"/>
        <v>0</v>
      </c>
      <c r="AQ835" s="581">
        <f t="shared" si="2714"/>
        <v>0</v>
      </c>
      <c r="AR835" s="581">
        <f t="shared" si="2714"/>
        <v>0</v>
      </c>
      <c r="AS835" s="581">
        <f t="shared" si="2714"/>
        <v>0</v>
      </c>
      <c r="AT835" s="581">
        <f t="shared" si="2714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715">SUM(BD270)</f>
        <v>4.5683844313981294E-2</v>
      </c>
      <c r="BE835" s="581">
        <f t="shared" si="2715"/>
        <v>0</v>
      </c>
      <c r="BF835" s="581">
        <f t="shared" si="2715"/>
        <v>0</v>
      </c>
      <c r="BG835" s="581">
        <f t="shared" si="2715"/>
        <v>0</v>
      </c>
      <c r="BH835" s="581">
        <f t="shared" si="2715"/>
        <v>2.4918460534898889E-2</v>
      </c>
      <c r="BI835" s="581">
        <f t="shared" si="2715"/>
        <v>0</v>
      </c>
      <c r="BJ835" s="581">
        <f t="shared" si="2715"/>
        <v>2.4918460534898889E-2</v>
      </c>
      <c r="BK835" s="581">
        <f t="shared" si="2715"/>
        <v>0</v>
      </c>
      <c r="BL835" s="581">
        <f t="shared" si="2715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664"/>
        <v>0</v>
      </c>
      <c r="CA835" s="398">
        <f t="shared" si="2665"/>
        <v>0</v>
      </c>
      <c r="CB835" s="398">
        <f t="shared" si="2666"/>
        <v>4.2717360916969538E-3</v>
      </c>
      <c r="CC835" s="465">
        <f t="shared" si="2667"/>
        <v>7.119560152828254E-3</v>
      </c>
      <c r="CD835" s="1114" t="str">
        <f t="shared" si="2695"/>
        <v/>
      </c>
      <c r="CE835" s="1115" t="str">
        <f t="shared" si="2669"/>
        <v/>
      </c>
      <c r="CF835" s="1116" t="str">
        <f t="shared" si="2669"/>
        <v/>
      </c>
      <c r="CG835" s="1116" t="str">
        <f t="shared" si="2669"/>
        <v/>
      </c>
      <c r="CH835" s="1116">
        <f t="shared" si="2669"/>
        <v>0</v>
      </c>
      <c r="CI835" s="1116">
        <f t="shared" si="2669"/>
        <v>0</v>
      </c>
      <c r="CJ835" s="1116">
        <f t="shared" si="2669"/>
        <v>0</v>
      </c>
      <c r="CK835" s="1117">
        <f t="shared" si="2669"/>
        <v>0</v>
      </c>
      <c r="CL835" s="1117">
        <f t="shared" si="2669"/>
        <v>0</v>
      </c>
      <c r="CM835" s="1117">
        <f t="shared" si="2669"/>
        <v>0</v>
      </c>
      <c r="CN835" s="1116">
        <f t="shared" si="2669"/>
        <v>0</v>
      </c>
      <c r="CO835" s="1116">
        <f t="shared" si="2669"/>
        <v>0</v>
      </c>
      <c r="CP835" s="1116">
        <f t="shared" si="2669"/>
        <v>3.5597800764141277E-2</v>
      </c>
      <c r="CQ835" s="1116" t="str">
        <f t="shared" si="2669"/>
        <v/>
      </c>
      <c r="CR835" s="1116" t="str">
        <f t="shared" si="2669"/>
        <v/>
      </c>
      <c r="CS835" s="1115" t="str">
        <f t="shared" si="2669"/>
        <v/>
      </c>
      <c r="CT835" s="1118" t="str">
        <f t="shared" si="2669"/>
        <v/>
      </c>
      <c r="CU835" s="312" t="str">
        <f t="shared" si="2670"/>
        <v/>
      </c>
      <c r="CV835" s="313" t="str">
        <f t="shared" si="2671"/>
        <v/>
      </c>
      <c r="CW835" s="314" t="str">
        <f t="shared" si="2672"/>
        <v/>
      </c>
      <c r="CX835" s="314" t="str">
        <f t="shared" si="2673"/>
        <v/>
      </c>
      <c r="CY835" s="314">
        <f t="shared" si="2674"/>
        <v>0</v>
      </c>
      <c r="CZ835" s="314">
        <f t="shared" si="2675"/>
        <v>0</v>
      </c>
      <c r="DA835" s="314">
        <f t="shared" si="2676"/>
        <v>0</v>
      </c>
      <c r="DB835" s="315">
        <f t="shared" si="2677"/>
        <v>0</v>
      </c>
      <c r="DC835" s="315">
        <f t="shared" si="2678"/>
        <v>0</v>
      </c>
      <c r="DD835" s="315">
        <f t="shared" si="2679"/>
        <v>0</v>
      </c>
      <c r="DE835" s="314">
        <f t="shared" si="2680"/>
        <v>0</v>
      </c>
      <c r="DF835" s="314">
        <f t="shared" si="2681"/>
        <v>0</v>
      </c>
      <c r="DG835" s="314">
        <f t="shared" si="2682"/>
        <v>0</v>
      </c>
      <c r="DH835" s="314" t="str">
        <f t="shared" si="2683"/>
        <v/>
      </c>
      <c r="DI835" s="314" t="str">
        <f t="shared" si="2684"/>
        <v/>
      </c>
      <c r="DJ835" s="313" t="str">
        <f t="shared" si="2685"/>
        <v/>
      </c>
      <c r="DK835" s="312" t="str">
        <f t="shared" si="2686"/>
        <v/>
      </c>
      <c r="DL835" s="428">
        <f t="shared" si="2687"/>
        <v>9</v>
      </c>
      <c r="DM835" s="66">
        <f t="shared" si="2688"/>
        <v>9</v>
      </c>
      <c r="DN835" s="66">
        <f t="shared" si="2689"/>
        <v>9</v>
      </c>
      <c r="DO835" s="66">
        <f t="shared" si="2690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716">SUM(B277)</f>
        <v>8.4031311154598817E-2</v>
      </c>
      <c r="C836" s="581">
        <f t="shared" si="2716"/>
        <v>3.7908862175006997E-2</v>
      </c>
      <c r="D836" s="581">
        <f t="shared" si="2716"/>
        <v>1.1056751467710372E-2</v>
      </c>
      <c r="E836" s="581">
        <f t="shared" si="2716"/>
        <v>7.3711676451402482E-3</v>
      </c>
      <c r="F836" s="581">
        <f t="shared" si="2716"/>
        <v>7.3711676451402482E-3</v>
      </c>
      <c r="G836" s="581">
        <f t="shared" si="2716"/>
        <v>5.5283757338551861E-3</v>
      </c>
      <c r="H836" s="581">
        <f t="shared" si="2716"/>
        <v>7.3711676451402479E-4</v>
      </c>
      <c r="I836" s="581">
        <f t="shared" si="2716"/>
        <v>0.11056751467710371</v>
      </c>
      <c r="J836" s="581">
        <f t="shared" si="2716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717">SUM(T277)</f>
        <v>3.3170254403131115E-2</v>
      </c>
      <c r="U836" s="581">
        <f t="shared" si="2717"/>
        <v>2.4123821384095356E-2</v>
      </c>
      <c r="V836" s="581">
        <f t="shared" si="2717"/>
        <v>1.4742335290280496E-2</v>
      </c>
      <c r="W836" s="581">
        <f t="shared" si="2717"/>
        <v>1.3268101761252446E-2</v>
      </c>
      <c r="X836" s="581">
        <f t="shared" si="2717"/>
        <v>5.5283757338551861E-3</v>
      </c>
      <c r="Y836" s="581">
        <f t="shared" si="2717"/>
        <v>2.5272574783337994E-2</v>
      </c>
      <c r="Z836" s="581">
        <f t="shared" si="2717"/>
        <v>2.2113502935420744E-2</v>
      </c>
      <c r="AA836" s="581">
        <f t="shared" si="2717"/>
        <v>8.8454011741682988E-3</v>
      </c>
      <c r="AB836" s="581">
        <f t="shared" si="2717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718">SUM(AL277)</f>
        <v>4.4227005870841489E-2</v>
      </c>
      <c r="AM836" s="581">
        <f t="shared" si="2718"/>
        <v>0.14742335290280495</v>
      </c>
      <c r="AN836" s="581">
        <f t="shared" si="2718"/>
        <v>6.634050880626223E-2</v>
      </c>
      <c r="AO836" s="581">
        <f t="shared" si="2718"/>
        <v>2.2113502935420744E-2</v>
      </c>
      <c r="AP836" s="581">
        <f t="shared" si="2718"/>
        <v>4.4227005870841489E-2</v>
      </c>
      <c r="AQ836" s="581">
        <f t="shared" si="2718"/>
        <v>3.6855838225701237E-2</v>
      </c>
      <c r="AR836" s="581">
        <f t="shared" si="2718"/>
        <v>1.6585127201565558E-2</v>
      </c>
      <c r="AS836" s="581">
        <f t="shared" si="2718"/>
        <v>5.5283757338551856E-2</v>
      </c>
      <c r="AT836" s="581">
        <f t="shared" si="2718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719">SUM(BD277)</f>
        <v>0.14742335290280495</v>
      </c>
      <c r="BE836" s="581">
        <f t="shared" si="2719"/>
        <v>3.6855838225701237E-2</v>
      </c>
      <c r="BF836" s="581">
        <f t="shared" si="2719"/>
        <v>6.634050880626223E-2</v>
      </c>
      <c r="BG836" s="581">
        <f t="shared" si="2719"/>
        <v>0</v>
      </c>
      <c r="BH836" s="581">
        <f t="shared" si="2719"/>
        <v>0.11056751467710371</v>
      </c>
      <c r="BI836" s="581">
        <f t="shared" si="2719"/>
        <v>1.8954431087503498E-2</v>
      </c>
      <c r="BJ836" s="581">
        <f t="shared" si="2719"/>
        <v>3.6855838225701237E-2</v>
      </c>
      <c r="BK836" s="581">
        <f t="shared" si="2719"/>
        <v>1.8427919112850619E-2</v>
      </c>
      <c r="BL836" s="581">
        <f t="shared" si="2719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664"/>
        <v>2.4603152415565047E-2</v>
      </c>
      <c r="CA836" s="398">
        <f t="shared" si="2665"/>
        <v>2.0219427390240925E-2</v>
      </c>
      <c r="CB836" s="398">
        <f t="shared" si="2666"/>
        <v>4.7912589693411618E-2</v>
      </c>
      <c r="CC836" s="465">
        <f t="shared" si="2667"/>
        <v>4.8163309681341547E-2</v>
      </c>
      <c r="CD836" s="1114" t="str">
        <f t="shared" si="2695"/>
        <v/>
      </c>
      <c r="CE836" s="1115" t="str">
        <f t="shared" si="2669"/>
        <v/>
      </c>
      <c r="CF836" s="1116" t="str">
        <f t="shared" si="2669"/>
        <v/>
      </c>
      <c r="CG836" s="1116" t="str">
        <f t="shared" si="2669"/>
        <v/>
      </c>
      <c r="CH836" s="1116">
        <f t="shared" si="2669"/>
        <v>7.3711676451402479E-4</v>
      </c>
      <c r="CI836" s="1116">
        <f t="shared" si="2669"/>
        <v>5.5283757338551861E-3</v>
      </c>
      <c r="CJ836" s="1116">
        <f t="shared" si="2669"/>
        <v>7.3711676451402482E-3</v>
      </c>
      <c r="CK836" s="1117">
        <f t="shared" si="2669"/>
        <v>7.3711676451402482E-3</v>
      </c>
      <c r="CL836" s="1117">
        <f t="shared" si="2669"/>
        <v>1.1056751467710372E-2</v>
      </c>
      <c r="CM836" s="1117">
        <f t="shared" si="2669"/>
        <v>1.8954431087503498E-2</v>
      </c>
      <c r="CN836" s="1116">
        <f t="shared" si="2669"/>
        <v>3.7908862175006997E-2</v>
      </c>
      <c r="CO836" s="1116">
        <f t="shared" si="2669"/>
        <v>8.4031311154598817E-2</v>
      </c>
      <c r="CP836" s="1116">
        <f t="shared" si="2669"/>
        <v>0.11056751467710371</v>
      </c>
      <c r="CQ836" s="1116" t="str">
        <f t="shared" si="2669"/>
        <v/>
      </c>
      <c r="CR836" s="1116" t="str">
        <f t="shared" si="2669"/>
        <v/>
      </c>
      <c r="CS836" s="1115" t="str">
        <f t="shared" si="2669"/>
        <v/>
      </c>
      <c r="CT836" s="1118" t="str">
        <f t="shared" si="2669"/>
        <v/>
      </c>
      <c r="CU836" s="312" t="str">
        <f t="shared" si="2670"/>
        <v/>
      </c>
      <c r="CV836" s="313" t="str">
        <f t="shared" si="2671"/>
        <v/>
      </c>
      <c r="CW836" s="314" t="str">
        <f t="shared" si="2672"/>
        <v/>
      </c>
      <c r="CX836" s="314" t="str">
        <f t="shared" si="2673"/>
        <v/>
      </c>
      <c r="CY836" s="314">
        <f t="shared" si="2674"/>
        <v>5.5283757338551861E-3</v>
      </c>
      <c r="CZ836" s="314">
        <f t="shared" si="2675"/>
        <v>8.8454011741682988E-3</v>
      </c>
      <c r="DA836" s="314">
        <f t="shared" si="2676"/>
        <v>1.3268101761252446E-2</v>
      </c>
      <c r="DB836" s="315">
        <f t="shared" si="2677"/>
        <v>1.4742335290280496E-2</v>
      </c>
      <c r="DC836" s="315">
        <f t="shared" si="2678"/>
        <v>2.2113502935420744E-2</v>
      </c>
      <c r="DD836" s="315">
        <f t="shared" si="2679"/>
        <v>2.4123821384095356E-2</v>
      </c>
      <c r="DE836" s="314">
        <f t="shared" si="2680"/>
        <v>2.5272574783337994E-2</v>
      </c>
      <c r="DF836" s="314">
        <f t="shared" si="2681"/>
        <v>3.3170254403131115E-2</v>
      </c>
      <c r="DG836" s="314">
        <f t="shared" si="2682"/>
        <v>3.7908862175006997E-2</v>
      </c>
      <c r="DH836" s="314" t="str">
        <f t="shared" si="2683"/>
        <v/>
      </c>
      <c r="DI836" s="314" t="str">
        <f t="shared" si="2684"/>
        <v/>
      </c>
      <c r="DJ836" s="313" t="str">
        <f t="shared" si="2685"/>
        <v/>
      </c>
      <c r="DK836" s="312" t="str">
        <f t="shared" si="2686"/>
        <v/>
      </c>
      <c r="DL836" s="428">
        <f t="shared" si="2687"/>
        <v>9</v>
      </c>
      <c r="DM836" s="66">
        <f t="shared" si="2688"/>
        <v>9</v>
      </c>
      <c r="DN836" s="66">
        <f t="shared" si="2689"/>
        <v>9</v>
      </c>
      <c r="DO836" s="66">
        <f t="shared" si="2690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720">SUM(B284)</f>
        <v>0</v>
      </c>
      <c r="C837" s="581">
        <f t="shared" si="2720"/>
        <v>0</v>
      </c>
      <c r="D837" s="581">
        <f t="shared" si="2720"/>
        <v>0</v>
      </c>
      <c r="E837" s="581">
        <f t="shared" si="2720"/>
        <v>0</v>
      </c>
      <c r="F837" s="581">
        <f t="shared" si="2720"/>
        <v>0</v>
      </c>
      <c r="G837" s="581">
        <f t="shared" si="2720"/>
        <v>0</v>
      </c>
      <c r="H837" s="581">
        <f t="shared" si="2720"/>
        <v>0</v>
      </c>
      <c r="I837" s="581">
        <f t="shared" si="2720"/>
        <v>0</v>
      </c>
      <c r="J837" s="581">
        <f t="shared" si="2720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721">SUM(T284)</f>
        <v>-1.1252446183953033E-4</v>
      </c>
      <c r="U837" s="581">
        <f t="shared" si="2721"/>
        <v>0</v>
      </c>
      <c r="V837" s="581">
        <f t="shared" si="2721"/>
        <v>0</v>
      </c>
      <c r="W837" s="581">
        <f t="shared" si="2721"/>
        <v>0</v>
      </c>
      <c r="X837" s="581">
        <f t="shared" si="2721"/>
        <v>0</v>
      </c>
      <c r="Y837" s="581">
        <f t="shared" si="2721"/>
        <v>0</v>
      </c>
      <c r="Z837" s="581">
        <f t="shared" si="2721"/>
        <v>0</v>
      </c>
      <c r="AA837" s="581">
        <f t="shared" si="2721"/>
        <v>9.0019569471624266E-4</v>
      </c>
      <c r="AB837" s="581">
        <f t="shared" si="2721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722">SUM(AL284)</f>
        <v>0</v>
      </c>
      <c r="AM837" s="581">
        <f t="shared" si="2722"/>
        <v>0</v>
      </c>
      <c r="AN837" s="581">
        <f t="shared" si="2722"/>
        <v>0</v>
      </c>
      <c r="AO837" s="581">
        <f t="shared" si="2722"/>
        <v>3.0006523157208092E-3</v>
      </c>
      <c r="AP837" s="581">
        <f t="shared" si="2722"/>
        <v>1.0002174385736031E-2</v>
      </c>
      <c r="AQ837" s="581">
        <f t="shared" si="2722"/>
        <v>0</v>
      </c>
      <c r="AR837" s="581">
        <f t="shared" si="2722"/>
        <v>1.8754076973255054E-3</v>
      </c>
      <c r="AS837" s="581">
        <f t="shared" si="2722"/>
        <v>3.7508153946510109E-3</v>
      </c>
      <c r="AT837" s="581">
        <f t="shared" si="2722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723">SUM(BD284)</f>
        <v>0</v>
      </c>
      <c r="BE837" s="581">
        <f t="shared" si="2723"/>
        <v>0</v>
      </c>
      <c r="BF837" s="581">
        <f t="shared" si="2723"/>
        <v>1.350293542074364E-2</v>
      </c>
      <c r="BG837" s="581">
        <f t="shared" si="2723"/>
        <v>0</v>
      </c>
      <c r="BH837" s="581">
        <f t="shared" si="2723"/>
        <v>1.5003261578604043E-4</v>
      </c>
      <c r="BI837" s="581">
        <f t="shared" si="2723"/>
        <v>0</v>
      </c>
      <c r="BJ837" s="581">
        <f t="shared" si="2723"/>
        <v>1.5003261578604046E-3</v>
      </c>
      <c r="BK837" s="581">
        <f t="shared" si="2723"/>
        <v>2.5005435964340077E-3</v>
      </c>
      <c r="BL837" s="581">
        <f t="shared" si="2723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664"/>
        <v>0</v>
      </c>
      <c r="CA837" s="398">
        <f t="shared" si="2665"/>
        <v>1.285993849594632E-4</v>
      </c>
      <c r="CB837" s="398">
        <f t="shared" si="2666"/>
        <v>1.2324107725281892E-3</v>
      </c>
      <c r="CC837" s="465">
        <f t="shared" si="2667"/>
        <v>5.92986052868636E-4</v>
      </c>
      <c r="CD837" s="1114" t="str">
        <f t="shared" si="2695"/>
        <v/>
      </c>
      <c r="CE837" s="1115" t="str">
        <f t="shared" si="2669"/>
        <v/>
      </c>
      <c r="CF837" s="1116" t="str">
        <f t="shared" si="2669"/>
        <v/>
      </c>
      <c r="CG837" s="1116" t="str">
        <f t="shared" si="2669"/>
        <v/>
      </c>
      <c r="CH837" s="1116">
        <f t="shared" si="2669"/>
        <v>0</v>
      </c>
      <c r="CI837" s="1116">
        <f t="shared" si="2669"/>
        <v>0</v>
      </c>
      <c r="CJ837" s="1116">
        <f t="shared" si="2669"/>
        <v>0</v>
      </c>
      <c r="CK837" s="1117">
        <f t="shared" si="2669"/>
        <v>0</v>
      </c>
      <c r="CL837" s="1117">
        <f t="shared" si="2669"/>
        <v>0</v>
      </c>
      <c r="CM837" s="1117">
        <f t="shared" si="2669"/>
        <v>0</v>
      </c>
      <c r="CN837" s="1116">
        <f t="shared" si="2669"/>
        <v>0</v>
      </c>
      <c r="CO837" s="1116">
        <f t="shared" si="2669"/>
        <v>0</v>
      </c>
      <c r="CP837" s="1116">
        <f t="shared" si="2669"/>
        <v>0</v>
      </c>
      <c r="CQ837" s="1116" t="str">
        <f t="shared" si="2669"/>
        <v/>
      </c>
      <c r="CR837" s="1116" t="str">
        <f t="shared" si="2669"/>
        <v/>
      </c>
      <c r="CS837" s="1115" t="str">
        <f t="shared" si="2669"/>
        <v/>
      </c>
      <c r="CT837" s="1118" t="str">
        <f t="shared" si="2669"/>
        <v/>
      </c>
      <c r="CU837" s="312" t="str">
        <f t="shared" si="2670"/>
        <v/>
      </c>
      <c r="CV837" s="313" t="str">
        <f t="shared" si="2671"/>
        <v/>
      </c>
      <c r="CW837" s="314" t="str">
        <f t="shared" si="2672"/>
        <v/>
      </c>
      <c r="CX837" s="314" t="str">
        <f t="shared" si="2673"/>
        <v/>
      </c>
      <c r="CY837" s="314">
        <f t="shared" si="2674"/>
        <v>-1.1252446183953033E-4</v>
      </c>
      <c r="CZ837" s="314">
        <f t="shared" si="2675"/>
        <v>0</v>
      </c>
      <c r="DA837" s="314">
        <f t="shared" si="2676"/>
        <v>0</v>
      </c>
      <c r="DB837" s="315">
        <f t="shared" si="2677"/>
        <v>0</v>
      </c>
      <c r="DC837" s="315">
        <f t="shared" si="2678"/>
        <v>0</v>
      </c>
      <c r="DD837" s="315">
        <f t="shared" si="2679"/>
        <v>0</v>
      </c>
      <c r="DE837" s="314">
        <f t="shared" si="2680"/>
        <v>0</v>
      </c>
      <c r="DF837" s="314">
        <f t="shared" si="2681"/>
        <v>9.0019569471624266E-4</v>
      </c>
      <c r="DG837" s="314">
        <f t="shared" si="2682"/>
        <v>4.2866461653154409E-3</v>
      </c>
      <c r="DH837" s="314" t="str">
        <f t="shared" si="2683"/>
        <v/>
      </c>
      <c r="DI837" s="314" t="str">
        <f t="shared" si="2684"/>
        <v/>
      </c>
      <c r="DJ837" s="313" t="str">
        <f t="shared" si="2685"/>
        <v/>
      </c>
      <c r="DK837" s="312" t="str">
        <f t="shared" si="2686"/>
        <v/>
      </c>
      <c r="DL837" s="428">
        <f t="shared" si="2687"/>
        <v>9</v>
      </c>
      <c r="DM837" s="66">
        <f t="shared" si="2688"/>
        <v>9</v>
      </c>
      <c r="DN837" s="66">
        <f t="shared" si="2689"/>
        <v>9</v>
      </c>
      <c r="DO837" s="66">
        <f t="shared" si="2690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724">SUM(B291)</f>
        <v>4.1643835616438356E-2</v>
      </c>
      <c r="C838" s="581">
        <f t="shared" si="2724"/>
        <v>0</v>
      </c>
      <c r="D838" s="581">
        <f t="shared" si="2724"/>
        <v>0</v>
      </c>
      <c r="E838" s="581">
        <f t="shared" si="2724"/>
        <v>7.3059360730593603E-2</v>
      </c>
      <c r="F838" s="581">
        <f t="shared" si="2724"/>
        <v>2.9223744292237442E-2</v>
      </c>
      <c r="G838" s="581">
        <f t="shared" si="2724"/>
        <v>7.6712328767123292E-2</v>
      </c>
      <c r="H838" s="581">
        <f t="shared" si="2724"/>
        <v>2.9223744292237442E-2</v>
      </c>
      <c r="I838" s="581">
        <f t="shared" si="2724"/>
        <v>2.9223744292237442E-2</v>
      </c>
      <c r="J838" s="581">
        <f t="shared" si="2724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725">SUM(T291)</f>
        <v>0</v>
      </c>
      <c r="U838" s="581">
        <f t="shared" si="2725"/>
        <v>0</v>
      </c>
      <c r="V838" s="581">
        <f t="shared" si="2725"/>
        <v>0</v>
      </c>
      <c r="W838" s="581">
        <f t="shared" si="2725"/>
        <v>2.63013698630137E-2</v>
      </c>
      <c r="X838" s="581">
        <f t="shared" si="2725"/>
        <v>5.4794520547945202E-2</v>
      </c>
      <c r="Y838" s="581">
        <f t="shared" si="2725"/>
        <v>2.5048923679060663E-2</v>
      </c>
      <c r="Z838" s="581">
        <f t="shared" si="2725"/>
        <v>1.9178082191780823E-2</v>
      </c>
      <c r="AA838" s="581">
        <f t="shared" si="2725"/>
        <v>3.9452054794520547E-2</v>
      </c>
      <c r="AB838" s="581">
        <f t="shared" si="2725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726">SUM(AL291)</f>
        <v>0</v>
      </c>
      <c r="AM838" s="581">
        <f t="shared" si="2726"/>
        <v>0</v>
      </c>
      <c r="AN838" s="581">
        <f t="shared" si="2726"/>
        <v>0</v>
      </c>
      <c r="AO838" s="581">
        <f t="shared" si="2726"/>
        <v>5.4794520547945202E-2</v>
      </c>
      <c r="AP838" s="581">
        <f t="shared" si="2726"/>
        <v>2.1917808219178082E-2</v>
      </c>
      <c r="AQ838" s="581">
        <f t="shared" si="2726"/>
        <v>3.6529680365296802E-2</v>
      </c>
      <c r="AR838" s="581">
        <f t="shared" si="2726"/>
        <v>4.3835616438356165E-2</v>
      </c>
      <c r="AS838" s="581">
        <f t="shared" si="2726"/>
        <v>8.2191780821917818E-2</v>
      </c>
      <c r="AT838" s="581">
        <f t="shared" si="2726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727">SUM(BD291)</f>
        <v>2.5570776255707764E-2</v>
      </c>
      <c r="BE838" s="581">
        <f t="shared" si="2727"/>
        <v>0</v>
      </c>
      <c r="BF838" s="581">
        <f t="shared" si="2727"/>
        <v>0</v>
      </c>
      <c r="BG838" s="581">
        <f t="shared" si="2727"/>
        <v>4.8219178082191783E-2</v>
      </c>
      <c r="BH838" s="581">
        <f t="shared" si="2727"/>
        <v>4.3835616438356165E-2</v>
      </c>
      <c r="BI838" s="581">
        <f t="shared" si="2727"/>
        <v>0.11898238747553816</v>
      </c>
      <c r="BJ838" s="581">
        <f t="shared" si="2727"/>
        <v>3.6529680365296802E-2</v>
      </c>
      <c r="BK838" s="581">
        <f t="shared" si="2727"/>
        <v>7.1232876712328766E-2</v>
      </c>
      <c r="BL838" s="581">
        <f t="shared" si="2727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664"/>
        <v>3.4278259248905048E-2</v>
      </c>
      <c r="CA838" s="398">
        <f t="shared" si="2665"/>
        <v>2.3539278725188708E-2</v>
      </c>
      <c r="CB838" s="398">
        <f t="shared" si="2666"/>
        <v>3.418134377038487E-2</v>
      </c>
      <c r="CC838" s="465">
        <f t="shared" si="2667"/>
        <v>4.2635355512067839E-2</v>
      </c>
      <c r="CD838" s="1114" t="str">
        <f t="shared" si="2695"/>
        <v/>
      </c>
      <c r="CE838" s="1115" t="str">
        <f t="shared" si="2669"/>
        <v/>
      </c>
      <c r="CF838" s="1116" t="str">
        <f t="shared" si="2669"/>
        <v/>
      </c>
      <c r="CG838" s="1116" t="str">
        <f t="shared" si="2669"/>
        <v/>
      </c>
      <c r="CH838" s="1116">
        <f t="shared" si="2669"/>
        <v>0</v>
      </c>
      <c r="CI838" s="1116">
        <f t="shared" si="2669"/>
        <v>0</v>
      </c>
      <c r="CJ838" s="1116">
        <f t="shared" si="2669"/>
        <v>2.9223744292237442E-2</v>
      </c>
      <c r="CK838" s="1117">
        <f t="shared" si="2669"/>
        <v>2.9223744292237442E-2</v>
      </c>
      <c r="CL838" s="1117">
        <f t="shared" si="2669"/>
        <v>2.9223744292237442E-2</v>
      </c>
      <c r="CM838" s="1117">
        <f t="shared" si="2669"/>
        <v>3.7573385518590997E-2</v>
      </c>
      <c r="CN838" s="1116">
        <f t="shared" si="2669"/>
        <v>4.1643835616438356E-2</v>
      </c>
      <c r="CO838" s="1116">
        <f t="shared" si="2669"/>
        <v>7.3059360730593603E-2</v>
      </c>
      <c r="CP838" s="1116">
        <f t="shared" si="2669"/>
        <v>7.6712328767123292E-2</v>
      </c>
      <c r="CQ838" s="1116" t="str">
        <f t="shared" si="2669"/>
        <v/>
      </c>
      <c r="CR838" s="1116" t="str">
        <f t="shared" si="2669"/>
        <v/>
      </c>
      <c r="CS838" s="1115" t="str">
        <f t="shared" si="2669"/>
        <v/>
      </c>
      <c r="CT838" s="1118" t="str">
        <f t="shared" si="2669"/>
        <v/>
      </c>
      <c r="CU838" s="312" t="str">
        <f t="shared" si="2670"/>
        <v/>
      </c>
      <c r="CV838" s="313" t="str">
        <f t="shared" si="2671"/>
        <v/>
      </c>
      <c r="CW838" s="314" t="str">
        <f t="shared" si="2672"/>
        <v/>
      </c>
      <c r="CX838" s="314" t="str">
        <f t="shared" si="2673"/>
        <v/>
      </c>
      <c r="CY838" s="314">
        <f t="shared" si="2674"/>
        <v>0</v>
      </c>
      <c r="CZ838" s="314">
        <f t="shared" si="2675"/>
        <v>0</v>
      </c>
      <c r="DA838" s="314">
        <f t="shared" si="2676"/>
        <v>0</v>
      </c>
      <c r="DB838" s="315">
        <f t="shared" si="2677"/>
        <v>1.9178082191780823E-2</v>
      </c>
      <c r="DC838" s="315">
        <f t="shared" si="2678"/>
        <v>2.5048923679060663E-2</v>
      </c>
      <c r="DD838" s="315">
        <f t="shared" si="2679"/>
        <v>2.63013698630137E-2</v>
      </c>
      <c r="DE838" s="314">
        <f t="shared" si="2680"/>
        <v>3.9452054794520547E-2</v>
      </c>
      <c r="DF838" s="314">
        <f t="shared" si="2681"/>
        <v>5.4794520547945202E-2</v>
      </c>
      <c r="DG838" s="314">
        <f t="shared" si="2682"/>
        <v>9.393346379647749E-2</v>
      </c>
      <c r="DH838" s="314" t="str">
        <f t="shared" si="2683"/>
        <v/>
      </c>
      <c r="DI838" s="314" t="str">
        <f t="shared" si="2684"/>
        <v/>
      </c>
      <c r="DJ838" s="313" t="str">
        <f t="shared" si="2685"/>
        <v/>
      </c>
      <c r="DK838" s="312" t="str">
        <f t="shared" si="2686"/>
        <v/>
      </c>
      <c r="DL838" s="428">
        <f t="shared" si="2687"/>
        <v>9</v>
      </c>
      <c r="DM838" s="66">
        <f t="shared" si="2688"/>
        <v>9</v>
      </c>
      <c r="DN838" s="66">
        <f t="shared" si="2689"/>
        <v>9</v>
      </c>
      <c r="DO838" s="66">
        <f t="shared" si="2690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728">SUM(B298)</f>
        <v>0</v>
      </c>
      <c r="C839" s="581">
        <f t="shared" si="2728"/>
        <v>0</v>
      </c>
      <c r="D839" s="581">
        <f t="shared" si="2728"/>
        <v>0</v>
      </c>
      <c r="E839" s="581">
        <f t="shared" si="2728"/>
        <v>0</v>
      </c>
      <c r="F839" s="581">
        <f t="shared" si="2728"/>
        <v>0</v>
      </c>
      <c r="G839" s="581">
        <f t="shared" si="2728"/>
        <v>0</v>
      </c>
      <c r="H839" s="581">
        <f t="shared" si="2728"/>
        <v>0</v>
      </c>
      <c r="I839" s="581">
        <f t="shared" si="2728"/>
        <v>0</v>
      </c>
      <c r="J839" s="581">
        <f t="shared" si="2728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729">SUM(T298)</f>
        <v>0</v>
      </c>
      <c r="U839" s="581">
        <f t="shared" si="2729"/>
        <v>0</v>
      </c>
      <c r="V839" s="581">
        <f t="shared" si="2729"/>
        <v>0</v>
      </c>
      <c r="W839" s="581">
        <f t="shared" si="2729"/>
        <v>0</v>
      </c>
      <c r="X839" s="581">
        <f t="shared" si="2729"/>
        <v>0</v>
      </c>
      <c r="Y839" s="581">
        <f t="shared" si="2729"/>
        <v>0</v>
      </c>
      <c r="Z839" s="581">
        <f t="shared" si="2729"/>
        <v>0</v>
      </c>
      <c r="AA839" s="581">
        <f t="shared" si="2729"/>
        <v>0</v>
      </c>
      <c r="AB839" s="581">
        <f t="shared" si="2729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730">SUM(AL298)</f>
        <v>0</v>
      </c>
      <c r="AM839" s="581">
        <f t="shared" si="2730"/>
        <v>0</v>
      </c>
      <c r="AN839" s="581">
        <f t="shared" si="2730"/>
        <v>0</v>
      </c>
      <c r="AO839" s="581">
        <f t="shared" si="2730"/>
        <v>0</v>
      </c>
      <c r="AP839" s="581">
        <f t="shared" si="2730"/>
        <v>0</v>
      </c>
      <c r="AQ839" s="581">
        <f t="shared" si="2730"/>
        <v>0</v>
      </c>
      <c r="AR839" s="581">
        <f t="shared" si="2730"/>
        <v>0</v>
      </c>
      <c r="AS839" s="581">
        <f t="shared" si="2730"/>
        <v>0</v>
      </c>
      <c r="AT839" s="581">
        <f t="shared" si="2730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731">SUM(BD298)</f>
        <v>0</v>
      </c>
      <c r="BE839" s="581">
        <f t="shared" si="2731"/>
        <v>0</v>
      </c>
      <c r="BF839" s="581">
        <f t="shared" si="2731"/>
        <v>0</v>
      </c>
      <c r="BG839" s="581">
        <f t="shared" si="2731"/>
        <v>0</v>
      </c>
      <c r="BH839" s="581">
        <f t="shared" si="2731"/>
        <v>0</v>
      </c>
      <c r="BI839" s="581">
        <f t="shared" si="2731"/>
        <v>0</v>
      </c>
      <c r="BJ839" s="581">
        <f t="shared" si="2731"/>
        <v>0</v>
      </c>
      <c r="BK839" s="581">
        <f t="shared" si="2731"/>
        <v>0</v>
      </c>
      <c r="BL839" s="581">
        <f t="shared" si="2731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664"/>
        <v>0</v>
      </c>
      <c r="CA839" s="398">
        <f t="shared" si="2665"/>
        <v>0</v>
      </c>
      <c r="CB839" s="398">
        <f t="shared" si="2666"/>
        <v>0</v>
      </c>
      <c r="CC839" s="465">
        <f t="shared" si="2667"/>
        <v>0</v>
      </c>
      <c r="CD839" s="1114" t="str">
        <f t="shared" si="2695"/>
        <v/>
      </c>
      <c r="CE839" s="1115" t="str">
        <f t="shared" si="2669"/>
        <v/>
      </c>
      <c r="CF839" s="1116" t="str">
        <f t="shared" si="2669"/>
        <v/>
      </c>
      <c r="CG839" s="1116" t="str">
        <f t="shared" si="2669"/>
        <v/>
      </c>
      <c r="CH839" s="1116">
        <f t="shared" si="2669"/>
        <v>0</v>
      </c>
      <c r="CI839" s="1116">
        <f t="shared" si="2669"/>
        <v>0</v>
      </c>
      <c r="CJ839" s="1116">
        <f t="shared" si="2669"/>
        <v>0</v>
      </c>
      <c r="CK839" s="1117">
        <f t="shared" si="2669"/>
        <v>0</v>
      </c>
      <c r="CL839" s="1117">
        <f t="shared" si="2669"/>
        <v>0</v>
      </c>
      <c r="CM839" s="1117">
        <f t="shared" si="2669"/>
        <v>0</v>
      </c>
      <c r="CN839" s="1116">
        <f t="shared" si="2669"/>
        <v>0</v>
      </c>
      <c r="CO839" s="1116">
        <f t="shared" si="2669"/>
        <v>0</v>
      </c>
      <c r="CP839" s="1116">
        <f t="shared" si="2669"/>
        <v>0</v>
      </c>
      <c r="CQ839" s="1116" t="str">
        <f t="shared" si="2669"/>
        <v/>
      </c>
      <c r="CR839" s="1116" t="str">
        <f t="shared" si="2669"/>
        <v/>
      </c>
      <c r="CS839" s="1115" t="str">
        <f t="shared" si="2669"/>
        <v/>
      </c>
      <c r="CT839" s="1118" t="str">
        <f t="shared" si="2669"/>
        <v/>
      </c>
      <c r="CU839" s="312" t="str">
        <f t="shared" si="2670"/>
        <v/>
      </c>
      <c r="CV839" s="313" t="str">
        <f t="shared" si="2671"/>
        <v/>
      </c>
      <c r="CW839" s="314" t="str">
        <f t="shared" si="2672"/>
        <v/>
      </c>
      <c r="CX839" s="314" t="str">
        <f t="shared" si="2673"/>
        <v/>
      </c>
      <c r="CY839" s="314">
        <f t="shared" si="2674"/>
        <v>0</v>
      </c>
      <c r="CZ839" s="314">
        <f t="shared" si="2675"/>
        <v>0</v>
      </c>
      <c r="DA839" s="314">
        <f t="shared" si="2676"/>
        <v>0</v>
      </c>
      <c r="DB839" s="315">
        <f t="shared" si="2677"/>
        <v>0</v>
      </c>
      <c r="DC839" s="315">
        <f t="shared" si="2678"/>
        <v>0</v>
      </c>
      <c r="DD839" s="315">
        <f t="shared" si="2679"/>
        <v>0</v>
      </c>
      <c r="DE839" s="314">
        <f t="shared" si="2680"/>
        <v>0</v>
      </c>
      <c r="DF839" s="314">
        <f t="shared" si="2681"/>
        <v>0</v>
      </c>
      <c r="DG839" s="314">
        <f t="shared" si="2682"/>
        <v>0</v>
      </c>
      <c r="DH839" s="314" t="str">
        <f t="shared" si="2683"/>
        <v/>
      </c>
      <c r="DI839" s="314" t="str">
        <f t="shared" si="2684"/>
        <v/>
      </c>
      <c r="DJ839" s="313" t="str">
        <f t="shared" si="2685"/>
        <v/>
      </c>
      <c r="DK839" s="312" t="str">
        <f t="shared" si="2686"/>
        <v/>
      </c>
      <c r="DL839" s="428">
        <f t="shared" si="2687"/>
        <v>9</v>
      </c>
      <c r="DM839" s="66">
        <f t="shared" si="2688"/>
        <v>9</v>
      </c>
      <c r="DN839" s="66">
        <f t="shared" si="2689"/>
        <v>9</v>
      </c>
      <c r="DO839" s="66">
        <f t="shared" si="2690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732">SUM(B308)</f>
        <v>1.9960861056751468E-2</v>
      </c>
      <c r="C840" s="581">
        <f t="shared" si="2732"/>
        <v>2.8515515795359242E-2</v>
      </c>
      <c r="D840" s="581">
        <f t="shared" si="2732"/>
        <v>0</v>
      </c>
      <c r="E840" s="581">
        <f t="shared" si="2732"/>
        <v>3.3268101761252451E-2</v>
      </c>
      <c r="F840" s="581">
        <f t="shared" si="2732"/>
        <v>2.661448140900196E-2</v>
      </c>
      <c r="G840" s="581">
        <f t="shared" si="2732"/>
        <v>2.9941291585127202E-2</v>
      </c>
      <c r="H840" s="581">
        <f t="shared" si="2732"/>
        <v>0</v>
      </c>
      <c r="I840" s="581">
        <f t="shared" si="2732"/>
        <v>1.330724070450098E-2</v>
      </c>
      <c r="J840" s="581">
        <f t="shared" si="2732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733">SUM(T308)</f>
        <v>2.4951076320939337E-2</v>
      </c>
      <c r="U840" s="581">
        <f t="shared" si="2733"/>
        <v>1.4516989859455614E-2</v>
      </c>
      <c r="V840" s="581">
        <f t="shared" si="2733"/>
        <v>6.6536203522504899E-3</v>
      </c>
      <c r="W840" s="581">
        <f t="shared" si="2733"/>
        <v>1.9960861056751468E-2</v>
      </c>
      <c r="X840" s="581">
        <f t="shared" si="2733"/>
        <v>2.9941291585127202E-2</v>
      </c>
      <c r="Y840" s="581">
        <f t="shared" si="2733"/>
        <v>1.4828068213586806E-2</v>
      </c>
      <c r="Z840" s="581">
        <f t="shared" si="2733"/>
        <v>2.4951076320939337E-2</v>
      </c>
      <c r="AA840" s="581">
        <f t="shared" si="2733"/>
        <v>1.9960861056751468E-2</v>
      </c>
      <c r="AB840" s="581">
        <f t="shared" si="2733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734">SUM(AL308)</f>
        <v>1.4516989859455614E-2</v>
      </c>
      <c r="AM840" s="581">
        <f t="shared" si="2734"/>
        <v>1.4970645792563601E-2</v>
      </c>
      <c r="AN840" s="581">
        <f t="shared" si="2734"/>
        <v>2.4951076320939337E-2</v>
      </c>
      <c r="AO840" s="581">
        <f t="shared" si="2734"/>
        <v>1.4970645792563601E-2</v>
      </c>
      <c r="AP840" s="581">
        <f t="shared" si="2734"/>
        <v>1.330724070450098E-2</v>
      </c>
      <c r="AQ840" s="581">
        <f t="shared" si="2734"/>
        <v>1.9960861056751468E-2</v>
      </c>
      <c r="AR840" s="581">
        <f t="shared" si="2734"/>
        <v>2.9941291585127202E-2</v>
      </c>
      <c r="AS840" s="581">
        <f t="shared" si="2734"/>
        <v>1.9960861056751468E-2</v>
      </c>
      <c r="AT840" s="581">
        <f t="shared" si="2734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735">SUM(BD308)</f>
        <v>6.6536203522504899E-3</v>
      </c>
      <c r="BE840" s="581">
        <f t="shared" si="2735"/>
        <v>3.326810176125245E-3</v>
      </c>
      <c r="BF840" s="581">
        <f t="shared" si="2735"/>
        <v>0</v>
      </c>
      <c r="BG840" s="581">
        <f t="shared" si="2735"/>
        <v>4.7906066536203525E-3</v>
      </c>
      <c r="BH840" s="581">
        <f t="shared" si="2735"/>
        <v>5.9882583170254404E-3</v>
      </c>
      <c r="BI840" s="581">
        <f t="shared" si="2735"/>
        <v>4.5624825272574783E-2</v>
      </c>
      <c r="BJ840" s="581">
        <f t="shared" si="2735"/>
        <v>1.330724070450098E-2</v>
      </c>
      <c r="BK840" s="581">
        <f t="shared" si="2735"/>
        <v>6.6536203522504899E-3</v>
      </c>
      <c r="BL840" s="581">
        <f t="shared" si="2735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664"/>
        <v>1.6905627221534408E-2</v>
      </c>
      <c r="CA840" s="398">
        <f t="shared" si="2665"/>
        <v>1.7974650454382072E-2</v>
      </c>
      <c r="CB840" s="398">
        <f t="shared" si="2666"/>
        <v>1.7519760083360866E-2</v>
      </c>
      <c r="CC840" s="465">
        <f t="shared" si="2667"/>
        <v>5.8171652222532852E-3</v>
      </c>
      <c r="CD840" s="1114" t="str">
        <f t="shared" si="2695"/>
        <v/>
      </c>
      <c r="CE840" s="1115" t="str">
        <f t="shared" si="2669"/>
        <v/>
      </c>
      <c r="CF840" s="1116" t="str">
        <f t="shared" si="2669"/>
        <v/>
      </c>
      <c r="CG840" s="1116" t="str">
        <f t="shared" si="2669"/>
        <v/>
      </c>
      <c r="CH840" s="1116">
        <f t="shared" si="2669"/>
        <v>0</v>
      </c>
      <c r="CI840" s="1116">
        <f t="shared" si="2669"/>
        <v>0</v>
      </c>
      <c r="CJ840" s="1116">
        <f t="shared" si="2669"/>
        <v>0</v>
      </c>
      <c r="CK840" s="1117">
        <f t="shared" si="2669"/>
        <v>1.330724070450098E-2</v>
      </c>
      <c r="CL840" s="1117">
        <f t="shared" si="2669"/>
        <v>1.9960861056751468E-2</v>
      </c>
      <c r="CM840" s="1117">
        <f t="shared" si="2669"/>
        <v>2.661448140900196E-2</v>
      </c>
      <c r="CN840" s="1116">
        <f t="shared" si="2669"/>
        <v>2.8515515795359242E-2</v>
      </c>
      <c r="CO840" s="1116">
        <f t="shared" si="2669"/>
        <v>2.9941291585127202E-2</v>
      </c>
      <c r="CP840" s="1116">
        <f t="shared" si="2669"/>
        <v>3.3268101761252451E-2</v>
      </c>
      <c r="CQ840" s="1116" t="str">
        <f t="shared" si="2669"/>
        <v/>
      </c>
      <c r="CR840" s="1116" t="str">
        <f t="shared" si="2669"/>
        <v/>
      </c>
      <c r="CS840" s="1115" t="str">
        <f t="shared" si="2669"/>
        <v/>
      </c>
      <c r="CT840" s="1118" t="str">
        <f t="shared" si="2669"/>
        <v/>
      </c>
      <c r="CU840" s="312" t="str">
        <f t="shared" si="2670"/>
        <v/>
      </c>
      <c r="CV840" s="313" t="str">
        <f t="shared" si="2671"/>
        <v/>
      </c>
      <c r="CW840" s="314" t="str">
        <f t="shared" si="2672"/>
        <v/>
      </c>
      <c r="CX840" s="314" t="str">
        <f t="shared" si="2673"/>
        <v/>
      </c>
      <c r="CY840" s="314">
        <f t="shared" si="2674"/>
        <v>0</v>
      </c>
      <c r="CZ840" s="314">
        <f t="shared" si="2675"/>
        <v>6.6536203522504899E-3</v>
      </c>
      <c r="DA840" s="314">
        <f t="shared" si="2676"/>
        <v>1.4516989859455614E-2</v>
      </c>
      <c r="DB840" s="315">
        <f t="shared" si="2677"/>
        <v>1.4828068213586806E-2</v>
      </c>
      <c r="DC840" s="315">
        <f t="shared" si="2678"/>
        <v>1.9960861056751468E-2</v>
      </c>
      <c r="DD840" s="315">
        <f t="shared" si="2679"/>
        <v>1.9960861056751468E-2</v>
      </c>
      <c r="DE840" s="314">
        <f t="shared" si="2680"/>
        <v>2.4951076320939337E-2</v>
      </c>
      <c r="DF840" s="314">
        <f t="shared" si="2681"/>
        <v>2.4951076320939337E-2</v>
      </c>
      <c r="DG840" s="314">
        <f t="shared" si="2682"/>
        <v>2.9941291585127202E-2</v>
      </c>
      <c r="DH840" s="314" t="str">
        <f t="shared" si="2683"/>
        <v/>
      </c>
      <c r="DI840" s="314" t="str">
        <f t="shared" si="2684"/>
        <v/>
      </c>
      <c r="DJ840" s="313" t="str">
        <f t="shared" si="2685"/>
        <v/>
      </c>
      <c r="DK840" s="312" t="str">
        <f t="shared" si="2686"/>
        <v/>
      </c>
      <c r="DL840" s="428">
        <f t="shared" si="2687"/>
        <v>9</v>
      </c>
      <c r="DM840" s="66">
        <f t="shared" si="2688"/>
        <v>9</v>
      </c>
      <c r="DN840" s="66">
        <f t="shared" si="2689"/>
        <v>9</v>
      </c>
      <c r="DO840" s="66">
        <f t="shared" si="2690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736">SUM(B318)</f>
        <v>0</v>
      </c>
      <c r="C841" s="581">
        <f t="shared" si="2736"/>
        <v>3.8579815487838976E-4</v>
      </c>
      <c r="D841" s="581">
        <f t="shared" si="2736"/>
        <v>0</v>
      </c>
      <c r="E841" s="581">
        <f t="shared" si="2736"/>
        <v>0</v>
      </c>
      <c r="F841" s="581">
        <f t="shared" si="2736"/>
        <v>0</v>
      </c>
      <c r="G841" s="581">
        <f t="shared" si="2736"/>
        <v>0</v>
      </c>
      <c r="H841" s="581">
        <f t="shared" si="2736"/>
        <v>0</v>
      </c>
      <c r="I841" s="581">
        <f t="shared" si="2736"/>
        <v>0</v>
      </c>
      <c r="J841" s="581">
        <f t="shared" si="2736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737">SUM(T318)</f>
        <v>0</v>
      </c>
      <c r="U841" s="581">
        <f t="shared" si="2737"/>
        <v>0</v>
      </c>
      <c r="V841" s="581">
        <f t="shared" si="2737"/>
        <v>2.0004348771472062E-3</v>
      </c>
      <c r="W841" s="581">
        <f t="shared" si="2737"/>
        <v>3.0006523157208092E-3</v>
      </c>
      <c r="X841" s="581">
        <f t="shared" si="2737"/>
        <v>0</v>
      </c>
      <c r="Y841" s="581">
        <f t="shared" si="2737"/>
        <v>0</v>
      </c>
      <c r="Z841" s="581">
        <f t="shared" si="2737"/>
        <v>0</v>
      </c>
      <c r="AA841" s="581">
        <f t="shared" si="2737"/>
        <v>0</v>
      </c>
      <c r="AB841" s="581">
        <f t="shared" si="2737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738">SUM(AL318)</f>
        <v>-1.3639328707821857E-4</v>
      </c>
      <c r="AM841" s="581">
        <f t="shared" si="2738"/>
        <v>2.5005435964340077E-3</v>
      </c>
      <c r="AN841" s="581">
        <f t="shared" si="2738"/>
        <v>1.5003261578604046E-3</v>
      </c>
      <c r="AO841" s="581">
        <f t="shared" si="2738"/>
        <v>3.0006523157208092E-3</v>
      </c>
      <c r="AP841" s="581">
        <f t="shared" si="2738"/>
        <v>0</v>
      </c>
      <c r="AQ841" s="581">
        <f t="shared" si="2738"/>
        <v>2.2004783648619269E-2</v>
      </c>
      <c r="AR841" s="581">
        <f t="shared" si="2738"/>
        <v>0</v>
      </c>
      <c r="AS841" s="581">
        <f t="shared" si="2738"/>
        <v>9.3770384866275289E-3</v>
      </c>
      <c r="AT841" s="581">
        <f t="shared" si="2738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739">SUM(BD318)</f>
        <v>2.9256360078277889E-3</v>
      </c>
      <c r="BE841" s="581">
        <f t="shared" si="2739"/>
        <v>4.0008697542944123E-3</v>
      </c>
      <c r="BF841" s="581">
        <f t="shared" si="2739"/>
        <v>4.5009784735812134E-3</v>
      </c>
      <c r="BG841" s="581">
        <f t="shared" si="2739"/>
        <v>6.0013046314416185E-3</v>
      </c>
      <c r="BH841" s="581">
        <f t="shared" si="2739"/>
        <v>3.0006523157208092E-3</v>
      </c>
      <c r="BI841" s="581">
        <f t="shared" si="2739"/>
        <v>0</v>
      </c>
      <c r="BJ841" s="581">
        <f t="shared" si="2739"/>
        <v>2.5005435964340076E-2</v>
      </c>
      <c r="BK841" s="581">
        <f t="shared" si="2739"/>
        <v>5.7512502717982162E-3</v>
      </c>
      <c r="BL841" s="581">
        <f t="shared" si="2739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664"/>
        <v>0</v>
      </c>
      <c r="CA841" s="398">
        <f t="shared" si="2665"/>
        <v>2.8577641102102945E-4</v>
      </c>
      <c r="CB841" s="398">
        <f t="shared" si="2666"/>
        <v>2.6827260584599139E-3</v>
      </c>
      <c r="CC841" s="465">
        <f t="shared" si="2667"/>
        <v>3.7400987792377228E-3</v>
      </c>
      <c r="CD841" s="1114" t="str">
        <f t="shared" si="2695"/>
        <v/>
      </c>
      <c r="CE841" s="1115" t="str">
        <f t="shared" si="2669"/>
        <v/>
      </c>
      <c r="CF841" s="1116" t="str">
        <f t="shared" si="2669"/>
        <v/>
      </c>
      <c r="CG841" s="1116" t="str">
        <f t="shared" si="2669"/>
        <v/>
      </c>
      <c r="CH841" s="1116">
        <f t="shared" si="2669"/>
        <v>0</v>
      </c>
      <c r="CI841" s="1116">
        <f t="shared" si="2669"/>
        <v>0</v>
      </c>
      <c r="CJ841" s="1116">
        <f t="shared" si="2669"/>
        <v>0</v>
      </c>
      <c r="CK841" s="1117">
        <f t="shared" si="2669"/>
        <v>0</v>
      </c>
      <c r="CL841" s="1117">
        <f t="shared" si="2669"/>
        <v>0</v>
      </c>
      <c r="CM841" s="1117">
        <f t="shared" si="2669"/>
        <v>0</v>
      </c>
      <c r="CN841" s="1116">
        <f t="shared" si="2669"/>
        <v>0</v>
      </c>
      <c r="CO841" s="1116">
        <f t="shared" si="2669"/>
        <v>0</v>
      </c>
      <c r="CP841" s="1116">
        <f t="shared" si="2669"/>
        <v>3.8579815487838976E-4</v>
      </c>
      <c r="CQ841" s="1116" t="str">
        <f t="shared" si="2669"/>
        <v/>
      </c>
      <c r="CR841" s="1116" t="str">
        <f t="shared" si="2669"/>
        <v/>
      </c>
      <c r="CS841" s="1115" t="str">
        <f t="shared" si="2669"/>
        <v/>
      </c>
      <c r="CT841" s="1118" t="str">
        <f t="shared" si="2669"/>
        <v/>
      </c>
      <c r="CU841" s="312" t="str">
        <f t="shared" si="2670"/>
        <v/>
      </c>
      <c r="CV841" s="313" t="str">
        <f t="shared" si="2671"/>
        <v/>
      </c>
      <c r="CW841" s="314" t="str">
        <f t="shared" si="2672"/>
        <v/>
      </c>
      <c r="CX841" s="314" t="str">
        <f t="shared" si="2673"/>
        <v/>
      </c>
      <c r="CY841" s="314">
        <f t="shared" si="2674"/>
        <v>0</v>
      </c>
      <c r="CZ841" s="314">
        <f t="shared" si="2675"/>
        <v>0</v>
      </c>
      <c r="DA841" s="314">
        <f t="shared" si="2676"/>
        <v>0</v>
      </c>
      <c r="DB841" s="315">
        <f t="shared" si="2677"/>
        <v>0</v>
      </c>
      <c r="DC841" s="315">
        <f t="shared" si="2678"/>
        <v>0</v>
      </c>
      <c r="DD841" s="315">
        <f t="shared" si="2679"/>
        <v>0</v>
      </c>
      <c r="DE841" s="314">
        <f t="shared" si="2680"/>
        <v>0</v>
      </c>
      <c r="DF841" s="314">
        <f t="shared" si="2681"/>
        <v>2.0004348771472062E-3</v>
      </c>
      <c r="DG841" s="314">
        <f t="shared" si="2682"/>
        <v>3.0006523157208092E-3</v>
      </c>
      <c r="DH841" s="314" t="str">
        <f t="shared" si="2683"/>
        <v/>
      </c>
      <c r="DI841" s="314" t="str">
        <f t="shared" si="2684"/>
        <v/>
      </c>
      <c r="DJ841" s="313" t="str">
        <f t="shared" si="2685"/>
        <v/>
      </c>
      <c r="DK841" s="312" t="str">
        <f t="shared" si="2686"/>
        <v/>
      </c>
      <c r="DL841" s="428">
        <f t="shared" si="2687"/>
        <v>9</v>
      </c>
      <c r="DM841" s="66">
        <f t="shared" si="2688"/>
        <v>9</v>
      </c>
      <c r="DN841" s="66">
        <f t="shared" si="2689"/>
        <v>9</v>
      </c>
      <c r="DO841" s="66">
        <f t="shared" si="2690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740">SUM(B328)</f>
        <v>0</v>
      </c>
      <c r="C842" s="581">
        <f t="shared" si="2740"/>
        <v>0</v>
      </c>
      <c r="D842" s="581">
        <f t="shared" si="2740"/>
        <v>0</v>
      </c>
      <c r="E842" s="581">
        <f t="shared" si="2740"/>
        <v>0</v>
      </c>
      <c r="F842" s="581">
        <f t="shared" si="2740"/>
        <v>0</v>
      </c>
      <c r="G842" s="581">
        <f t="shared" si="2740"/>
        <v>0</v>
      </c>
      <c r="H842" s="581">
        <f t="shared" si="2740"/>
        <v>0</v>
      </c>
      <c r="I842" s="581">
        <f t="shared" si="2740"/>
        <v>0</v>
      </c>
      <c r="J842" s="581">
        <f t="shared" si="2740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741">SUM(T328)</f>
        <v>0</v>
      </c>
      <c r="U842" s="581">
        <f t="shared" si="2741"/>
        <v>0</v>
      </c>
      <c r="V842" s="581">
        <f t="shared" si="2741"/>
        <v>0</v>
      </c>
      <c r="W842" s="581">
        <f t="shared" si="2741"/>
        <v>0</v>
      </c>
      <c r="X842" s="581">
        <f t="shared" si="2741"/>
        <v>0</v>
      </c>
      <c r="Y842" s="581">
        <f t="shared" si="2741"/>
        <v>0</v>
      </c>
      <c r="Z842" s="581">
        <f t="shared" si="2741"/>
        <v>0</v>
      </c>
      <c r="AA842" s="581">
        <f t="shared" si="2741"/>
        <v>0</v>
      </c>
      <c r="AB842" s="581">
        <f t="shared" si="2741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742">SUM(AL328)</f>
        <v>0</v>
      </c>
      <c r="AM842" s="581">
        <f t="shared" si="2742"/>
        <v>0</v>
      </c>
      <c r="AN842" s="581">
        <f t="shared" si="2742"/>
        <v>0</v>
      </c>
      <c r="AO842" s="581">
        <f t="shared" si="2742"/>
        <v>0</v>
      </c>
      <c r="AP842" s="581">
        <f t="shared" si="2742"/>
        <v>0</v>
      </c>
      <c r="AQ842" s="581">
        <f t="shared" si="2742"/>
        <v>0</v>
      </c>
      <c r="AR842" s="581">
        <f t="shared" si="2742"/>
        <v>0</v>
      </c>
      <c r="AS842" s="581">
        <f t="shared" si="2742"/>
        <v>0</v>
      </c>
      <c r="AT842" s="581">
        <f t="shared" si="2742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743">SUM(BD328)</f>
        <v>0</v>
      </c>
      <c r="BE842" s="581">
        <f t="shared" si="2743"/>
        <v>0</v>
      </c>
      <c r="BF842" s="581">
        <f t="shared" si="2743"/>
        <v>0</v>
      </c>
      <c r="BG842" s="581">
        <f t="shared" si="2743"/>
        <v>0</v>
      </c>
      <c r="BH842" s="581">
        <f t="shared" si="2743"/>
        <v>0</v>
      </c>
      <c r="BI842" s="581">
        <f t="shared" si="2743"/>
        <v>0</v>
      </c>
      <c r="BJ842" s="581">
        <f t="shared" si="2743"/>
        <v>0</v>
      </c>
      <c r="BK842" s="581">
        <f t="shared" si="2743"/>
        <v>0</v>
      </c>
      <c r="BL842" s="581">
        <f t="shared" si="2743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664"/>
        <v>0</v>
      </c>
      <c r="CA842" s="398">
        <f t="shared" si="2665"/>
        <v>0</v>
      </c>
      <c r="CB842" s="398">
        <f t="shared" si="2666"/>
        <v>0</v>
      </c>
      <c r="CC842" s="465">
        <f t="shared" si="2667"/>
        <v>0</v>
      </c>
      <c r="CD842" s="1114" t="str">
        <f t="shared" si="2695"/>
        <v/>
      </c>
      <c r="CE842" s="1115" t="str">
        <f t="shared" si="2669"/>
        <v/>
      </c>
      <c r="CF842" s="1116" t="str">
        <f t="shared" si="2669"/>
        <v/>
      </c>
      <c r="CG842" s="1116" t="str">
        <f t="shared" si="2669"/>
        <v/>
      </c>
      <c r="CH842" s="1116">
        <f t="shared" si="2669"/>
        <v>0</v>
      </c>
      <c r="CI842" s="1116">
        <f t="shared" si="2669"/>
        <v>0</v>
      </c>
      <c r="CJ842" s="1116">
        <f t="shared" si="2669"/>
        <v>0</v>
      </c>
      <c r="CK842" s="1117">
        <f t="shared" si="2669"/>
        <v>0</v>
      </c>
      <c r="CL842" s="1117">
        <f t="shared" si="2669"/>
        <v>0</v>
      </c>
      <c r="CM842" s="1117">
        <f t="shared" si="2669"/>
        <v>0</v>
      </c>
      <c r="CN842" s="1116">
        <f t="shared" si="2669"/>
        <v>0</v>
      </c>
      <c r="CO842" s="1116">
        <f t="shared" si="2669"/>
        <v>0</v>
      </c>
      <c r="CP842" s="1116">
        <f t="shared" si="2669"/>
        <v>0</v>
      </c>
      <c r="CQ842" s="1116" t="str">
        <f t="shared" si="2669"/>
        <v/>
      </c>
      <c r="CR842" s="1116" t="str">
        <f t="shared" si="2669"/>
        <v/>
      </c>
      <c r="CS842" s="1115" t="str">
        <f t="shared" si="2669"/>
        <v/>
      </c>
      <c r="CT842" s="1118" t="str">
        <f t="shared" si="2669"/>
        <v/>
      </c>
      <c r="CU842" s="312" t="str">
        <f t="shared" si="2670"/>
        <v/>
      </c>
      <c r="CV842" s="313" t="str">
        <f t="shared" si="2671"/>
        <v/>
      </c>
      <c r="CW842" s="314" t="str">
        <f t="shared" si="2672"/>
        <v/>
      </c>
      <c r="CX842" s="314" t="str">
        <f t="shared" si="2673"/>
        <v/>
      </c>
      <c r="CY842" s="314">
        <f t="shared" si="2674"/>
        <v>0</v>
      </c>
      <c r="CZ842" s="314">
        <f t="shared" si="2675"/>
        <v>0</v>
      </c>
      <c r="DA842" s="314">
        <f t="shared" si="2676"/>
        <v>0</v>
      </c>
      <c r="DB842" s="315">
        <f t="shared" si="2677"/>
        <v>0</v>
      </c>
      <c r="DC842" s="315">
        <f t="shared" si="2678"/>
        <v>0</v>
      </c>
      <c r="DD842" s="315">
        <f t="shared" si="2679"/>
        <v>0</v>
      </c>
      <c r="DE842" s="314">
        <f t="shared" si="2680"/>
        <v>0</v>
      </c>
      <c r="DF842" s="314">
        <f t="shared" si="2681"/>
        <v>0</v>
      </c>
      <c r="DG842" s="314">
        <f t="shared" si="2682"/>
        <v>0</v>
      </c>
      <c r="DH842" s="314" t="str">
        <f t="shared" si="2683"/>
        <v/>
      </c>
      <c r="DI842" s="314" t="str">
        <f t="shared" si="2684"/>
        <v/>
      </c>
      <c r="DJ842" s="313" t="str">
        <f t="shared" si="2685"/>
        <v/>
      </c>
      <c r="DK842" s="312" t="str">
        <f t="shared" si="2686"/>
        <v/>
      </c>
      <c r="DL842" s="428">
        <f t="shared" si="2687"/>
        <v>9</v>
      </c>
      <c r="DM842" s="66">
        <f t="shared" si="2688"/>
        <v>9</v>
      </c>
      <c r="DN842" s="66">
        <f t="shared" si="2689"/>
        <v>9</v>
      </c>
      <c r="DO842" s="66">
        <f t="shared" si="2690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744">SUM(B338)</f>
        <v>0</v>
      </c>
      <c r="C843" s="581">
        <f t="shared" si="2744"/>
        <v>0</v>
      </c>
      <c r="D843" s="581">
        <f t="shared" si="2744"/>
        <v>0</v>
      </c>
      <c r="E843" s="581">
        <f t="shared" si="2744"/>
        <v>6.1969993476842788E-2</v>
      </c>
      <c r="F843" s="581">
        <f t="shared" si="2744"/>
        <v>3.7181996086105673E-2</v>
      </c>
      <c r="G843" s="581">
        <f t="shared" si="2744"/>
        <v>9.2954990215264183E-3</v>
      </c>
      <c r="H843" s="581">
        <f t="shared" si="2744"/>
        <v>1.2393998695368558E-2</v>
      </c>
      <c r="I843" s="581">
        <f t="shared" si="2744"/>
        <v>0</v>
      </c>
      <c r="J843" s="581">
        <f t="shared" si="2744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745">SUM(T338)</f>
        <v>4.6477495107632091E-2</v>
      </c>
      <c r="U843" s="581">
        <f t="shared" si="2745"/>
        <v>2.6365415406511297E-2</v>
      </c>
      <c r="V843" s="581">
        <f t="shared" si="2745"/>
        <v>1.8590998043052837E-2</v>
      </c>
      <c r="W843" s="581">
        <f t="shared" si="2745"/>
        <v>0</v>
      </c>
      <c r="X843" s="581">
        <f t="shared" si="2745"/>
        <v>9.2954990215264183E-3</v>
      </c>
      <c r="Y843" s="581">
        <f t="shared" si="2745"/>
        <v>0</v>
      </c>
      <c r="Z843" s="581">
        <f t="shared" si="2745"/>
        <v>0</v>
      </c>
      <c r="AA843" s="581">
        <f t="shared" si="2745"/>
        <v>0</v>
      </c>
      <c r="AB843" s="581">
        <f t="shared" si="2745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746">SUM(AL338)</f>
        <v>3.2449742038783133E-2</v>
      </c>
      <c r="AM843" s="581">
        <f t="shared" si="2746"/>
        <v>4.4618395303326806E-2</v>
      </c>
      <c r="AN843" s="581">
        <f t="shared" si="2746"/>
        <v>1.8590998043052837E-2</v>
      </c>
      <c r="AO843" s="581">
        <f t="shared" si="2746"/>
        <v>1.7661448140900194E-2</v>
      </c>
      <c r="AP843" s="581">
        <f t="shared" si="2746"/>
        <v>0</v>
      </c>
      <c r="AQ843" s="581">
        <f t="shared" si="2746"/>
        <v>6.1969993476842788E-2</v>
      </c>
      <c r="AR843" s="581">
        <f t="shared" si="2746"/>
        <v>0</v>
      </c>
      <c r="AS843" s="581">
        <f t="shared" si="2746"/>
        <v>0</v>
      </c>
      <c r="AT843" s="581">
        <f t="shared" si="2746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747">SUM(BD338)</f>
        <v>1.1154598825831702E-2</v>
      </c>
      <c r="BE843" s="581">
        <f t="shared" si="2747"/>
        <v>4.9575994781474231E-2</v>
      </c>
      <c r="BF843" s="581">
        <f t="shared" si="2747"/>
        <v>2.974559686888454E-2</v>
      </c>
      <c r="BG843" s="581">
        <f t="shared" si="2747"/>
        <v>0</v>
      </c>
      <c r="BH843" s="581">
        <f t="shared" si="2747"/>
        <v>0</v>
      </c>
      <c r="BI843" s="581">
        <f t="shared" si="2747"/>
        <v>0</v>
      </c>
      <c r="BJ843" s="581">
        <f t="shared" si="2747"/>
        <v>0</v>
      </c>
      <c r="BK843" s="581">
        <f t="shared" si="2747"/>
        <v>0</v>
      </c>
      <c r="BL843" s="581">
        <f t="shared" si="2747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664"/>
        <v>8.4102134004286639E-3</v>
      </c>
      <c r="CA843" s="398">
        <f t="shared" si="2665"/>
        <v>7.7502732101557932E-3</v>
      </c>
      <c r="CB843" s="398">
        <f t="shared" si="2666"/>
        <v>2.1500368516024087E-2</v>
      </c>
      <c r="CC843" s="465">
        <f t="shared" si="2667"/>
        <v>5.842885099245178E-3</v>
      </c>
      <c r="CD843" s="1114" t="str">
        <f t="shared" si="2695"/>
        <v/>
      </c>
      <c r="CE843" s="1115" t="str">
        <f t="shared" si="2669"/>
        <v/>
      </c>
      <c r="CF843" s="1116" t="str">
        <f t="shared" si="2669"/>
        <v/>
      </c>
      <c r="CG843" s="1116" t="str">
        <f t="shared" si="2669"/>
        <v/>
      </c>
      <c r="CH843" s="1116">
        <f t="shared" si="2669"/>
        <v>0</v>
      </c>
      <c r="CI843" s="1116">
        <f t="shared" si="2669"/>
        <v>0</v>
      </c>
      <c r="CJ843" s="1116">
        <f t="shared" si="2669"/>
        <v>0</v>
      </c>
      <c r="CK843" s="1117">
        <f t="shared" si="2669"/>
        <v>0</v>
      </c>
      <c r="CL843" s="1117">
        <f t="shared" si="2669"/>
        <v>0</v>
      </c>
      <c r="CM843" s="1117">
        <f t="shared" si="2669"/>
        <v>9.2954990215264183E-3</v>
      </c>
      <c r="CN843" s="1116">
        <f t="shared" si="2669"/>
        <v>1.2393998695368558E-2</v>
      </c>
      <c r="CO843" s="1116">
        <f t="shared" si="2669"/>
        <v>3.7181996086105673E-2</v>
      </c>
      <c r="CP843" s="1116">
        <f t="shared" si="2669"/>
        <v>6.1969993476842788E-2</v>
      </c>
      <c r="CQ843" s="1116" t="str">
        <f t="shared" si="2669"/>
        <v/>
      </c>
      <c r="CR843" s="1116" t="str">
        <f t="shared" si="2669"/>
        <v/>
      </c>
      <c r="CS843" s="1115" t="str">
        <f t="shared" si="2669"/>
        <v/>
      </c>
      <c r="CT843" s="1118" t="str">
        <f t="shared" si="2669"/>
        <v/>
      </c>
      <c r="CU843" s="312" t="str">
        <f t="shared" si="2670"/>
        <v/>
      </c>
      <c r="CV843" s="313" t="str">
        <f t="shared" si="2671"/>
        <v/>
      </c>
      <c r="CW843" s="314" t="str">
        <f t="shared" si="2672"/>
        <v/>
      </c>
      <c r="CX843" s="314" t="str">
        <f t="shared" si="2673"/>
        <v/>
      </c>
      <c r="CY843" s="314">
        <f t="shared" si="2674"/>
        <v>0</v>
      </c>
      <c r="CZ843" s="314">
        <f t="shared" si="2675"/>
        <v>0</v>
      </c>
      <c r="DA843" s="314">
        <f t="shared" si="2676"/>
        <v>0</v>
      </c>
      <c r="DB843" s="315">
        <f t="shared" si="2677"/>
        <v>0</v>
      </c>
      <c r="DC843" s="315">
        <f t="shared" si="2678"/>
        <v>0</v>
      </c>
      <c r="DD843" s="315">
        <f t="shared" si="2679"/>
        <v>9.2954990215264183E-3</v>
      </c>
      <c r="DE843" s="314">
        <f t="shared" si="2680"/>
        <v>1.8590998043052837E-2</v>
      </c>
      <c r="DF843" s="314">
        <f t="shared" si="2681"/>
        <v>2.6365415406511297E-2</v>
      </c>
      <c r="DG843" s="314">
        <f t="shared" si="2682"/>
        <v>4.6477495107632091E-2</v>
      </c>
      <c r="DH843" s="314" t="str">
        <f t="shared" si="2683"/>
        <v/>
      </c>
      <c r="DI843" s="314" t="str">
        <f t="shared" si="2684"/>
        <v/>
      </c>
      <c r="DJ843" s="313" t="str">
        <f t="shared" si="2685"/>
        <v/>
      </c>
      <c r="DK843" s="312" t="str">
        <f t="shared" si="2686"/>
        <v/>
      </c>
      <c r="DL843" s="428">
        <f t="shared" si="2687"/>
        <v>9</v>
      </c>
      <c r="DM843" s="66">
        <f t="shared" si="2688"/>
        <v>9</v>
      </c>
      <c r="DN843" s="66">
        <f t="shared" si="2689"/>
        <v>9</v>
      </c>
      <c r="DO843" s="66">
        <f t="shared" si="2690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748">SUM(B348)</f>
        <v>3.0215264187866929E-2</v>
      </c>
      <c r="C844" s="581">
        <f t="shared" si="2748"/>
        <v>5.3955828906905222E-2</v>
      </c>
      <c r="D844" s="581">
        <f t="shared" si="2748"/>
        <v>0</v>
      </c>
      <c r="E844" s="581">
        <f t="shared" si="2748"/>
        <v>0</v>
      </c>
      <c r="F844" s="581">
        <f t="shared" si="2748"/>
        <v>0</v>
      </c>
      <c r="G844" s="581">
        <f t="shared" si="2748"/>
        <v>0</v>
      </c>
      <c r="H844" s="581">
        <f t="shared" si="2748"/>
        <v>6.2948467058056099E-3</v>
      </c>
      <c r="I844" s="581">
        <f t="shared" si="2748"/>
        <v>0</v>
      </c>
      <c r="J844" s="581">
        <f t="shared" si="2748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749">SUM(T348)</f>
        <v>4.2490215264187864E-2</v>
      </c>
      <c r="U844" s="581">
        <f t="shared" si="2749"/>
        <v>2.7468421988969937E-2</v>
      </c>
      <c r="V844" s="581">
        <f t="shared" si="2749"/>
        <v>1.258969341161122E-2</v>
      </c>
      <c r="W844" s="581">
        <f t="shared" si="2749"/>
        <v>1.5107632093933464E-2</v>
      </c>
      <c r="X844" s="581">
        <f t="shared" si="2749"/>
        <v>0</v>
      </c>
      <c r="Y844" s="581">
        <f t="shared" si="2749"/>
        <v>0</v>
      </c>
      <c r="Z844" s="581">
        <f t="shared" si="2749"/>
        <v>0</v>
      </c>
      <c r="AA844" s="581">
        <f t="shared" si="2749"/>
        <v>-3.7769080234833661E-3</v>
      </c>
      <c r="AB844" s="581">
        <f t="shared" si="2749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750">SUM(AL348)</f>
        <v>2.0601316491727448E-2</v>
      </c>
      <c r="AM844" s="581">
        <f t="shared" si="2750"/>
        <v>9.4422700587084143E-2</v>
      </c>
      <c r="AN844" s="581">
        <f t="shared" si="2750"/>
        <v>1.8884540117416831E-2</v>
      </c>
      <c r="AO844" s="581">
        <f t="shared" si="2750"/>
        <v>4.7211350293542072E-2</v>
      </c>
      <c r="AP844" s="581">
        <f t="shared" si="2750"/>
        <v>0</v>
      </c>
      <c r="AQ844" s="581">
        <f t="shared" si="2750"/>
        <v>6.2948467058056096E-2</v>
      </c>
      <c r="AR844" s="581">
        <f t="shared" si="2750"/>
        <v>5.6653620352250487E-2</v>
      </c>
      <c r="AS844" s="581">
        <f t="shared" si="2750"/>
        <v>9.4422700587084157E-3</v>
      </c>
      <c r="AT844" s="581">
        <f t="shared" si="2750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751">SUM(BD348)</f>
        <v>0</v>
      </c>
      <c r="BE844" s="581">
        <f t="shared" si="2751"/>
        <v>3.1474233529028048E-2</v>
      </c>
      <c r="BF844" s="581">
        <f t="shared" si="2751"/>
        <v>0</v>
      </c>
      <c r="BG844" s="581">
        <f t="shared" si="2751"/>
        <v>0</v>
      </c>
      <c r="BH844" s="581">
        <f t="shared" si="2751"/>
        <v>6.7984344422700585E-2</v>
      </c>
      <c r="BI844" s="581">
        <f t="shared" si="2751"/>
        <v>5.9351411797595753E-2</v>
      </c>
      <c r="BJ844" s="581">
        <f t="shared" si="2751"/>
        <v>2.517938682322244E-2</v>
      </c>
      <c r="BK844" s="581">
        <f t="shared" si="2751"/>
        <v>8.1833007175472927E-2</v>
      </c>
      <c r="BL844" s="581">
        <f t="shared" si="2751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664"/>
        <v>7.5281227951063011E-3</v>
      </c>
      <c r="CA844" s="398">
        <f t="shared" si="2665"/>
        <v>7.8808210706449461E-3</v>
      </c>
      <c r="CB844" s="398">
        <f t="shared" si="2666"/>
        <v>3.6215806372362144E-2</v>
      </c>
      <c r="CC844" s="465">
        <f t="shared" si="2667"/>
        <v>3.7974626249717106E-2</v>
      </c>
      <c r="CD844" s="1114" t="str">
        <f t="shared" si="2695"/>
        <v/>
      </c>
      <c r="CE844" s="1115" t="str">
        <f t="shared" si="2669"/>
        <v/>
      </c>
      <c r="CF844" s="1116" t="str">
        <f t="shared" si="2669"/>
        <v/>
      </c>
      <c r="CG844" s="1116" t="str">
        <f t="shared" si="2669"/>
        <v/>
      </c>
      <c r="CH844" s="1116">
        <f t="shared" si="2669"/>
        <v>0</v>
      </c>
      <c r="CI844" s="1116">
        <f t="shared" si="2669"/>
        <v>0</v>
      </c>
      <c r="CJ844" s="1116">
        <f t="shared" si="2669"/>
        <v>0</v>
      </c>
      <c r="CK844" s="1117">
        <f t="shared" si="2669"/>
        <v>0</v>
      </c>
      <c r="CL844" s="1117">
        <f t="shared" si="2669"/>
        <v>0</v>
      </c>
      <c r="CM844" s="1117">
        <f t="shared" si="2669"/>
        <v>6.2948467058056099E-3</v>
      </c>
      <c r="CN844" s="1116">
        <f t="shared" si="2669"/>
        <v>1.6186748672071569E-2</v>
      </c>
      <c r="CO844" s="1116">
        <f t="shared" si="2669"/>
        <v>3.0215264187866929E-2</v>
      </c>
      <c r="CP844" s="1116">
        <f t="shared" si="2669"/>
        <v>5.3955828906905222E-2</v>
      </c>
      <c r="CQ844" s="1116" t="str">
        <f t="shared" si="2669"/>
        <v/>
      </c>
      <c r="CR844" s="1116" t="str">
        <f t="shared" si="2669"/>
        <v/>
      </c>
      <c r="CS844" s="1115" t="str">
        <f t="shared" si="2669"/>
        <v/>
      </c>
      <c r="CT844" s="1118" t="str">
        <f t="shared" si="2669"/>
        <v/>
      </c>
      <c r="CU844" s="312" t="str">
        <f t="shared" si="2670"/>
        <v/>
      </c>
      <c r="CV844" s="313" t="str">
        <f t="shared" si="2671"/>
        <v/>
      </c>
      <c r="CW844" s="314" t="str">
        <f t="shared" si="2672"/>
        <v/>
      </c>
      <c r="CX844" s="314" t="str">
        <f t="shared" si="2673"/>
        <v/>
      </c>
      <c r="CY844" s="314">
        <f t="shared" si="2674"/>
        <v>-3.7769080234833661E-3</v>
      </c>
      <c r="CZ844" s="314">
        <f t="shared" si="2675"/>
        <v>0</v>
      </c>
      <c r="DA844" s="314">
        <f t="shared" si="2676"/>
        <v>0</v>
      </c>
      <c r="DB844" s="315">
        <f t="shared" si="2677"/>
        <v>0</v>
      </c>
      <c r="DC844" s="315">
        <f t="shared" si="2678"/>
        <v>0</v>
      </c>
      <c r="DD844" s="315">
        <f t="shared" si="2679"/>
        <v>1.258969341161122E-2</v>
      </c>
      <c r="DE844" s="314">
        <f t="shared" si="2680"/>
        <v>1.5107632093933464E-2</v>
      </c>
      <c r="DF844" s="314">
        <f t="shared" si="2681"/>
        <v>2.7468421988969937E-2</v>
      </c>
      <c r="DG844" s="314">
        <f t="shared" si="2682"/>
        <v>4.2490215264187864E-2</v>
      </c>
      <c r="DH844" s="314" t="str">
        <f t="shared" si="2683"/>
        <v/>
      </c>
      <c r="DI844" s="314" t="str">
        <f t="shared" si="2684"/>
        <v/>
      </c>
      <c r="DJ844" s="313" t="str">
        <f t="shared" si="2685"/>
        <v/>
      </c>
      <c r="DK844" s="312" t="str">
        <f t="shared" si="2686"/>
        <v/>
      </c>
      <c r="DL844" s="428">
        <f t="shared" si="2687"/>
        <v>9</v>
      </c>
      <c r="DM844" s="66">
        <f t="shared" si="2688"/>
        <v>9</v>
      </c>
      <c r="DN844" s="66">
        <f t="shared" si="2689"/>
        <v>9</v>
      </c>
      <c r="DO844" s="66">
        <f t="shared" si="2690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752">SUM(B358)</f>
        <v>0</v>
      </c>
      <c r="C845" s="581">
        <f t="shared" si="2752"/>
        <v>0</v>
      </c>
      <c r="D845" s="581">
        <f t="shared" si="2752"/>
        <v>0</v>
      </c>
      <c r="E845" s="581">
        <f t="shared" si="2752"/>
        <v>0</v>
      </c>
      <c r="F845" s="581">
        <f t="shared" si="2752"/>
        <v>0</v>
      </c>
      <c r="G845" s="581">
        <f t="shared" si="2752"/>
        <v>0</v>
      </c>
      <c r="H845" s="581">
        <f t="shared" si="2752"/>
        <v>0</v>
      </c>
      <c r="I845" s="581">
        <f t="shared" si="2752"/>
        <v>0</v>
      </c>
      <c r="J845" s="581">
        <f t="shared" si="2752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753">SUM(T358)</f>
        <v>7.8277886497064571E-4</v>
      </c>
      <c r="U845" s="581">
        <f t="shared" si="2753"/>
        <v>1.9925280199252801E-3</v>
      </c>
      <c r="V845" s="581">
        <f t="shared" si="2753"/>
        <v>0</v>
      </c>
      <c r="W845" s="581">
        <f t="shared" si="2753"/>
        <v>0</v>
      </c>
      <c r="X845" s="581">
        <f t="shared" si="2753"/>
        <v>0</v>
      </c>
      <c r="Y845" s="581">
        <f t="shared" si="2753"/>
        <v>0</v>
      </c>
      <c r="Z845" s="581">
        <f t="shared" si="2753"/>
        <v>0</v>
      </c>
      <c r="AA845" s="581">
        <f t="shared" si="2753"/>
        <v>0</v>
      </c>
      <c r="AB845" s="581">
        <f t="shared" si="2753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754">SUM(AL358)</f>
        <v>0</v>
      </c>
      <c r="AM845" s="581">
        <f t="shared" si="2754"/>
        <v>0</v>
      </c>
      <c r="AN845" s="581">
        <f t="shared" si="2754"/>
        <v>0</v>
      </c>
      <c r="AO845" s="581">
        <f t="shared" si="2754"/>
        <v>0</v>
      </c>
      <c r="AP845" s="581">
        <f t="shared" si="2754"/>
        <v>0</v>
      </c>
      <c r="AQ845" s="581">
        <f t="shared" si="2754"/>
        <v>0</v>
      </c>
      <c r="AR845" s="581">
        <f t="shared" si="2754"/>
        <v>0</v>
      </c>
      <c r="AS845" s="581">
        <f t="shared" si="2754"/>
        <v>0</v>
      </c>
      <c r="AT845" s="581">
        <f t="shared" si="2754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755">SUM(BD358)</f>
        <v>1.0437051532941944E-3</v>
      </c>
      <c r="BE845" s="581">
        <f t="shared" si="2755"/>
        <v>0</v>
      </c>
      <c r="BF845" s="581">
        <f t="shared" si="2755"/>
        <v>3.1311154598825828E-3</v>
      </c>
      <c r="BG845" s="581">
        <f t="shared" si="2755"/>
        <v>0</v>
      </c>
      <c r="BH845" s="581">
        <f t="shared" si="2755"/>
        <v>0</v>
      </c>
      <c r="BI845" s="581">
        <f t="shared" si="2755"/>
        <v>0</v>
      </c>
      <c r="BJ845" s="581">
        <f t="shared" si="2755"/>
        <v>2.0874103065883888E-3</v>
      </c>
      <c r="BK845" s="581">
        <f t="shared" si="2755"/>
        <v>1.1741682974559686E-2</v>
      </c>
      <c r="BL845" s="581">
        <f t="shared" si="2755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664"/>
        <v>0</v>
      </c>
      <c r="CA845" s="398">
        <f t="shared" si="2665"/>
        <v>1.1182555213866364E-4</v>
      </c>
      <c r="CB845" s="398">
        <f t="shared" si="2666"/>
        <v>0</v>
      </c>
      <c r="CC845" s="465">
        <f t="shared" si="2667"/>
        <v>8.9460441710930967E-4</v>
      </c>
      <c r="CD845" s="1114" t="str">
        <f t="shared" si="2695"/>
        <v/>
      </c>
      <c r="CE845" s="1115" t="str">
        <f t="shared" si="2669"/>
        <v/>
      </c>
      <c r="CF845" s="1116" t="str">
        <f t="shared" si="2669"/>
        <v/>
      </c>
      <c r="CG845" s="1116" t="str">
        <f t="shared" si="2669"/>
        <v/>
      </c>
      <c r="CH845" s="1116">
        <f t="shared" si="2669"/>
        <v>0</v>
      </c>
      <c r="CI845" s="1116">
        <f t="shared" si="2669"/>
        <v>0</v>
      </c>
      <c r="CJ845" s="1116">
        <f t="shared" si="2669"/>
        <v>0</v>
      </c>
      <c r="CK845" s="1117">
        <f t="shared" si="2669"/>
        <v>0</v>
      </c>
      <c r="CL845" s="1117">
        <f t="shared" si="2669"/>
        <v>0</v>
      </c>
      <c r="CM845" s="1117">
        <f t="shared" si="2669"/>
        <v>0</v>
      </c>
      <c r="CN845" s="1116">
        <f t="shared" si="2669"/>
        <v>0</v>
      </c>
      <c r="CO845" s="1116">
        <f t="shared" si="2669"/>
        <v>0</v>
      </c>
      <c r="CP845" s="1116">
        <f t="shared" si="2669"/>
        <v>0</v>
      </c>
      <c r="CQ845" s="1116" t="str">
        <f t="shared" si="2669"/>
        <v/>
      </c>
      <c r="CR845" s="1116" t="str">
        <f t="shared" si="2669"/>
        <v/>
      </c>
      <c r="CS845" s="1115" t="str">
        <f t="shared" ref="CE845:CT848" si="275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18" t="str">
        <f t="shared" si="2756"/>
        <v/>
      </c>
      <c r="CU845" s="312" t="str">
        <f t="shared" si="2670"/>
        <v/>
      </c>
      <c r="CV845" s="313" t="str">
        <f t="shared" si="2671"/>
        <v/>
      </c>
      <c r="CW845" s="314" t="str">
        <f t="shared" si="2672"/>
        <v/>
      </c>
      <c r="CX845" s="314" t="str">
        <f t="shared" si="2673"/>
        <v/>
      </c>
      <c r="CY845" s="314">
        <f t="shared" si="2674"/>
        <v>0</v>
      </c>
      <c r="CZ845" s="314">
        <f t="shared" si="2675"/>
        <v>0</v>
      </c>
      <c r="DA845" s="314">
        <f t="shared" si="2676"/>
        <v>0</v>
      </c>
      <c r="DB845" s="315">
        <f t="shared" si="2677"/>
        <v>0</v>
      </c>
      <c r="DC845" s="315">
        <f t="shared" si="2678"/>
        <v>0</v>
      </c>
      <c r="DD845" s="315">
        <f t="shared" si="2679"/>
        <v>0</v>
      </c>
      <c r="DE845" s="314">
        <f t="shared" si="2680"/>
        <v>0</v>
      </c>
      <c r="DF845" s="314">
        <f t="shared" si="2681"/>
        <v>7.8277886497064571E-4</v>
      </c>
      <c r="DG845" s="314">
        <f t="shared" si="2682"/>
        <v>1.9925280199252801E-3</v>
      </c>
      <c r="DH845" s="314" t="str">
        <f t="shared" si="2683"/>
        <v/>
      </c>
      <c r="DI845" s="314" t="str">
        <f t="shared" si="2684"/>
        <v/>
      </c>
      <c r="DJ845" s="313" t="str">
        <f t="shared" si="2685"/>
        <v/>
      </c>
      <c r="DK845" s="312" t="str">
        <f t="shared" si="2686"/>
        <v/>
      </c>
      <c r="DL845" s="428">
        <f t="shared" si="2687"/>
        <v>9</v>
      </c>
      <c r="DM845" s="66">
        <f t="shared" si="2688"/>
        <v>9</v>
      </c>
      <c r="DN845" s="66">
        <f t="shared" si="2689"/>
        <v>9</v>
      </c>
      <c r="DO845" s="66">
        <f t="shared" si="2690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757">SUM(B369)</f>
        <v>4.0156555772994131E-2</v>
      </c>
      <c r="C846" s="581">
        <f t="shared" si="2757"/>
        <v>3.187028235951915E-2</v>
      </c>
      <c r="D846" s="581">
        <f t="shared" si="2757"/>
        <v>0</v>
      </c>
      <c r="E846" s="581">
        <f t="shared" si="2757"/>
        <v>7.4363992172211346E-2</v>
      </c>
      <c r="F846" s="581">
        <f t="shared" si="2757"/>
        <v>7.4363992172211346E-2</v>
      </c>
      <c r="G846" s="581">
        <f t="shared" si="2757"/>
        <v>0</v>
      </c>
      <c r="H846" s="581">
        <f t="shared" si="2757"/>
        <v>2.974559686888454E-2</v>
      </c>
      <c r="I846" s="581">
        <f t="shared" si="2757"/>
        <v>1.487279843444227E-2</v>
      </c>
      <c r="J846" s="581">
        <f t="shared" si="2757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758">SUM(T369)</f>
        <v>0.18126223091976518</v>
      </c>
      <c r="U846" s="581">
        <f t="shared" si="2758"/>
        <v>0.19875466998754673</v>
      </c>
      <c r="V846" s="581">
        <f t="shared" si="2758"/>
        <v>9.2954990215264183E-2</v>
      </c>
      <c r="W846" s="581">
        <f t="shared" si="2758"/>
        <v>5.3542074363992172E-2</v>
      </c>
      <c r="X846" s="581">
        <f t="shared" si="2758"/>
        <v>2.2309197651663403E-2</v>
      </c>
      <c r="Y846" s="581">
        <f t="shared" si="2758"/>
        <v>1.9122169415711491E-2</v>
      </c>
      <c r="Z846" s="581">
        <f t="shared" si="2758"/>
        <v>0</v>
      </c>
      <c r="AA846" s="581">
        <f t="shared" si="2758"/>
        <v>3.5694716242661448E-2</v>
      </c>
      <c r="AB846" s="581">
        <f t="shared" si="2758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759">SUM(AL369)</f>
        <v>3.2449742038783133E-2</v>
      </c>
      <c r="AM846" s="581">
        <f t="shared" si="2759"/>
        <v>4.0900195694716243E-2</v>
      </c>
      <c r="AN846" s="581">
        <f t="shared" si="2759"/>
        <v>1.3943248532289627E-2</v>
      </c>
      <c r="AO846" s="581">
        <f t="shared" si="2759"/>
        <v>0.20078277886497065</v>
      </c>
      <c r="AP846" s="581">
        <f t="shared" si="2759"/>
        <v>1.8590998043052837E-2</v>
      </c>
      <c r="AQ846" s="581">
        <f t="shared" si="2759"/>
        <v>7.4363992172211346E-2</v>
      </c>
      <c r="AR846" s="581">
        <f t="shared" si="2759"/>
        <v>0.18962818003913895</v>
      </c>
      <c r="AS846" s="581">
        <f t="shared" si="2759"/>
        <v>8.3659491193737778E-2</v>
      </c>
      <c r="AT846" s="581">
        <f t="shared" si="2759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760">SUM(BD369)</f>
        <v>1.1154598825831702E-2</v>
      </c>
      <c r="BE846" s="581">
        <f t="shared" si="2760"/>
        <v>0</v>
      </c>
      <c r="BF846" s="581">
        <f t="shared" si="2760"/>
        <v>0</v>
      </c>
      <c r="BG846" s="581">
        <f t="shared" si="2760"/>
        <v>0.17847358121330723</v>
      </c>
      <c r="BH846" s="581">
        <f t="shared" si="2760"/>
        <v>0.13385518590998044</v>
      </c>
      <c r="BI846" s="581">
        <f t="shared" si="2760"/>
        <v>9.5610847078557451E-2</v>
      </c>
      <c r="BJ846" s="581">
        <f t="shared" si="2760"/>
        <v>0.14872798434442269</v>
      </c>
      <c r="BK846" s="581">
        <f t="shared" si="2760"/>
        <v>3.8669275929549898E-2</v>
      </c>
      <c r="BL846" s="581">
        <f t="shared" si="2760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664"/>
        <v>3.4571668197611725E-2</v>
      </c>
      <c r="CA846" s="398">
        <f t="shared" si="2665"/>
        <v>7.6052358321019198E-2</v>
      </c>
      <c r="CB846" s="398">
        <f t="shared" si="2666"/>
        <v>7.8734083919993883E-2</v>
      </c>
      <c r="CC846" s="465">
        <f t="shared" si="2667"/>
        <v>7.5309983093041516E-2</v>
      </c>
      <c r="CD846" s="1114" t="str">
        <f t="shared" si="2695"/>
        <v/>
      </c>
      <c r="CE846" s="1115" t="str">
        <f t="shared" si="2756"/>
        <v/>
      </c>
      <c r="CF846" s="1116" t="str">
        <f t="shared" si="2756"/>
        <v/>
      </c>
      <c r="CG846" s="1116" t="str">
        <f t="shared" si="2756"/>
        <v/>
      </c>
      <c r="CH846" s="1116">
        <f t="shared" si="2756"/>
        <v>0</v>
      </c>
      <c r="CI846" s="1116">
        <f t="shared" si="2756"/>
        <v>0</v>
      </c>
      <c r="CJ846" s="1116">
        <f t="shared" si="2756"/>
        <v>1.487279843444227E-2</v>
      </c>
      <c r="CK846" s="1117">
        <f t="shared" si="2756"/>
        <v>2.974559686888454E-2</v>
      </c>
      <c r="CL846" s="1117">
        <f t="shared" si="2756"/>
        <v>3.187028235951915E-2</v>
      </c>
      <c r="CM846" s="1117">
        <f t="shared" si="2756"/>
        <v>4.0156555772994131E-2</v>
      </c>
      <c r="CN846" s="1116">
        <f t="shared" si="2756"/>
        <v>5.0992451775230638E-2</v>
      </c>
      <c r="CO846" s="1116">
        <f t="shared" si="2756"/>
        <v>7.4363992172211346E-2</v>
      </c>
      <c r="CP846" s="1116">
        <f t="shared" si="2756"/>
        <v>7.4363992172211346E-2</v>
      </c>
      <c r="CQ846" s="1116" t="str">
        <f t="shared" si="2756"/>
        <v/>
      </c>
      <c r="CR846" s="1116" t="str">
        <f t="shared" si="2756"/>
        <v/>
      </c>
      <c r="CS846" s="1115" t="str">
        <f t="shared" si="2756"/>
        <v/>
      </c>
      <c r="CT846" s="1118" t="str">
        <f t="shared" si="2756"/>
        <v/>
      </c>
      <c r="CU846" s="312" t="str">
        <f t="shared" si="2670"/>
        <v/>
      </c>
      <c r="CV846" s="313" t="str">
        <f t="shared" si="2671"/>
        <v/>
      </c>
      <c r="CW846" s="314" t="str">
        <f t="shared" si="2672"/>
        <v/>
      </c>
      <c r="CX846" s="314" t="str">
        <f t="shared" si="2673"/>
        <v/>
      </c>
      <c r="CY846" s="314">
        <f t="shared" si="2674"/>
        <v>0</v>
      </c>
      <c r="CZ846" s="314">
        <f t="shared" si="2675"/>
        <v>1.9122169415711491E-2</v>
      </c>
      <c r="DA846" s="314">
        <f t="shared" si="2676"/>
        <v>2.2309197651663403E-2</v>
      </c>
      <c r="DB846" s="315">
        <f t="shared" si="2677"/>
        <v>3.5694716242661448E-2</v>
      </c>
      <c r="DC846" s="315">
        <f t="shared" si="2678"/>
        <v>5.3542074363992172E-2</v>
      </c>
      <c r="DD846" s="315">
        <f t="shared" si="2679"/>
        <v>9.2954990215264183E-2</v>
      </c>
      <c r="DE846" s="314">
        <f t="shared" si="2680"/>
        <v>0.1274811294380766</v>
      </c>
      <c r="DF846" s="314">
        <f t="shared" si="2681"/>
        <v>0.18126223091976518</v>
      </c>
      <c r="DG846" s="314">
        <f t="shared" si="2682"/>
        <v>0.19875466998754673</v>
      </c>
      <c r="DH846" s="314" t="str">
        <f t="shared" si="2683"/>
        <v/>
      </c>
      <c r="DI846" s="314" t="str">
        <f t="shared" si="2684"/>
        <v/>
      </c>
      <c r="DJ846" s="313" t="str">
        <f t="shared" si="2685"/>
        <v/>
      </c>
      <c r="DK846" s="312" t="str">
        <f t="shared" si="2686"/>
        <v/>
      </c>
      <c r="DL846" s="428">
        <f t="shared" si="2687"/>
        <v>9</v>
      </c>
      <c r="DM846" s="66">
        <f t="shared" si="2688"/>
        <v>9</v>
      </c>
      <c r="DN846" s="66">
        <f t="shared" si="2689"/>
        <v>9</v>
      </c>
      <c r="DO846" s="66">
        <f t="shared" si="2690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761">SUM(B380)</f>
        <v>0</v>
      </c>
      <c r="C847" s="581">
        <f t="shared" si="2761"/>
        <v>0</v>
      </c>
      <c r="D847" s="581">
        <f t="shared" si="2761"/>
        <v>0</v>
      </c>
      <c r="E847" s="581">
        <f t="shared" si="2761"/>
        <v>0</v>
      </c>
      <c r="F847" s="581">
        <f t="shared" si="2761"/>
        <v>0</v>
      </c>
      <c r="G847" s="581">
        <f t="shared" si="2761"/>
        <v>0</v>
      </c>
      <c r="H847" s="581">
        <f t="shared" si="2761"/>
        <v>0</v>
      </c>
      <c r="I847" s="581">
        <f t="shared" si="2761"/>
        <v>0</v>
      </c>
      <c r="J847" s="581">
        <f t="shared" si="2761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762">SUM(T380)</f>
        <v>1.3046314416177429E-3</v>
      </c>
      <c r="U847" s="581">
        <f t="shared" si="2762"/>
        <v>9.4882286663108579E-4</v>
      </c>
      <c r="V847" s="581">
        <f t="shared" si="2762"/>
        <v>1.3046314416177429E-3</v>
      </c>
      <c r="W847" s="581">
        <f t="shared" si="2762"/>
        <v>1.5655577299412914E-3</v>
      </c>
      <c r="X847" s="581">
        <f t="shared" si="2762"/>
        <v>3.9138943248532285E-4</v>
      </c>
      <c r="Y847" s="581">
        <f t="shared" si="2762"/>
        <v>7.455036809244246E-4</v>
      </c>
      <c r="Z847" s="581">
        <f t="shared" si="2762"/>
        <v>0</v>
      </c>
      <c r="AA847" s="581">
        <f t="shared" si="2762"/>
        <v>2.609262883235486E-4</v>
      </c>
      <c r="AB847" s="581">
        <f t="shared" si="2762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763">SUM(AL380)</f>
        <v>0</v>
      </c>
      <c r="AM847" s="581">
        <f t="shared" si="2763"/>
        <v>0</v>
      </c>
      <c r="AN847" s="581">
        <f t="shared" si="2763"/>
        <v>0</v>
      </c>
      <c r="AO847" s="581">
        <f t="shared" si="2763"/>
        <v>1.3046314416177429E-3</v>
      </c>
      <c r="AP847" s="581">
        <f t="shared" si="2763"/>
        <v>8.6975429441182861E-3</v>
      </c>
      <c r="AQ847" s="581">
        <f t="shared" si="2763"/>
        <v>0</v>
      </c>
      <c r="AR847" s="581">
        <f t="shared" si="2763"/>
        <v>1.6307893020221786E-3</v>
      </c>
      <c r="AS847" s="581">
        <f t="shared" si="2763"/>
        <v>6.5231572080887146E-4</v>
      </c>
      <c r="AT847" s="581">
        <f t="shared" si="2763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764">SUM(BD380)</f>
        <v>7.1102413568166992E-3</v>
      </c>
      <c r="BE847" s="581">
        <f t="shared" si="2764"/>
        <v>9.4803218090889329E-3</v>
      </c>
      <c r="BF847" s="581">
        <f t="shared" si="2764"/>
        <v>6.2570123939986955E-2</v>
      </c>
      <c r="BG847" s="581">
        <f t="shared" si="2764"/>
        <v>0</v>
      </c>
      <c r="BH847" s="581">
        <f t="shared" si="2764"/>
        <v>0</v>
      </c>
      <c r="BI847" s="581">
        <f t="shared" si="2764"/>
        <v>0</v>
      </c>
      <c r="BJ847" s="581">
        <f t="shared" si="2764"/>
        <v>2.3700804522722333E-2</v>
      </c>
      <c r="BK847" s="581">
        <f t="shared" si="2764"/>
        <v>4.7401609045444664E-3</v>
      </c>
      <c r="BL847" s="581">
        <f t="shared" si="2764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664"/>
        <v>0</v>
      </c>
      <c r="CA847" s="398">
        <f t="shared" si="2665"/>
        <v>9.3163755450587982E-4</v>
      </c>
      <c r="CB847" s="398">
        <f t="shared" si="2666"/>
        <v>5.1253378063554191E-4</v>
      </c>
      <c r="CC847" s="465">
        <f t="shared" si="2667"/>
        <v>6.4330755133103447E-3</v>
      </c>
      <c r="CD847" s="1114" t="str">
        <f t="shared" si="2695"/>
        <v/>
      </c>
      <c r="CE847" s="1115" t="str">
        <f t="shared" si="2756"/>
        <v/>
      </c>
      <c r="CF847" s="1116" t="str">
        <f t="shared" si="2756"/>
        <v/>
      </c>
      <c r="CG847" s="1116" t="str">
        <f t="shared" si="2756"/>
        <v/>
      </c>
      <c r="CH847" s="1116">
        <f t="shared" si="2756"/>
        <v>0</v>
      </c>
      <c r="CI847" s="1116">
        <f t="shared" si="2756"/>
        <v>0</v>
      </c>
      <c r="CJ847" s="1116">
        <f t="shared" si="2756"/>
        <v>0</v>
      </c>
      <c r="CK847" s="1117">
        <f t="shared" si="2756"/>
        <v>0</v>
      </c>
      <c r="CL847" s="1117">
        <f t="shared" si="2756"/>
        <v>0</v>
      </c>
      <c r="CM847" s="1117">
        <f t="shared" si="2756"/>
        <v>0</v>
      </c>
      <c r="CN847" s="1116">
        <f t="shared" si="2756"/>
        <v>0</v>
      </c>
      <c r="CO847" s="1116">
        <f t="shared" si="2756"/>
        <v>0</v>
      </c>
      <c r="CP847" s="1116">
        <f t="shared" si="2756"/>
        <v>0</v>
      </c>
      <c r="CQ847" s="1116" t="str">
        <f t="shared" si="2756"/>
        <v/>
      </c>
      <c r="CR847" s="1116" t="str">
        <f t="shared" si="2756"/>
        <v/>
      </c>
      <c r="CS847" s="1115" t="str">
        <f t="shared" si="2756"/>
        <v/>
      </c>
      <c r="CT847" s="1118" t="str">
        <f t="shared" si="2756"/>
        <v/>
      </c>
      <c r="CU847" s="312" t="str">
        <f t="shared" si="2670"/>
        <v/>
      </c>
      <c r="CV847" s="313" t="str">
        <f t="shared" si="2671"/>
        <v/>
      </c>
      <c r="CW847" s="314" t="str">
        <f t="shared" si="2672"/>
        <v/>
      </c>
      <c r="CX847" s="314" t="str">
        <f t="shared" si="2673"/>
        <v/>
      </c>
      <c r="CY847" s="314">
        <f t="shared" si="2674"/>
        <v>0</v>
      </c>
      <c r="CZ847" s="314">
        <f t="shared" si="2675"/>
        <v>2.609262883235486E-4</v>
      </c>
      <c r="DA847" s="314">
        <f t="shared" si="2676"/>
        <v>3.9138943248532285E-4</v>
      </c>
      <c r="DB847" s="315">
        <f t="shared" si="2677"/>
        <v>7.455036809244246E-4</v>
      </c>
      <c r="DC847" s="315">
        <f t="shared" si="2678"/>
        <v>9.4882286663108579E-4</v>
      </c>
      <c r="DD847" s="315">
        <f t="shared" si="2679"/>
        <v>1.3046314416177429E-3</v>
      </c>
      <c r="DE847" s="314">
        <f t="shared" si="2680"/>
        <v>1.3046314416177429E-3</v>
      </c>
      <c r="DF847" s="314">
        <f t="shared" si="2681"/>
        <v>1.5655577299412914E-3</v>
      </c>
      <c r="DG847" s="314">
        <f t="shared" si="2682"/>
        <v>2.2365110427732737E-3</v>
      </c>
      <c r="DH847" s="314" t="str">
        <f t="shared" si="2683"/>
        <v/>
      </c>
      <c r="DI847" s="314" t="str">
        <f t="shared" si="2684"/>
        <v/>
      </c>
      <c r="DJ847" s="313" t="str">
        <f t="shared" si="2685"/>
        <v/>
      </c>
      <c r="DK847" s="312" t="str">
        <f t="shared" si="2686"/>
        <v/>
      </c>
      <c r="DL847" s="428">
        <f t="shared" si="2687"/>
        <v>9</v>
      </c>
      <c r="DM847" s="66">
        <f t="shared" si="2688"/>
        <v>9</v>
      </c>
      <c r="DN847" s="66">
        <f t="shared" si="2689"/>
        <v>9</v>
      </c>
      <c r="DO847" s="66">
        <f t="shared" si="2690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765">SUM(B390)</f>
        <v>0</v>
      </c>
      <c r="C848" s="581">
        <f t="shared" si="2765"/>
        <v>0</v>
      </c>
      <c r="D848" s="581">
        <f t="shared" si="2765"/>
        <v>0</v>
      </c>
      <c r="E848" s="581">
        <f t="shared" si="2765"/>
        <v>0</v>
      </c>
      <c r="F848" s="581">
        <f t="shared" si="2765"/>
        <v>0</v>
      </c>
      <c r="G848" s="581">
        <f t="shared" si="2765"/>
        <v>0</v>
      </c>
      <c r="H848" s="581">
        <f t="shared" si="2765"/>
        <v>0</v>
      </c>
      <c r="I848" s="581">
        <f t="shared" si="2765"/>
        <v>0</v>
      </c>
      <c r="J848" s="581">
        <f t="shared" si="2765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766">SUM(T390)</f>
        <v>0</v>
      </c>
      <c r="U848" s="581">
        <f t="shared" si="2766"/>
        <v>0</v>
      </c>
      <c r="V848" s="581">
        <f t="shared" si="2766"/>
        <v>0</v>
      </c>
      <c r="W848" s="581">
        <f t="shared" si="2766"/>
        <v>0</v>
      </c>
      <c r="X848" s="581">
        <f t="shared" si="2766"/>
        <v>0</v>
      </c>
      <c r="Y848" s="581">
        <f t="shared" si="2766"/>
        <v>0</v>
      </c>
      <c r="Z848" s="581">
        <f t="shared" si="2766"/>
        <v>0</v>
      </c>
      <c r="AA848" s="581">
        <f t="shared" si="2766"/>
        <v>0</v>
      </c>
      <c r="AB848" s="581">
        <f t="shared" si="2766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767">SUM(AL390)</f>
        <v>0</v>
      </c>
      <c r="AM848" s="581">
        <f t="shared" si="2767"/>
        <v>0</v>
      </c>
      <c r="AN848" s="581">
        <f t="shared" si="2767"/>
        <v>0</v>
      </c>
      <c r="AO848" s="581">
        <f t="shared" si="2767"/>
        <v>0</v>
      </c>
      <c r="AP848" s="581">
        <f t="shared" si="2767"/>
        <v>0</v>
      </c>
      <c r="AQ848" s="581">
        <f t="shared" si="2767"/>
        <v>0</v>
      </c>
      <c r="AR848" s="581">
        <f t="shared" si="2767"/>
        <v>0</v>
      </c>
      <c r="AS848" s="581">
        <f t="shared" si="2767"/>
        <v>0</v>
      </c>
      <c r="AT848" s="581">
        <f t="shared" si="2767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768">SUM(BD390)</f>
        <v>0</v>
      </c>
      <c r="BE848" s="581">
        <f t="shared" si="2768"/>
        <v>0</v>
      </c>
      <c r="BF848" s="581">
        <f t="shared" si="2768"/>
        <v>0</v>
      </c>
      <c r="BG848" s="581">
        <f t="shared" si="2768"/>
        <v>0</v>
      </c>
      <c r="BH848" s="581">
        <f t="shared" si="2768"/>
        <v>0</v>
      </c>
      <c r="BI848" s="581">
        <f t="shared" si="2768"/>
        <v>0</v>
      </c>
      <c r="BJ848" s="581">
        <f t="shared" si="2768"/>
        <v>0</v>
      </c>
      <c r="BK848" s="581">
        <f t="shared" si="2768"/>
        <v>0</v>
      </c>
      <c r="BL848" s="581">
        <f t="shared" si="2768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664"/>
        <v>0</v>
      </c>
      <c r="CA848" s="398">
        <f t="shared" si="2665"/>
        <v>0</v>
      </c>
      <c r="CB848" s="398">
        <f t="shared" si="2666"/>
        <v>0</v>
      </c>
      <c r="CC848" s="465">
        <f t="shared" si="2667"/>
        <v>0</v>
      </c>
      <c r="CD848" s="1114" t="str">
        <f t="shared" si="2695"/>
        <v/>
      </c>
      <c r="CE848" s="1115" t="str">
        <f t="shared" si="2756"/>
        <v/>
      </c>
      <c r="CF848" s="1116" t="str">
        <f t="shared" si="2756"/>
        <v/>
      </c>
      <c r="CG848" s="1116" t="str">
        <f t="shared" si="2756"/>
        <v/>
      </c>
      <c r="CH848" s="1116">
        <f t="shared" si="2756"/>
        <v>0</v>
      </c>
      <c r="CI848" s="1116">
        <f t="shared" si="2756"/>
        <v>0</v>
      </c>
      <c r="CJ848" s="1116">
        <f t="shared" si="2756"/>
        <v>0</v>
      </c>
      <c r="CK848" s="1117">
        <f t="shared" si="2756"/>
        <v>0</v>
      </c>
      <c r="CL848" s="1117">
        <f t="shared" si="2756"/>
        <v>0</v>
      </c>
      <c r="CM848" s="1117">
        <f t="shared" si="2756"/>
        <v>0</v>
      </c>
      <c r="CN848" s="1116">
        <f t="shared" si="2756"/>
        <v>0</v>
      </c>
      <c r="CO848" s="1116">
        <f t="shared" si="2756"/>
        <v>0</v>
      </c>
      <c r="CP848" s="1116">
        <f t="shared" si="2756"/>
        <v>0</v>
      </c>
      <c r="CQ848" s="1116" t="str">
        <f t="shared" si="2756"/>
        <v/>
      </c>
      <c r="CR848" s="1116" t="str">
        <f t="shared" si="2756"/>
        <v/>
      </c>
      <c r="CS848" s="1115" t="str">
        <f t="shared" si="2756"/>
        <v/>
      </c>
      <c r="CT848" s="1118" t="str">
        <f t="shared" si="2756"/>
        <v/>
      </c>
      <c r="CU848" s="312" t="str">
        <f t="shared" si="2670"/>
        <v/>
      </c>
      <c r="CV848" s="313" t="str">
        <f t="shared" si="2671"/>
        <v/>
      </c>
      <c r="CW848" s="314" t="str">
        <f t="shared" si="2672"/>
        <v/>
      </c>
      <c r="CX848" s="314" t="str">
        <f t="shared" si="2673"/>
        <v/>
      </c>
      <c r="CY848" s="314">
        <f t="shared" si="2674"/>
        <v>0</v>
      </c>
      <c r="CZ848" s="314">
        <f t="shared" si="2675"/>
        <v>0</v>
      </c>
      <c r="DA848" s="314">
        <f t="shared" si="2676"/>
        <v>0</v>
      </c>
      <c r="DB848" s="315">
        <f t="shared" si="2677"/>
        <v>0</v>
      </c>
      <c r="DC848" s="315">
        <f t="shared" si="2678"/>
        <v>0</v>
      </c>
      <c r="DD848" s="315">
        <f t="shared" si="2679"/>
        <v>0</v>
      </c>
      <c r="DE848" s="314">
        <f t="shared" si="2680"/>
        <v>0</v>
      </c>
      <c r="DF848" s="314">
        <f t="shared" si="2681"/>
        <v>0</v>
      </c>
      <c r="DG848" s="314">
        <f t="shared" si="2682"/>
        <v>0</v>
      </c>
      <c r="DH848" s="314" t="str">
        <f t="shared" si="2683"/>
        <v/>
      </c>
      <c r="DI848" s="314" t="str">
        <f t="shared" si="2684"/>
        <v/>
      </c>
      <c r="DJ848" s="313" t="str">
        <f t="shared" si="2685"/>
        <v/>
      </c>
      <c r="DK848" s="312" t="str">
        <f t="shared" si="2686"/>
        <v/>
      </c>
      <c r="DL848" s="428">
        <f t="shared" si="2687"/>
        <v>9</v>
      </c>
      <c r="DM848" s="66">
        <f t="shared" si="2688"/>
        <v>9</v>
      </c>
      <c r="DN848" s="66">
        <f t="shared" si="2689"/>
        <v>9</v>
      </c>
      <c r="DO848" s="66">
        <f t="shared" si="2690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3"/>
      <c r="CE849" s="1123"/>
      <c r="CF849" s="1123"/>
      <c r="CG849" s="1123"/>
      <c r="CH849" s="1123"/>
      <c r="CI849" s="1123"/>
      <c r="CJ849" s="1123"/>
      <c r="CK849" s="1123"/>
      <c r="CL849" s="1123"/>
      <c r="CM849" s="1123"/>
      <c r="CN849" s="1123"/>
      <c r="CO849" s="1123"/>
      <c r="CP849" s="1123"/>
      <c r="CQ849" s="1123"/>
      <c r="CR849" s="1123"/>
      <c r="CS849" s="1123"/>
      <c r="CT849" s="1124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769">SUM(B436)</f>
        <v>0</v>
      </c>
      <c r="C850" s="581">
        <f t="shared" si="2769"/>
        <v>0</v>
      </c>
      <c r="D850" s="581">
        <f t="shared" si="2769"/>
        <v>0</v>
      </c>
      <c r="E850" s="581">
        <f t="shared" si="2769"/>
        <v>0</v>
      </c>
      <c r="F850" s="581">
        <f t="shared" si="2769"/>
        <v>0</v>
      </c>
      <c r="G850" s="581">
        <f t="shared" si="2769"/>
        <v>0</v>
      </c>
      <c r="H850" s="581">
        <f t="shared" si="2769"/>
        <v>0</v>
      </c>
      <c r="I850" s="581">
        <f t="shared" si="2769"/>
        <v>0</v>
      </c>
      <c r="J850" s="581">
        <f t="shared" si="2769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770">SUM(T436)</f>
        <v>0</v>
      </c>
      <c r="U850" s="581">
        <f t="shared" si="2770"/>
        <v>0</v>
      </c>
      <c r="V850" s="581">
        <f t="shared" si="2770"/>
        <v>0</v>
      </c>
      <c r="W850" s="581">
        <f t="shared" si="2770"/>
        <v>0</v>
      </c>
      <c r="X850" s="581">
        <f t="shared" si="2770"/>
        <v>0</v>
      </c>
      <c r="Y850" s="581">
        <f t="shared" si="2770"/>
        <v>0</v>
      </c>
      <c r="Z850" s="581">
        <f t="shared" si="2770"/>
        <v>0</v>
      </c>
      <c r="AA850" s="581">
        <f t="shared" si="2770"/>
        <v>0</v>
      </c>
      <c r="AB850" s="581">
        <f t="shared" si="2770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771">SUM(AL436)</f>
        <v>0</v>
      </c>
      <c r="AM850" s="581">
        <f t="shared" si="2771"/>
        <v>0</v>
      </c>
      <c r="AN850" s="581">
        <f t="shared" si="2771"/>
        <v>0</v>
      </c>
      <c r="AO850" s="581">
        <f t="shared" si="2771"/>
        <v>0</v>
      </c>
      <c r="AP850" s="581">
        <f t="shared" si="2771"/>
        <v>0</v>
      </c>
      <c r="AQ850" s="581">
        <f t="shared" si="2771"/>
        <v>0</v>
      </c>
      <c r="AR850" s="581">
        <f t="shared" si="2771"/>
        <v>0</v>
      </c>
      <c r="AS850" s="581">
        <f t="shared" si="2771"/>
        <v>0</v>
      </c>
      <c r="AT850" s="581">
        <f t="shared" si="2771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772">SUM(BD436)</f>
        <v>0</v>
      </c>
      <c r="BE850" s="581">
        <f t="shared" si="2772"/>
        <v>0</v>
      </c>
      <c r="BF850" s="581">
        <f t="shared" si="2772"/>
        <v>0</v>
      </c>
      <c r="BG850" s="581">
        <f t="shared" si="2772"/>
        <v>0</v>
      </c>
      <c r="BH850" s="581">
        <f t="shared" si="2772"/>
        <v>0</v>
      </c>
      <c r="BI850" s="581">
        <f t="shared" si="2772"/>
        <v>0</v>
      </c>
      <c r="BJ850" s="581">
        <f t="shared" si="2772"/>
        <v>0</v>
      </c>
      <c r="BK850" s="581">
        <f t="shared" si="2772"/>
        <v>0</v>
      </c>
      <c r="BL850" s="581">
        <f t="shared" si="2772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4" t="str">
        <f t="shared" ref="CD850:CS851" si="277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5" t="str">
        <f t="shared" si="2773"/>
        <v/>
      </c>
      <c r="CF850" s="1116" t="str">
        <f t="shared" si="2773"/>
        <v/>
      </c>
      <c r="CG850" s="1116" t="str">
        <f t="shared" si="2773"/>
        <v/>
      </c>
      <c r="CH850" s="1116">
        <f t="shared" si="2773"/>
        <v>0</v>
      </c>
      <c r="CI850" s="1116">
        <f t="shared" si="2773"/>
        <v>0</v>
      </c>
      <c r="CJ850" s="1116">
        <f t="shared" si="2773"/>
        <v>0</v>
      </c>
      <c r="CK850" s="1117">
        <f t="shared" si="2773"/>
        <v>0</v>
      </c>
      <c r="CL850" s="1117">
        <f t="shared" si="2773"/>
        <v>0</v>
      </c>
      <c r="CM850" s="1117">
        <f t="shared" si="2773"/>
        <v>0</v>
      </c>
      <c r="CN850" s="1116">
        <f t="shared" si="2773"/>
        <v>0</v>
      </c>
      <c r="CO850" s="1116">
        <f t="shared" si="2773"/>
        <v>0</v>
      </c>
      <c r="CP850" s="1116">
        <f t="shared" si="2773"/>
        <v>0</v>
      </c>
      <c r="CQ850" s="1116" t="str">
        <f t="shared" si="2773"/>
        <v/>
      </c>
      <c r="CR850" s="1116" t="str">
        <f t="shared" si="2773"/>
        <v/>
      </c>
      <c r="CS850" s="1115" t="str">
        <f t="shared" si="2773"/>
        <v/>
      </c>
      <c r="CT850" s="1118" t="str">
        <f t="shared" ref="CE850:CT851" si="277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77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775"/>
        <v/>
      </c>
      <c r="CW850" s="314" t="str">
        <f t="shared" si="2775"/>
        <v/>
      </c>
      <c r="CX850" s="314" t="str">
        <f t="shared" si="2775"/>
        <v/>
      </c>
      <c r="CY850" s="314">
        <f t="shared" si="2775"/>
        <v>0</v>
      </c>
      <c r="CZ850" s="314">
        <f t="shared" si="2775"/>
        <v>0</v>
      </c>
      <c r="DA850" s="314">
        <f t="shared" si="2775"/>
        <v>0</v>
      </c>
      <c r="DB850" s="315">
        <f t="shared" si="2775"/>
        <v>0</v>
      </c>
      <c r="DC850" s="315">
        <f t="shared" si="2775"/>
        <v>0</v>
      </c>
      <c r="DD850" s="315">
        <f t="shared" si="2775"/>
        <v>0</v>
      </c>
      <c r="DE850" s="314">
        <f t="shared" ref="DE850:DK851" si="277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776"/>
        <v>0</v>
      </c>
      <c r="DG850" s="314">
        <f t="shared" si="2776"/>
        <v>0</v>
      </c>
      <c r="DH850" s="314" t="str">
        <f t="shared" si="2776"/>
        <v/>
      </c>
      <c r="DI850" s="314" t="str">
        <f t="shared" si="2776"/>
        <v/>
      </c>
      <c r="DJ850" s="313" t="str">
        <f t="shared" si="2776"/>
        <v/>
      </c>
      <c r="DK850" s="312" t="str">
        <f t="shared" si="2776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2777">SUM(B446)</f>
        <v>3.6790606653620356E-2</v>
      </c>
      <c r="C851" s="581">
        <f t="shared" si="2777"/>
        <v>5.7813810455689119E-2</v>
      </c>
      <c r="D851" s="581">
        <f t="shared" si="2777"/>
        <v>7.3581213307240712E-2</v>
      </c>
      <c r="E851" s="581">
        <f t="shared" si="2777"/>
        <v>8.9932594042183095E-2</v>
      </c>
      <c r="F851" s="581">
        <f t="shared" si="2777"/>
        <v>8.1756903674711889E-2</v>
      </c>
      <c r="G851" s="581">
        <f t="shared" si="2777"/>
        <v>5.8251793868232232E-2</v>
      </c>
      <c r="H851" s="581">
        <f t="shared" si="2777"/>
        <v>0</v>
      </c>
      <c r="I851" s="581">
        <f t="shared" si="2777"/>
        <v>2.4527071102413568E-2</v>
      </c>
      <c r="J851" s="581">
        <f t="shared" si="2777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2778">SUM(T446)</f>
        <v>0</v>
      </c>
      <c r="U851" s="581">
        <f t="shared" si="2778"/>
        <v>3.3334519361916622E-2</v>
      </c>
      <c r="V851" s="581">
        <f t="shared" si="2778"/>
        <v>7.664709719504241E-2</v>
      </c>
      <c r="W851" s="581">
        <f t="shared" si="2778"/>
        <v>2.6979778212654924E-2</v>
      </c>
      <c r="X851" s="581">
        <f t="shared" si="2778"/>
        <v>5.5185909980430527E-2</v>
      </c>
      <c r="Y851" s="581">
        <f t="shared" si="2778"/>
        <v>6.3069611406206316E-2</v>
      </c>
      <c r="Z851" s="581">
        <f t="shared" si="2778"/>
        <v>3.6790606653620356E-2</v>
      </c>
      <c r="AA851" s="581">
        <f t="shared" si="2778"/>
        <v>3.9856490541422047E-2</v>
      </c>
      <c r="AB851" s="581">
        <f t="shared" si="2778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2779">SUM(AL446)</f>
        <v>2.6756804838996624E-2</v>
      </c>
      <c r="AM851" s="581">
        <f t="shared" si="2779"/>
        <v>8.5844748858447478E-2</v>
      </c>
      <c r="AN851" s="581">
        <f t="shared" si="2779"/>
        <v>0</v>
      </c>
      <c r="AO851" s="581">
        <f t="shared" si="2779"/>
        <v>1.5329419439008479E-2</v>
      </c>
      <c r="AP851" s="581">
        <f t="shared" si="2779"/>
        <v>1.7373342030876277E-2</v>
      </c>
      <c r="AQ851" s="581">
        <f t="shared" si="2779"/>
        <v>2.4527071102413568E-2</v>
      </c>
      <c r="AR851" s="581">
        <f t="shared" si="2779"/>
        <v>2.6060013046314418E-2</v>
      </c>
      <c r="AS851" s="581">
        <f t="shared" si="2779"/>
        <v>2.3760600130463147E-2</v>
      </c>
      <c r="AT851" s="581">
        <f t="shared" si="2779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2780">SUM(BD446)</f>
        <v>0</v>
      </c>
      <c r="BE851" s="581">
        <f t="shared" si="2780"/>
        <v>0</v>
      </c>
      <c r="BF851" s="581">
        <f t="shared" si="2780"/>
        <v>0</v>
      </c>
      <c r="BG851" s="581">
        <f t="shared" si="2780"/>
        <v>0</v>
      </c>
      <c r="BH851" s="581">
        <f t="shared" si="2780"/>
        <v>0</v>
      </c>
      <c r="BI851" s="581">
        <f t="shared" si="2780"/>
        <v>0</v>
      </c>
      <c r="BJ851" s="581">
        <f t="shared" si="2780"/>
        <v>3.270276146988476E-2</v>
      </c>
      <c r="BK851" s="581">
        <f t="shared" si="2780"/>
        <v>0</v>
      </c>
      <c r="BL851" s="581">
        <f t="shared" si="2780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4" t="str">
        <f t="shared" si="2773"/>
        <v/>
      </c>
      <c r="CE851" s="1115" t="str">
        <f t="shared" si="2774"/>
        <v/>
      </c>
      <c r="CF851" s="1116" t="str">
        <f t="shared" si="2774"/>
        <v/>
      </c>
      <c r="CG851" s="1116" t="str">
        <f t="shared" si="2774"/>
        <v/>
      </c>
      <c r="CH851" s="1116">
        <f t="shared" si="2774"/>
        <v>0</v>
      </c>
      <c r="CI851" s="1116">
        <f t="shared" si="2774"/>
        <v>2.4527071102413568E-2</v>
      </c>
      <c r="CJ851" s="1116">
        <f t="shared" si="2774"/>
        <v>2.8030938402758367E-2</v>
      </c>
      <c r="CK851" s="1117">
        <f t="shared" si="2774"/>
        <v>3.6790606653620356E-2</v>
      </c>
      <c r="CL851" s="1117">
        <f t="shared" si="2774"/>
        <v>5.7813810455689119E-2</v>
      </c>
      <c r="CM851" s="1117">
        <f t="shared" si="2774"/>
        <v>5.8251793868232232E-2</v>
      </c>
      <c r="CN851" s="1116">
        <f t="shared" si="2774"/>
        <v>7.3581213307240712E-2</v>
      </c>
      <c r="CO851" s="1116">
        <f t="shared" si="2774"/>
        <v>8.1756903674711889E-2</v>
      </c>
      <c r="CP851" s="1116">
        <f t="shared" si="2774"/>
        <v>8.9932594042183095E-2</v>
      </c>
      <c r="CQ851" s="1116" t="str">
        <f t="shared" si="2774"/>
        <v/>
      </c>
      <c r="CR851" s="1116" t="str">
        <f t="shared" si="2774"/>
        <v/>
      </c>
      <c r="CS851" s="1115" t="str">
        <f t="shared" si="2774"/>
        <v/>
      </c>
      <c r="CT851" s="1118" t="str">
        <f t="shared" si="2774"/>
        <v/>
      </c>
      <c r="CU851" s="312" t="str">
        <f t="shared" si="2775"/>
        <v/>
      </c>
      <c r="CV851" s="313" t="str">
        <f t="shared" si="2775"/>
        <v/>
      </c>
      <c r="CW851" s="314" t="str">
        <f t="shared" si="2775"/>
        <v/>
      </c>
      <c r="CX851" s="314" t="str">
        <f t="shared" si="2775"/>
        <v/>
      </c>
      <c r="CY851" s="314">
        <f t="shared" si="2775"/>
        <v>0</v>
      </c>
      <c r="CZ851" s="314">
        <f t="shared" si="2775"/>
        <v>2.6979778212654924E-2</v>
      </c>
      <c r="DA851" s="314">
        <f t="shared" si="2775"/>
        <v>3.3334519361916622E-2</v>
      </c>
      <c r="DB851" s="315">
        <f t="shared" si="2775"/>
        <v>3.6790606653620356E-2</v>
      </c>
      <c r="DC851" s="315">
        <f t="shared" si="2775"/>
        <v>3.9856490541422047E-2</v>
      </c>
      <c r="DD851" s="315">
        <f t="shared" si="2775"/>
        <v>4.2046407604137553E-2</v>
      </c>
      <c r="DE851" s="314">
        <f t="shared" si="2776"/>
        <v>5.5185909980430527E-2</v>
      </c>
      <c r="DF851" s="314">
        <f t="shared" si="2776"/>
        <v>6.3069611406206316E-2</v>
      </c>
      <c r="DG851" s="314">
        <f t="shared" si="2776"/>
        <v>7.664709719504241E-2</v>
      </c>
      <c r="DH851" s="314" t="str">
        <f t="shared" si="2776"/>
        <v/>
      </c>
      <c r="DI851" s="314" t="str">
        <f t="shared" si="2776"/>
        <v/>
      </c>
      <c r="DJ851" s="313" t="str">
        <f t="shared" si="2776"/>
        <v/>
      </c>
      <c r="DK851" s="312" t="str">
        <f t="shared" si="2776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19"/>
      <c r="CE852" s="1156"/>
      <c r="CF852" s="1156"/>
      <c r="CG852" s="1156"/>
      <c r="CH852" s="1156"/>
      <c r="CI852" s="1156"/>
      <c r="CJ852" s="1156"/>
      <c r="CK852" s="1156"/>
      <c r="CL852" s="1156"/>
      <c r="CM852" s="1156"/>
      <c r="CN852" s="1156"/>
      <c r="CO852" s="1156"/>
      <c r="CP852" s="1156"/>
      <c r="CQ852" s="1156"/>
      <c r="CR852" s="1156"/>
      <c r="CS852" s="1156"/>
      <c r="CT852" s="1121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2781">SUM(B648)</f>
        <v>9.4716242661448138E-2</v>
      </c>
      <c r="C853" s="581">
        <f t="shared" si="2781"/>
        <v>0.12177802627900476</v>
      </c>
      <c r="D853" s="581">
        <f t="shared" si="2781"/>
        <v>0.12628832354859754</v>
      </c>
      <c r="E853" s="581">
        <f t="shared" si="2781"/>
        <v>0.12628832354859754</v>
      </c>
      <c r="F853" s="581">
        <f t="shared" si="2781"/>
        <v>9.4716242661448138E-2</v>
      </c>
      <c r="G853" s="581">
        <f t="shared" si="2781"/>
        <v>0.21311154598825832</v>
      </c>
      <c r="H853" s="581">
        <f t="shared" si="2781"/>
        <v>0.23679060665362037</v>
      </c>
      <c r="I853" s="581">
        <f t="shared" si="2781"/>
        <v>0.18943248532289628</v>
      </c>
      <c r="J853" s="581">
        <f t="shared" si="2781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2782">SUM(T648)</f>
        <v>0.11839530332681018</v>
      </c>
      <c r="U853" s="581">
        <f t="shared" si="2782"/>
        <v>0.10332681017612524</v>
      </c>
      <c r="V853" s="581">
        <f t="shared" si="2782"/>
        <v>0.31572080887149384</v>
      </c>
      <c r="W853" s="581">
        <f t="shared" si="2782"/>
        <v>0.17048923679060665</v>
      </c>
      <c r="X853" s="581">
        <f t="shared" si="2782"/>
        <v>0.21311154598825832</v>
      </c>
      <c r="Y853" s="581">
        <f t="shared" si="2782"/>
        <v>0.20296337713167462</v>
      </c>
      <c r="Z853" s="581">
        <f t="shared" si="2782"/>
        <v>0.37886497064579255</v>
      </c>
      <c r="AA853" s="581">
        <f t="shared" si="2782"/>
        <v>0.3409784735812133</v>
      </c>
      <c r="AB853" s="581">
        <f t="shared" si="2782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2783">SUM(AL648)</f>
        <v>3.4442270058708417E-2</v>
      </c>
      <c r="AM853" s="581">
        <f t="shared" si="2783"/>
        <v>0</v>
      </c>
      <c r="AN853" s="581">
        <f t="shared" si="2783"/>
        <v>7.1037181996086107E-2</v>
      </c>
      <c r="AO853" s="581">
        <f t="shared" si="2783"/>
        <v>5.327788649706458E-2</v>
      </c>
      <c r="AP853" s="581">
        <f t="shared" si="2783"/>
        <v>0</v>
      </c>
      <c r="AQ853" s="581">
        <f t="shared" si="2783"/>
        <v>0</v>
      </c>
      <c r="AR853" s="581">
        <f t="shared" si="2783"/>
        <v>0</v>
      </c>
      <c r="AS853" s="581">
        <f t="shared" si="2783"/>
        <v>0</v>
      </c>
      <c r="AT853" s="581">
        <f t="shared" si="2783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2784">SUM(BD648)</f>
        <v>0</v>
      </c>
      <c r="BE853" s="581">
        <f t="shared" si="2784"/>
        <v>0</v>
      </c>
      <c r="BF853" s="581">
        <f t="shared" si="2784"/>
        <v>0</v>
      </c>
      <c r="BG853" s="581">
        <f t="shared" si="2784"/>
        <v>0</v>
      </c>
      <c r="BH853" s="581">
        <f t="shared" si="2784"/>
        <v>0</v>
      </c>
      <c r="BI853" s="581">
        <f t="shared" si="2784"/>
        <v>0</v>
      </c>
      <c r="BJ853" s="581">
        <f t="shared" si="2784"/>
        <v>0</v>
      </c>
      <c r="BK853" s="581">
        <f t="shared" si="2784"/>
        <v>0</v>
      </c>
      <c r="BL853" s="581">
        <f t="shared" si="2784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4" t="str">
        <f t="shared" ref="CD853:CS853" si="278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5" t="str">
        <f t="shared" si="2785"/>
        <v/>
      </c>
      <c r="CF853" s="1116" t="str">
        <f t="shared" si="2785"/>
        <v/>
      </c>
      <c r="CG853" s="1116" t="str">
        <f t="shared" si="2785"/>
        <v/>
      </c>
      <c r="CH853" s="1116">
        <f t="shared" si="2785"/>
        <v>9.4716242661448138E-2</v>
      </c>
      <c r="CI853" s="1116">
        <f t="shared" si="2785"/>
        <v>9.4716242661448138E-2</v>
      </c>
      <c r="CJ853" s="1116">
        <f t="shared" si="2785"/>
        <v>0.12177802627900476</v>
      </c>
      <c r="CK853" s="1117">
        <f t="shared" si="2785"/>
        <v>0.12628832354859754</v>
      </c>
      <c r="CL853" s="1117">
        <f t="shared" si="2785"/>
        <v>0.12628832354859754</v>
      </c>
      <c r="CM853" s="1117">
        <f t="shared" si="2785"/>
        <v>0.13530891808778306</v>
      </c>
      <c r="CN853" s="1116">
        <f t="shared" si="2785"/>
        <v>0.18943248532289628</v>
      </c>
      <c r="CO853" s="1116">
        <f t="shared" si="2785"/>
        <v>0.21311154598825832</v>
      </c>
      <c r="CP853" s="1116">
        <f t="shared" si="2785"/>
        <v>0.23679060665362037</v>
      </c>
      <c r="CQ853" s="1116" t="str">
        <f t="shared" si="2785"/>
        <v/>
      </c>
      <c r="CR853" s="1116" t="str">
        <f t="shared" si="2785"/>
        <v/>
      </c>
      <c r="CS853" s="1115" t="str">
        <f t="shared" si="2785"/>
        <v/>
      </c>
      <c r="CT853" s="1118" t="str">
        <f t="shared" ref="CE853:CT856" si="278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78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787"/>
        <v/>
      </c>
      <c r="CW853" s="314" t="str">
        <f t="shared" si="2787"/>
        <v/>
      </c>
      <c r="CX853" s="314" t="str">
        <f t="shared" si="2787"/>
        <v/>
      </c>
      <c r="CY853" s="314">
        <f t="shared" si="2787"/>
        <v>0.10332681017612524</v>
      </c>
      <c r="CZ853" s="314">
        <f t="shared" si="2787"/>
        <v>0.10824713447022644</v>
      </c>
      <c r="DA853" s="314">
        <f t="shared" si="2787"/>
        <v>0.11839530332681018</v>
      </c>
      <c r="DB853" s="315">
        <f t="shared" si="2787"/>
        <v>0.17048923679060665</v>
      </c>
      <c r="DC853" s="315">
        <f t="shared" si="2787"/>
        <v>0.20296337713167462</v>
      </c>
      <c r="DD853" s="315">
        <f t="shared" si="2787"/>
        <v>0.21311154598825832</v>
      </c>
      <c r="DE853" s="314">
        <f t="shared" ref="DE853:DK856" si="278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788"/>
        <v>0.3409784735812133</v>
      </c>
      <c r="DG853" s="314">
        <f t="shared" si="2788"/>
        <v>0.37886497064579255</v>
      </c>
      <c r="DH853" s="314" t="str">
        <f t="shared" si="2788"/>
        <v/>
      </c>
      <c r="DI853" s="314" t="str">
        <f t="shared" si="2788"/>
        <v/>
      </c>
      <c r="DJ853" s="313" t="str">
        <f t="shared" si="2788"/>
        <v/>
      </c>
      <c r="DK853" s="312" t="str">
        <f t="shared" si="2788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2789">SUM(B654)</f>
        <v>8.5244618395303326E-2</v>
      </c>
      <c r="C854" s="581">
        <f t="shared" si="2789"/>
        <v>0.10824713447022644</v>
      </c>
      <c r="D854" s="581">
        <f t="shared" si="2789"/>
        <v>9.4716242661448138E-2</v>
      </c>
      <c r="E854" s="581">
        <f t="shared" si="2789"/>
        <v>7.893020221787346E-2</v>
      </c>
      <c r="F854" s="581">
        <f t="shared" si="2789"/>
        <v>0.12628832354859754</v>
      </c>
      <c r="G854" s="581">
        <f t="shared" si="2789"/>
        <v>5.9197651663405092E-2</v>
      </c>
      <c r="H854" s="581">
        <f t="shared" si="2789"/>
        <v>0.21311154598825832</v>
      </c>
      <c r="I854" s="581">
        <f t="shared" si="2789"/>
        <v>9.4716242661448138E-2</v>
      </c>
      <c r="J854" s="581">
        <f t="shared" si="2789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2790">SUM(T654)</f>
        <v>0.17759295499021527</v>
      </c>
      <c r="U854" s="581">
        <f t="shared" si="2790"/>
        <v>0.13776908023483367</v>
      </c>
      <c r="V854" s="581">
        <f t="shared" si="2790"/>
        <v>8.8796477495107634E-2</v>
      </c>
      <c r="W854" s="581">
        <f t="shared" si="2790"/>
        <v>8.5244618395303326E-2</v>
      </c>
      <c r="X854" s="581">
        <f t="shared" si="2790"/>
        <v>0.18943248532289628</v>
      </c>
      <c r="Y854" s="581">
        <f t="shared" si="2790"/>
        <v>0.16237070170533965</v>
      </c>
      <c r="Z854" s="581">
        <f t="shared" si="2790"/>
        <v>0.14207436399217221</v>
      </c>
      <c r="AA854" s="581">
        <f t="shared" si="2790"/>
        <v>0.17048923679060665</v>
      </c>
      <c r="AB854" s="581">
        <f t="shared" si="2790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2791">SUM(AL654)</f>
        <v>1.2915851272015656E-2</v>
      </c>
      <c r="AM854" s="581">
        <f t="shared" si="2791"/>
        <v>0</v>
      </c>
      <c r="AN854" s="581">
        <f t="shared" si="2791"/>
        <v>0.17759295499021527</v>
      </c>
      <c r="AO854" s="581">
        <f t="shared" si="2791"/>
        <v>7.1037181996086107E-2</v>
      </c>
      <c r="AP854" s="581">
        <f t="shared" si="2791"/>
        <v>0</v>
      </c>
      <c r="AQ854" s="581">
        <f t="shared" si="2791"/>
        <v>0</v>
      </c>
      <c r="AR854" s="581">
        <f t="shared" si="2791"/>
        <v>0</v>
      </c>
      <c r="AS854" s="581">
        <f t="shared" si="2791"/>
        <v>0</v>
      </c>
      <c r="AT854" s="581">
        <f t="shared" si="2791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2792">SUM(BD654)</f>
        <v>0</v>
      </c>
      <c r="BE854" s="581">
        <f t="shared" si="2792"/>
        <v>0</v>
      </c>
      <c r="BF854" s="581">
        <f t="shared" si="2792"/>
        <v>0</v>
      </c>
      <c r="BG854" s="581">
        <f t="shared" si="2792"/>
        <v>0</v>
      </c>
      <c r="BH854" s="581">
        <f t="shared" si="2792"/>
        <v>0</v>
      </c>
      <c r="BI854" s="581">
        <f t="shared" si="2792"/>
        <v>0</v>
      </c>
      <c r="BJ854" s="581">
        <f t="shared" si="2792"/>
        <v>0</v>
      </c>
      <c r="BK854" s="581">
        <f t="shared" si="2792"/>
        <v>0</v>
      </c>
      <c r="BL854" s="581">
        <f t="shared" si="2792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4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5" t="str">
        <f t="shared" si="2786"/>
        <v/>
      </c>
      <c r="CF854" s="1116" t="str">
        <f t="shared" si="2786"/>
        <v/>
      </c>
      <c r="CG854" s="1116" t="str">
        <f t="shared" si="2786"/>
        <v/>
      </c>
      <c r="CH854" s="1116">
        <f t="shared" si="2786"/>
        <v>5.9197651663405092E-2</v>
      </c>
      <c r="CI854" s="1116">
        <f t="shared" si="2786"/>
        <v>7.893020221787346E-2</v>
      </c>
      <c r="CJ854" s="1116">
        <f t="shared" si="2786"/>
        <v>8.5244618395303326E-2</v>
      </c>
      <c r="CK854" s="1117">
        <f t="shared" si="2786"/>
        <v>9.4716242661448138E-2</v>
      </c>
      <c r="CL854" s="1117">
        <f t="shared" si="2786"/>
        <v>9.4716242661448138E-2</v>
      </c>
      <c r="CM854" s="1117">
        <f t="shared" si="2786"/>
        <v>0.10148168856583731</v>
      </c>
      <c r="CN854" s="1116">
        <f t="shared" si="2786"/>
        <v>0.10824713447022644</v>
      </c>
      <c r="CO854" s="1116">
        <f t="shared" si="2786"/>
        <v>0.12628832354859754</v>
      </c>
      <c r="CP854" s="1116">
        <f t="shared" si="2786"/>
        <v>0.21311154598825832</v>
      </c>
      <c r="CQ854" s="1116" t="str">
        <f t="shared" si="2786"/>
        <v/>
      </c>
      <c r="CR854" s="1116" t="str">
        <f t="shared" si="2786"/>
        <v/>
      </c>
      <c r="CS854" s="1115" t="str">
        <f t="shared" si="2786"/>
        <v/>
      </c>
      <c r="CT854" s="1118" t="str">
        <f t="shared" si="2786"/>
        <v/>
      </c>
      <c r="CU854" s="312" t="str">
        <f t="shared" si="2787"/>
        <v/>
      </c>
      <c r="CV854" s="313" t="str">
        <f t="shared" si="2787"/>
        <v/>
      </c>
      <c r="CW854" s="314" t="str">
        <f t="shared" si="2787"/>
        <v/>
      </c>
      <c r="CX854" s="314" t="str">
        <f t="shared" si="2787"/>
        <v/>
      </c>
      <c r="CY854" s="314">
        <f t="shared" si="2787"/>
        <v>8.5244618395303326E-2</v>
      </c>
      <c r="CZ854" s="314">
        <f t="shared" si="2787"/>
        <v>8.8796477495107634E-2</v>
      </c>
      <c r="DA854" s="314">
        <f t="shared" si="2787"/>
        <v>0.12177802627900476</v>
      </c>
      <c r="DB854" s="315">
        <f t="shared" si="2787"/>
        <v>0.13776908023483367</v>
      </c>
      <c r="DC854" s="315">
        <f t="shared" si="2787"/>
        <v>0.14207436399217221</v>
      </c>
      <c r="DD854" s="315">
        <f t="shared" si="2787"/>
        <v>0.16237070170533965</v>
      </c>
      <c r="DE854" s="314">
        <f t="shared" si="2788"/>
        <v>0.17048923679060665</v>
      </c>
      <c r="DF854" s="314">
        <f t="shared" si="2788"/>
        <v>0.17759295499021527</v>
      </c>
      <c r="DG854" s="314">
        <f t="shared" si="2788"/>
        <v>0.18943248532289628</v>
      </c>
      <c r="DH854" s="314" t="str">
        <f t="shared" si="2788"/>
        <v/>
      </c>
      <c r="DI854" s="314" t="str">
        <f t="shared" si="2788"/>
        <v/>
      </c>
      <c r="DJ854" s="313" t="str">
        <f t="shared" si="2788"/>
        <v/>
      </c>
      <c r="DK854" s="312" t="str">
        <f t="shared" si="2788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2793">SUM(B660)</f>
        <v>7.5772994129158514E-2</v>
      </c>
      <c r="C855" s="581">
        <f t="shared" si="2793"/>
        <v>6.7654459043891529E-2</v>
      </c>
      <c r="D855" s="581">
        <f t="shared" si="2793"/>
        <v>0.18943248532289628</v>
      </c>
      <c r="E855" s="581">
        <f t="shared" si="2793"/>
        <v>7.1037181996086107E-2</v>
      </c>
      <c r="F855" s="581">
        <f t="shared" si="2793"/>
        <v>0.12628832354859754</v>
      </c>
      <c r="G855" s="581">
        <f t="shared" si="2793"/>
        <v>0.11839530332681018</v>
      </c>
      <c r="H855" s="581">
        <f t="shared" si="2793"/>
        <v>9.4716242661448138E-2</v>
      </c>
      <c r="I855" s="581">
        <f t="shared" si="2793"/>
        <v>0.14207436399217221</v>
      </c>
      <c r="J855" s="581">
        <f t="shared" si="2793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2794">SUM(T660)</f>
        <v>8.8796477495107634E-2</v>
      </c>
      <c r="U855" s="581">
        <f t="shared" si="2794"/>
        <v>9.6868884540117411E-2</v>
      </c>
      <c r="V855" s="581">
        <f t="shared" si="2794"/>
        <v>3.1572080887149384E-2</v>
      </c>
      <c r="W855" s="581">
        <f t="shared" si="2794"/>
        <v>4.7358121330724069E-2</v>
      </c>
      <c r="X855" s="581">
        <f t="shared" si="2794"/>
        <v>0.21311154598825832</v>
      </c>
      <c r="Y855" s="581">
        <f t="shared" si="2794"/>
        <v>0.10824713447022644</v>
      </c>
      <c r="Z855" s="581">
        <f t="shared" si="2794"/>
        <v>7.1037181996086107E-2</v>
      </c>
      <c r="AA855" s="581">
        <f t="shared" si="2794"/>
        <v>0.14207436399217221</v>
      </c>
      <c r="AB855" s="581">
        <f t="shared" si="2794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2795">SUM(AL660)</f>
        <v>2.1526418786692762E-2</v>
      </c>
      <c r="AM855" s="581">
        <f t="shared" si="2795"/>
        <v>0</v>
      </c>
      <c r="AN855" s="581">
        <f t="shared" si="2795"/>
        <v>7.1037181996086107E-2</v>
      </c>
      <c r="AO855" s="581">
        <f t="shared" si="2795"/>
        <v>9.4716242661448138E-2</v>
      </c>
      <c r="AP855" s="581">
        <f t="shared" si="2795"/>
        <v>0</v>
      </c>
      <c r="AQ855" s="581">
        <f t="shared" si="2795"/>
        <v>0</v>
      </c>
      <c r="AR855" s="581">
        <f t="shared" si="2795"/>
        <v>0</v>
      </c>
      <c r="AS855" s="581">
        <f t="shared" si="2795"/>
        <v>0</v>
      </c>
      <c r="AT855" s="581">
        <f t="shared" si="2795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2796">SUM(BD660)</f>
        <v>0</v>
      </c>
      <c r="BE855" s="581">
        <f t="shared" si="2796"/>
        <v>0</v>
      </c>
      <c r="BF855" s="581">
        <f t="shared" si="2796"/>
        <v>0</v>
      </c>
      <c r="BG855" s="581">
        <f t="shared" si="2796"/>
        <v>0</v>
      </c>
      <c r="BH855" s="581">
        <f t="shared" si="2796"/>
        <v>0</v>
      </c>
      <c r="BI855" s="581">
        <f t="shared" si="2796"/>
        <v>0</v>
      </c>
      <c r="BJ855" s="581">
        <f t="shared" si="2796"/>
        <v>0</v>
      </c>
      <c r="BK855" s="581">
        <f t="shared" si="2796"/>
        <v>0</v>
      </c>
      <c r="BL855" s="581">
        <f t="shared" si="2796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4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5" t="str">
        <f t="shared" si="2786"/>
        <v/>
      </c>
      <c r="CF855" s="1116" t="str">
        <f t="shared" si="2786"/>
        <v/>
      </c>
      <c r="CG855" s="1116" t="str">
        <f t="shared" si="2786"/>
        <v/>
      </c>
      <c r="CH855" s="1116">
        <f t="shared" si="2786"/>
        <v>6.7654459043891529E-2</v>
      </c>
      <c r="CI855" s="1116">
        <f t="shared" si="2786"/>
        <v>7.1037181996086107E-2</v>
      </c>
      <c r="CJ855" s="1116">
        <f t="shared" si="2786"/>
        <v>7.5772994129158514E-2</v>
      </c>
      <c r="CK855" s="1117">
        <f t="shared" si="2786"/>
        <v>9.4716242661448138E-2</v>
      </c>
      <c r="CL855" s="1117">
        <f t="shared" si="2786"/>
        <v>0.11839530332681018</v>
      </c>
      <c r="CM855" s="1117">
        <f t="shared" si="2786"/>
        <v>0.12628832354859754</v>
      </c>
      <c r="CN855" s="1116">
        <f t="shared" si="2786"/>
        <v>0.13530891808778306</v>
      </c>
      <c r="CO855" s="1116">
        <f t="shared" si="2786"/>
        <v>0.14207436399217221</v>
      </c>
      <c r="CP855" s="1116">
        <f t="shared" si="2786"/>
        <v>0.18943248532289628</v>
      </c>
      <c r="CQ855" s="1116" t="str">
        <f t="shared" si="2786"/>
        <v/>
      </c>
      <c r="CR855" s="1116" t="str">
        <f t="shared" si="2786"/>
        <v/>
      </c>
      <c r="CS855" s="1115" t="str">
        <f t="shared" si="2786"/>
        <v/>
      </c>
      <c r="CT855" s="1118" t="str">
        <f t="shared" si="2786"/>
        <v/>
      </c>
      <c r="CU855" s="312" t="str">
        <f t="shared" si="2787"/>
        <v/>
      </c>
      <c r="CV855" s="313" t="str">
        <f t="shared" si="2787"/>
        <v/>
      </c>
      <c r="CW855" s="314" t="str">
        <f t="shared" si="2787"/>
        <v/>
      </c>
      <c r="CX855" s="314" t="str">
        <f t="shared" si="2787"/>
        <v/>
      </c>
      <c r="CY855" s="314">
        <f t="shared" si="2787"/>
        <v>3.1572080887149384E-2</v>
      </c>
      <c r="CZ855" s="314">
        <f t="shared" si="2787"/>
        <v>4.7358121330724069E-2</v>
      </c>
      <c r="DA855" s="314">
        <f t="shared" si="2787"/>
        <v>5.4123567235113218E-2</v>
      </c>
      <c r="DB855" s="315">
        <f t="shared" si="2787"/>
        <v>7.1037181996086107E-2</v>
      </c>
      <c r="DC855" s="315">
        <f t="shared" si="2787"/>
        <v>8.8796477495107634E-2</v>
      </c>
      <c r="DD855" s="315">
        <f t="shared" si="2787"/>
        <v>9.6868884540117411E-2</v>
      </c>
      <c r="DE855" s="314">
        <f t="shared" si="2788"/>
        <v>0.10824713447022644</v>
      </c>
      <c r="DF855" s="314">
        <f t="shared" si="2788"/>
        <v>0.14207436399217221</v>
      </c>
      <c r="DG855" s="314">
        <f t="shared" si="2788"/>
        <v>0.21311154598825832</v>
      </c>
      <c r="DH855" s="314" t="str">
        <f t="shared" si="2788"/>
        <v/>
      </c>
      <c r="DI855" s="314" t="str">
        <f t="shared" si="2788"/>
        <v/>
      </c>
      <c r="DJ855" s="313" t="str">
        <f t="shared" si="2788"/>
        <v/>
      </c>
      <c r="DK855" s="312" t="str">
        <f t="shared" si="2788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2797">SUM(B663)</f>
        <v>0</v>
      </c>
      <c r="C856" s="581">
        <f t="shared" si="2797"/>
        <v>0</v>
      </c>
      <c r="D856" s="581">
        <f t="shared" si="2797"/>
        <v>0</v>
      </c>
      <c r="E856" s="581">
        <f t="shared" si="2797"/>
        <v>0</v>
      </c>
      <c r="F856" s="581">
        <f t="shared" si="2797"/>
        <v>0</v>
      </c>
      <c r="G856" s="581">
        <f t="shared" si="2797"/>
        <v>0</v>
      </c>
      <c r="H856" s="581">
        <f t="shared" si="2797"/>
        <v>0</v>
      </c>
      <c r="I856" s="581">
        <f t="shared" si="2797"/>
        <v>0</v>
      </c>
      <c r="J856" s="581">
        <f t="shared" si="2797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2798">SUM(T663)</f>
        <v>0</v>
      </c>
      <c r="U856" s="581">
        <f t="shared" si="2798"/>
        <v>0</v>
      </c>
      <c r="V856" s="581">
        <f t="shared" si="2798"/>
        <v>0</v>
      </c>
      <c r="W856" s="581">
        <f t="shared" si="2798"/>
        <v>0</v>
      </c>
      <c r="X856" s="581">
        <f t="shared" si="2798"/>
        <v>0</v>
      </c>
      <c r="Y856" s="581">
        <f t="shared" si="2798"/>
        <v>0</v>
      </c>
      <c r="Z856" s="581">
        <f t="shared" si="2798"/>
        <v>0</v>
      </c>
      <c r="AA856" s="581">
        <f t="shared" si="2798"/>
        <v>0</v>
      </c>
      <c r="AB856" s="581">
        <f t="shared" si="2798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2799">SUM(AL663)</f>
        <v>0</v>
      </c>
      <c r="AM856" s="581">
        <f t="shared" si="2799"/>
        <v>0</v>
      </c>
      <c r="AN856" s="581">
        <f t="shared" si="2799"/>
        <v>0</v>
      </c>
      <c r="AO856" s="581">
        <f t="shared" si="2799"/>
        <v>0</v>
      </c>
      <c r="AP856" s="581">
        <f t="shared" si="2799"/>
        <v>0</v>
      </c>
      <c r="AQ856" s="581">
        <f t="shared" si="2799"/>
        <v>0</v>
      </c>
      <c r="AR856" s="581">
        <f t="shared" si="2799"/>
        <v>0</v>
      </c>
      <c r="AS856" s="581">
        <f t="shared" si="2799"/>
        <v>0</v>
      </c>
      <c r="AT856" s="581">
        <f t="shared" si="2799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2800">SUM(BD663)</f>
        <v>0</v>
      </c>
      <c r="BE856" s="581">
        <f t="shared" si="2800"/>
        <v>0</v>
      </c>
      <c r="BF856" s="581">
        <f t="shared" si="2800"/>
        <v>0</v>
      </c>
      <c r="BG856" s="581">
        <f t="shared" si="2800"/>
        <v>0</v>
      </c>
      <c r="BH856" s="581">
        <f t="shared" si="2800"/>
        <v>0</v>
      </c>
      <c r="BI856" s="581">
        <f t="shared" si="2800"/>
        <v>0</v>
      </c>
      <c r="BJ856" s="581">
        <f t="shared" si="2800"/>
        <v>0</v>
      </c>
      <c r="BK856" s="581">
        <f t="shared" si="2800"/>
        <v>0</v>
      </c>
      <c r="BL856" s="581">
        <f t="shared" si="2800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4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5" t="str">
        <f t="shared" si="2786"/>
        <v/>
      </c>
      <c r="CF856" s="1116" t="str">
        <f t="shared" si="2786"/>
        <v/>
      </c>
      <c r="CG856" s="1116" t="str">
        <f t="shared" si="2786"/>
        <v/>
      </c>
      <c r="CH856" s="1116">
        <f t="shared" si="2786"/>
        <v>0</v>
      </c>
      <c r="CI856" s="1116">
        <f t="shared" si="2786"/>
        <v>0</v>
      </c>
      <c r="CJ856" s="1116">
        <f t="shared" si="2786"/>
        <v>0</v>
      </c>
      <c r="CK856" s="1117">
        <f t="shared" si="2786"/>
        <v>0</v>
      </c>
      <c r="CL856" s="1117">
        <f t="shared" si="2786"/>
        <v>0</v>
      </c>
      <c r="CM856" s="1117">
        <f t="shared" si="2786"/>
        <v>0</v>
      </c>
      <c r="CN856" s="1116">
        <f t="shared" si="2786"/>
        <v>0</v>
      </c>
      <c r="CO856" s="1116">
        <f t="shared" si="2786"/>
        <v>0</v>
      </c>
      <c r="CP856" s="1116">
        <f t="shared" si="2786"/>
        <v>0</v>
      </c>
      <c r="CQ856" s="1116" t="str">
        <f t="shared" si="2786"/>
        <v/>
      </c>
      <c r="CR856" s="1116" t="str">
        <f t="shared" si="2786"/>
        <v/>
      </c>
      <c r="CS856" s="1115" t="str">
        <f t="shared" si="2786"/>
        <v/>
      </c>
      <c r="CT856" s="1118" t="str">
        <f t="shared" si="2786"/>
        <v/>
      </c>
      <c r="CU856" s="312" t="str">
        <f t="shared" si="2787"/>
        <v/>
      </c>
      <c r="CV856" s="313" t="str">
        <f t="shared" si="2787"/>
        <v/>
      </c>
      <c r="CW856" s="314" t="str">
        <f t="shared" si="2787"/>
        <v/>
      </c>
      <c r="CX856" s="314" t="str">
        <f t="shared" si="2787"/>
        <v/>
      </c>
      <c r="CY856" s="314">
        <f t="shared" si="2787"/>
        <v>0</v>
      </c>
      <c r="CZ856" s="314">
        <f t="shared" si="2787"/>
        <v>0</v>
      </c>
      <c r="DA856" s="314">
        <f t="shared" si="2787"/>
        <v>0</v>
      </c>
      <c r="DB856" s="315">
        <f t="shared" si="2787"/>
        <v>0</v>
      </c>
      <c r="DC856" s="315">
        <f t="shared" si="2787"/>
        <v>0</v>
      </c>
      <c r="DD856" s="315">
        <f t="shared" si="2787"/>
        <v>0</v>
      </c>
      <c r="DE856" s="314">
        <f t="shared" si="2788"/>
        <v>0</v>
      </c>
      <c r="DF856" s="314">
        <f t="shared" si="2788"/>
        <v>0</v>
      </c>
      <c r="DG856" s="314">
        <f t="shared" si="2788"/>
        <v>0</v>
      </c>
      <c r="DH856" s="314" t="str">
        <f t="shared" si="2788"/>
        <v/>
      </c>
      <c r="DI856" s="314" t="str">
        <f t="shared" si="2788"/>
        <v/>
      </c>
      <c r="DJ856" s="313" t="str">
        <f t="shared" si="2788"/>
        <v/>
      </c>
      <c r="DK856" s="312" t="str">
        <f t="shared" si="2788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19"/>
      <c r="CE857" s="1156"/>
      <c r="CF857" s="1156"/>
      <c r="CG857" s="1156"/>
      <c r="CH857" s="1156"/>
      <c r="CI857" s="1156"/>
      <c r="CJ857" s="1156"/>
      <c r="CK857" s="1156"/>
      <c r="CL857" s="1156"/>
      <c r="CM857" s="1156"/>
      <c r="CN857" s="1156"/>
      <c r="CO857" s="1156"/>
      <c r="CP857" s="1156"/>
      <c r="CQ857" s="1156"/>
      <c r="CR857" s="1156"/>
      <c r="CS857" s="1156"/>
      <c r="CT857" s="1121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2801">SUM(C454)</f>
        <v>0</v>
      </c>
      <c r="D858" s="581">
        <f t="shared" si="2801"/>
        <v>0</v>
      </c>
      <c r="E858" s="581">
        <f t="shared" si="2801"/>
        <v>0</v>
      </c>
      <c r="F858" s="581">
        <f t="shared" si="2801"/>
        <v>0</v>
      </c>
      <c r="G858" s="581">
        <f t="shared" si="2801"/>
        <v>0</v>
      </c>
      <c r="H858" s="581">
        <f t="shared" si="2801"/>
        <v>0</v>
      </c>
      <c r="I858" s="581">
        <f t="shared" si="2801"/>
        <v>0</v>
      </c>
      <c r="J858" s="581">
        <f t="shared" si="2801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2802">SUM(U454)</f>
        <v>0</v>
      </c>
      <c r="V858" s="581">
        <f t="shared" si="2802"/>
        <v>0</v>
      </c>
      <c r="W858" s="581">
        <f t="shared" si="2802"/>
        <v>0</v>
      </c>
      <c r="X858" s="581">
        <f t="shared" si="2802"/>
        <v>0</v>
      </c>
      <c r="Y858" s="581">
        <f t="shared" si="2802"/>
        <v>0</v>
      </c>
      <c r="Z858" s="581">
        <f t="shared" si="2802"/>
        <v>0</v>
      </c>
      <c r="AA858" s="581">
        <f t="shared" si="2802"/>
        <v>0</v>
      </c>
      <c r="AB858" s="581">
        <f t="shared" si="2802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2803">SUM(AM454)</f>
        <v>0</v>
      </c>
      <c r="AN858" s="581">
        <f t="shared" si="2803"/>
        <v>0</v>
      </c>
      <c r="AO858" s="581">
        <f t="shared" si="2803"/>
        <v>0</v>
      </c>
      <c r="AP858" s="581">
        <f t="shared" si="2803"/>
        <v>0</v>
      </c>
      <c r="AQ858" s="581">
        <f t="shared" si="2803"/>
        <v>0</v>
      </c>
      <c r="AR858" s="581">
        <f t="shared" si="2803"/>
        <v>0</v>
      </c>
      <c r="AS858" s="581">
        <f t="shared" si="2803"/>
        <v>0</v>
      </c>
      <c r="AT858" s="581">
        <f t="shared" si="2803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2804">SUM(BE454)</f>
        <v>0</v>
      </c>
      <c r="BF858" s="581">
        <f t="shared" si="2804"/>
        <v>0</v>
      </c>
      <c r="BG858" s="581">
        <f t="shared" si="2804"/>
        <v>0</v>
      </c>
      <c r="BH858" s="581">
        <f t="shared" si="2804"/>
        <v>0</v>
      </c>
      <c r="BI858" s="581">
        <f t="shared" si="2804"/>
        <v>0</v>
      </c>
      <c r="BJ858" s="581">
        <f t="shared" si="2804"/>
        <v>0</v>
      </c>
      <c r="BK858" s="581">
        <f t="shared" si="2804"/>
        <v>0</v>
      </c>
      <c r="BL858" s="581">
        <f t="shared" si="2804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2805">IF(DL858&lt;3,"",(SUM(B858:R858)-MIN(B858:R858)-MAX(B858:R858))/(DL858-2))</f>
        <v>0</v>
      </c>
      <c r="CA858" s="398">
        <f t="shared" ref="CA858:CA886" si="2806">IF(DM858&lt;3,"",(SUM(T858:AJ858)-MIN(T858:AJ858)-MAX(T858:AJ858))/(DM858-2))</f>
        <v>0</v>
      </c>
      <c r="CB858" s="398">
        <f t="shared" ref="CB858:CB886" si="2807">IF(DN858&lt;3,"",(SUM(AL858:BB858)-MIN(AL858:BB858)-MAX(AL858:BB858))/(DN858-2))</f>
        <v>0</v>
      </c>
      <c r="CC858" s="465">
        <f t="shared" ref="CC858:CC886" si="2808">IF(DO858&lt;3,"",(SUM(BD858:BT858)-MIN(BD858:BT858)-MAX(BD858:BT858))/(DO858-2))</f>
        <v>0</v>
      </c>
      <c r="CD858" s="1114" t="str">
        <f t="shared" ref="CD858:CS873" si="28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5" t="str">
        <f t="shared" si="2809"/>
        <v/>
      </c>
      <c r="CF858" s="1116" t="str">
        <f t="shared" si="2809"/>
        <v/>
      </c>
      <c r="CG858" s="1116" t="str">
        <f t="shared" si="2809"/>
        <v/>
      </c>
      <c r="CH858" s="1116">
        <f t="shared" si="2809"/>
        <v>0</v>
      </c>
      <c r="CI858" s="1116">
        <f t="shared" si="2809"/>
        <v>0</v>
      </c>
      <c r="CJ858" s="1116">
        <f t="shared" si="2809"/>
        <v>0</v>
      </c>
      <c r="CK858" s="1117">
        <f t="shared" si="2809"/>
        <v>0</v>
      </c>
      <c r="CL858" s="1117">
        <f t="shared" si="2809"/>
        <v>0</v>
      </c>
      <c r="CM858" s="1117">
        <f t="shared" si="2809"/>
        <v>0</v>
      </c>
      <c r="CN858" s="1116">
        <f t="shared" si="2809"/>
        <v>0</v>
      </c>
      <c r="CO858" s="1116">
        <f t="shared" si="2809"/>
        <v>0</v>
      </c>
      <c r="CP858" s="1116">
        <f t="shared" si="2809"/>
        <v>0</v>
      </c>
      <c r="CQ858" s="1116" t="str">
        <f t="shared" si="2809"/>
        <v/>
      </c>
      <c r="CR858" s="1116" t="str">
        <f t="shared" si="2809"/>
        <v/>
      </c>
      <c r="CS858" s="1115" t="str">
        <f t="shared" si="2809"/>
        <v/>
      </c>
      <c r="CT858" s="1146" t="str">
        <f t="shared" ref="CT858:CT886" si="28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0" t="str">
        <f t="shared" ref="CU858:DJ873" si="28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29" t="str">
        <f t="shared" si="2811"/>
        <v/>
      </c>
      <c r="CW858" s="1130" t="str">
        <f t="shared" si="2811"/>
        <v/>
      </c>
      <c r="CX858" s="1130" t="str">
        <f t="shared" si="2811"/>
        <v/>
      </c>
      <c r="CY858" s="1130">
        <f t="shared" si="2811"/>
        <v>0</v>
      </c>
      <c r="CZ858" s="1130">
        <f t="shared" si="2811"/>
        <v>0</v>
      </c>
      <c r="DA858" s="1130">
        <f t="shared" si="2811"/>
        <v>0</v>
      </c>
      <c r="DB858" s="1131">
        <f t="shared" si="2811"/>
        <v>0</v>
      </c>
      <c r="DC858" s="1131">
        <f t="shared" si="2811"/>
        <v>0</v>
      </c>
      <c r="DD858" s="1131">
        <f t="shared" si="2811"/>
        <v>0</v>
      </c>
      <c r="DE858" s="1130">
        <f t="shared" si="2811"/>
        <v>0</v>
      </c>
      <c r="DF858" s="1130">
        <f t="shared" si="2811"/>
        <v>0</v>
      </c>
      <c r="DG858" s="1130">
        <f t="shared" si="2811"/>
        <v>0</v>
      </c>
      <c r="DH858" s="1130" t="str">
        <f t="shared" si="2811"/>
        <v/>
      </c>
      <c r="DI858" s="1130" t="str">
        <f t="shared" si="2811"/>
        <v/>
      </c>
      <c r="DJ858" s="1129" t="str">
        <f t="shared" si="2811"/>
        <v/>
      </c>
      <c r="DK858" s="1200" t="str">
        <f t="shared" ref="DK858:DK886" si="28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2813">COUNT(B858:R858)</f>
        <v>9</v>
      </c>
      <c r="DM858" s="66">
        <f t="shared" ref="DM858:DM886" si="2814">COUNT(T858:AJ858)</f>
        <v>9</v>
      </c>
      <c r="DN858" s="66">
        <f t="shared" ref="DN858:DN886" si="2815">COUNT(AL858:BB858)</f>
        <v>9</v>
      </c>
      <c r="DO858" s="66">
        <f t="shared" ref="DO858:DO886" si="2816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2817">SUM(C463)</f>
        <v>7.1037181996086107E-2</v>
      </c>
      <c r="D859" s="581">
        <f t="shared" si="2817"/>
        <v>0.12628832354859754</v>
      </c>
      <c r="E859" s="581">
        <f t="shared" si="2817"/>
        <v>5.5251141552511415E-2</v>
      </c>
      <c r="F859" s="581">
        <f t="shared" si="2817"/>
        <v>0.11050228310502283</v>
      </c>
      <c r="G859" s="581">
        <f t="shared" si="2817"/>
        <v>0.11839530332681018</v>
      </c>
      <c r="H859" s="581">
        <f t="shared" si="2817"/>
        <v>0</v>
      </c>
      <c r="I859" s="581">
        <f t="shared" si="2817"/>
        <v>3.1572080887149384E-2</v>
      </c>
      <c r="J859" s="581">
        <f t="shared" si="2817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2818">SUM(T463)</f>
        <v>0</v>
      </c>
      <c r="U859" s="581">
        <f t="shared" si="2818"/>
        <v>4.3052837573385523E-2</v>
      </c>
      <c r="V859" s="581">
        <f t="shared" si="2818"/>
        <v>0.11839530332681018</v>
      </c>
      <c r="W859" s="581">
        <f t="shared" si="2818"/>
        <v>0</v>
      </c>
      <c r="X859" s="581">
        <f t="shared" si="2818"/>
        <v>0</v>
      </c>
      <c r="Y859" s="581">
        <f t="shared" si="2818"/>
        <v>0.16237070170533965</v>
      </c>
      <c r="Z859" s="581">
        <f t="shared" si="2818"/>
        <v>3.5518590998043054E-2</v>
      </c>
      <c r="AA859" s="581">
        <f t="shared" si="2818"/>
        <v>1.8943248532289628E-2</v>
      </c>
      <c r="AB859" s="581">
        <f t="shared" si="2818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2819">SUM(AL463)</f>
        <v>0.10332681017612524</v>
      </c>
      <c r="AM859" s="581">
        <f t="shared" si="2819"/>
        <v>0.11050228310502283</v>
      </c>
      <c r="AN859" s="581">
        <f t="shared" si="2819"/>
        <v>0.18943248532289628</v>
      </c>
      <c r="AO859" s="581">
        <f t="shared" si="2819"/>
        <v>0</v>
      </c>
      <c r="AP859" s="581">
        <f t="shared" si="2819"/>
        <v>0.25257664709719507</v>
      </c>
      <c r="AQ859" s="581">
        <f t="shared" si="2819"/>
        <v>0</v>
      </c>
      <c r="AR859" s="581">
        <f t="shared" si="2819"/>
        <v>0</v>
      </c>
      <c r="AS859" s="581">
        <f t="shared" si="2819"/>
        <v>0</v>
      </c>
      <c r="AT859" s="581">
        <f t="shared" si="2819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2820">SUM(BD463)</f>
        <v>0</v>
      </c>
      <c r="BE859" s="581">
        <f t="shared" si="2820"/>
        <v>0</v>
      </c>
      <c r="BF859" s="581">
        <f t="shared" si="2820"/>
        <v>0</v>
      </c>
      <c r="BG859" s="581">
        <f t="shared" si="2820"/>
        <v>0</v>
      </c>
      <c r="BH859" s="581">
        <f t="shared" si="2820"/>
        <v>0</v>
      </c>
      <c r="BI859" s="581">
        <f t="shared" si="2820"/>
        <v>0.24355605255800952</v>
      </c>
      <c r="BJ859" s="581">
        <f t="shared" si="2820"/>
        <v>0</v>
      </c>
      <c r="BK859" s="581">
        <f t="shared" si="2820"/>
        <v>0</v>
      </c>
      <c r="BL859" s="581">
        <f t="shared" si="2820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2805"/>
        <v>7.6127374628912212E-2</v>
      </c>
      <c r="CA859" s="398">
        <f t="shared" si="2806"/>
        <v>5.4040097447981154E-2</v>
      </c>
      <c r="CB859" s="398">
        <f t="shared" si="2807"/>
        <v>5.7608796943434903E-2</v>
      </c>
      <c r="CC859" s="465">
        <f t="shared" si="2808"/>
        <v>0</v>
      </c>
      <c r="CD859" s="1114" t="str">
        <f t="shared" si="2809"/>
        <v/>
      </c>
      <c r="CE859" s="1115" t="str">
        <f t="shared" si="2809"/>
        <v/>
      </c>
      <c r="CF859" s="1116" t="str">
        <f t="shared" si="2809"/>
        <v/>
      </c>
      <c r="CG859" s="1116" t="str">
        <f t="shared" si="2809"/>
        <v/>
      </c>
      <c r="CH859" s="1116">
        <f t="shared" si="2809"/>
        <v>0</v>
      </c>
      <c r="CI859" s="1116">
        <f t="shared" si="2809"/>
        <v>3.1572080887149384E-2</v>
      </c>
      <c r="CJ859" s="1116">
        <f t="shared" si="2809"/>
        <v>3.7886497064579257E-2</v>
      </c>
      <c r="CK859" s="1117">
        <f t="shared" si="2809"/>
        <v>5.5251141552511415E-2</v>
      </c>
      <c r="CL859" s="1117">
        <f t="shared" si="2809"/>
        <v>7.1037181996086107E-2</v>
      </c>
      <c r="CM859" s="1117">
        <f t="shared" si="2809"/>
        <v>0.10824713447022644</v>
      </c>
      <c r="CN859" s="1116">
        <f t="shared" si="2809"/>
        <v>0.11050228310502283</v>
      </c>
      <c r="CO859" s="1116">
        <f t="shared" si="2809"/>
        <v>0.11839530332681018</v>
      </c>
      <c r="CP859" s="1116">
        <f t="shared" si="2809"/>
        <v>0.12628832354859754</v>
      </c>
      <c r="CQ859" s="1116" t="str">
        <f t="shared" si="2809"/>
        <v/>
      </c>
      <c r="CR859" s="1116" t="str">
        <f t="shared" si="2809"/>
        <v/>
      </c>
      <c r="CS859" s="1115" t="str">
        <f t="shared" si="2809"/>
        <v/>
      </c>
      <c r="CT859" s="1146" t="str">
        <f t="shared" si="2810"/>
        <v/>
      </c>
      <c r="CU859" s="1200" t="str">
        <f t="shared" si="2811"/>
        <v/>
      </c>
      <c r="CV859" s="1129" t="str">
        <f t="shared" si="2811"/>
        <v/>
      </c>
      <c r="CW859" s="1130" t="str">
        <f t="shared" si="2811"/>
        <v/>
      </c>
      <c r="CX859" s="1130" t="str">
        <f t="shared" si="2811"/>
        <v/>
      </c>
      <c r="CY859" s="1130">
        <f t="shared" si="2811"/>
        <v>0</v>
      </c>
      <c r="CZ859" s="1130">
        <f t="shared" si="2811"/>
        <v>0</v>
      </c>
      <c r="DA859" s="1130">
        <f t="shared" si="2811"/>
        <v>0</v>
      </c>
      <c r="DB859" s="1131">
        <f t="shared" si="2811"/>
        <v>1.8943248532289628E-2</v>
      </c>
      <c r="DC859" s="1131">
        <f t="shared" si="2811"/>
        <v>3.5518590998043054E-2</v>
      </c>
      <c r="DD859" s="1131">
        <f t="shared" si="2811"/>
        <v>4.3052837573385523E-2</v>
      </c>
      <c r="DE859" s="1130">
        <f t="shared" si="2811"/>
        <v>0.11839530332681018</v>
      </c>
      <c r="DF859" s="1130">
        <f t="shared" si="2811"/>
        <v>0.16237070170533965</v>
      </c>
      <c r="DG859" s="1130">
        <f t="shared" si="2811"/>
        <v>0.16237070170533965</v>
      </c>
      <c r="DH859" s="1130" t="str">
        <f t="shared" si="2811"/>
        <v/>
      </c>
      <c r="DI859" s="1130" t="str">
        <f t="shared" si="2811"/>
        <v/>
      </c>
      <c r="DJ859" s="1129" t="str">
        <f t="shared" si="2811"/>
        <v/>
      </c>
      <c r="DK859" s="1200" t="str">
        <f t="shared" si="2812"/>
        <v/>
      </c>
      <c r="DL859" s="428">
        <f t="shared" si="2813"/>
        <v>9</v>
      </c>
      <c r="DM859" s="66">
        <f t="shared" si="2814"/>
        <v>9</v>
      </c>
      <c r="DN859" s="66">
        <f t="shared" si="2815"/>
        <v>9</v>
      </c>
      <c r="DO859" s="66">
        <f t="shared" si="2816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2821">SUM(C472)</f>
        <v>3.2988537880905785E-3</v>
      </c>
      <c r="D860" s="581">
        <f t="shared" si="2821"/>
        <v>9.2367906066536207E-2</v>
      </c>
      <c r="E860" s="581">
        <f t="shared" si="2821"/>
        <v>0</v>
      </c>
      <c r="F860" s="581">
        <f t="shared" si="2821"/>
        <v>0</v>
      </c>
      <c r="G860" s="581">
        <f t="shared" si="2821"/>
        <v>8.6594911937377689E-3</v>
      </c>
      <c r="H860" s="581">
        <f t="shared" si="2821"/>
        <v>0</v>
      </c>
      <c r="I860" s="581">
        <f t="shared" si="2821"/>
        <v>0</v>
      </c>
      <c r="J860" s="581">
        <f t="shared" si="2821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2822">SUM(U472)</f>
        <v>0</v>
      </c>
      <c r="V860" s="581">
        <f t="shared" si="2822"/>
        <v>0</v>
      </c>
      <c r="W860" s="581">
        <f t="shared" si="2822"/>
        <v>1.8473581213307239E-2</v>
      </c>
      <c r="X860" s="581">
        <f t="shared" si="2822"/>
        <v>0</v>
      </c>
      <c r="Y860" s="581">
        <f t="shared" si="2822"/>
        <v>0</v>
      </c>
      <c r="Z860" s="581">
        <f t="shared" si="2822"/>
        <v>1.1545988258317025E-3</v>
      </c>
      <c r="AA860" s="581">
        <f t="shared" si="2822"/>
        <v>9.2367906066536201E-4</v>
      </c>
      <c r="AB860" s="581">
        <f t="shared" si="2822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2823">SUM(AM472)</f>
        <v>0</v>
      </c>
      <c r="AN860" s="581">
        <f t="shared" si="2823"/>
        <v>0</v>
      </c>
      <c r="AO860" s="581">
        <f t="shared" si="2823"/>
        <v>4.6183953033268103E-2</v>
      </c>
      <c r="AP860" s="581">
        <f t="shared" si="2823"/>
        <v>0</v>
      </c>
      <c r="AQ860" s="581">
        <f t="shared" si="2823"/>
        <v>0</v>
      </c>
      <c r="AR860" s="581">
        <f t="shared" si="2823"/>
        <v>1.1545988258317026E-2</v>
      </c>
      <c r="AS860" s="581">
        <f t="shared" si="2823"/>
        <v>6.9275929549902152E-2</v>
      </c>
      <c r="AT860" s="581">
        <f t="shared" si="2823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2824">SUM(BE472)</f>
        <v>0</v>
      </c>
      <c r="BF860" s="581">
        <f t="shared" si="2824"/>
        <v>0</v>
      </c>
      <c r="BG860" s="581">
        <f t="shared" si="2824"/>
        <v>4.6183953033268098E-3</v>
      </c>
      <c r="BH860" s="581">
        <f t="shared" si="2824"/>
        <v>9.2367906066536196E-3</v>
      </c>
      <c r="BI860" s="581">
        <f t="shared" si="2824"/>
        <v>0</v>
      </c>
      <c r="BJ860" s="581">
        <f t="shared" si="2824"/>
        <v>4.6183953033268103E-2</v>
      </c>
      <c r="BK860" s="581">
        <f t="shared" si="2824"/>
        <v>0</v>
      </c>
      <c r="BL860" s="581">
        <f t="shared" si="2824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2805"/>
        <v>1.7083349974040501E-3</v>
      </c>
      <c r="CA860" s="398">
        <f t="shared" si="2806"/>
        <v>5.0307520268381284E-4</v>
      </c>
      <c r="CB860" s="398">
        <f t="shared" si="2807"/>
        <v>1.7124050118179277E-2</v>
      </c>
      <c r="CC860" s="465">
        <f t="shared" si="2808"/>
        <v>8.5770198490355051E-3</v>
      </c>
      <c r="CD860" s="1114" t="str">
        <f t="shared" si="2809"/>
        <v/>
      </c>
      <c r="CE860" s="1115" t="str">
        <f t="shared" si="2809"/>
        <v/>
      </c>
      <c r="CF860" s="1116" t="str">
        <f t="shared" si="2809"/>
        <v/>
      </c>
      <c r="CG860" s="1116" t="str">
        <f t="shared" si="2809"/>
        <v/>
      </c>
      <c r="CH860" s="1116">
        <f t="shared" si="2809"/>
        <v>0</v>
      </c>
      <c r="CI860" s="1116">
        <f t="shared" si="2809"/>
        <v>0</v>
      </c>
      <c r="CJ860" s="1116">
        <f t="shared" si="2809"/>
        <v>0</v>
      </c>
      <c r="CK860" s="1117">
        <f t="shared" si="2809"/>
        <v>0</v>
      </c>
      <c r="CL860" s="1117">
        <f t="shared" si="2809"/>
        <v>0</v>
      </c>
      <c r="CM860" s="1117">
        <f t="shared" si="2809"/>
        <v>0</v>
      </c>
      <c r="CN860" s="1116">
        <f t="shared" si="2809"/>
        <v>3.2988537880905785E-3</v>
      </c>
      <c r="CO860" s="1116">
        <f t="shared" si="2809"/>
        <v>8.6594911937377689E-3</v>
      </c>
      <c r="CP860" s="1116">
        <f t="shared" si="2809"/>
        <v>9.2367906066536207E-2</v>
      </c>
      <c r="CQ860" s="1116" t="str">
        <f t="shared" si="2809"/>
        <v/>
      </c>
      <c r="CR860" s="1116" t="str">
        <f t="shared" si="2809"/>
        <v/>
      </c>
      <c r="CS860" s="1115" t="str">
        <f t="shared" si="2809"/>
        <v/>
      </c>
      <c r="CT860" s="1146" t="str">
        <f t="shared" si="2810"/>
        <v/>
      </c>
      <c r="CU860" s="1200" t="str">
        <f t="shared" si="2811"/>
        <v/>
      </c>
      <c r="CV860" s="1129" t="str">
        <f t="shared" si="2811"/>
        <v/>
      </c>
      <c r="CW860" s="1130" t="str">
        <f t="shared" si="2811"/>
        <v/>
      </c>
      <c r="CX860" s="1130" t="str">
        <f t="shared" si="2811"/>
        <v/>
      </c>
      <c r="CY860" s="1130">
        <f t="shared" si="2811"/>
        <v>0</v>
      </c>
      <c r="CZ860" s="1130">
        <f t="shared" si="2811"/>
        <v>0</v>
      </c>
      <c r="DA860" s="1130">
        <f t="shared" si="2811"/>
        <v>0</v>
      </c>
      <c r="DB860" s="1131">
        <f t="shared" si="2811"/>
        <v>0</v>
      </c>
      <c r="DC860" s="1131">
        <f t="shared" si="2811"/>
        <v>0</v>
      </c>
      <c r="DD860" s="1131">
        <f t="shared" si="2811"/>
        <v>9.2367906066536201E-4</v>
      </c>
      <c r="DE860" s="1130">
        <f t="shared" si="2811"/>
        <v>1.1545988258317025E-3</v>
      </c>
      <c r="DF860" s="1130">
        <f t="shared" si="2811"/>
        <v>1.4432485322896282E-3</v>
      </c>
      <c r="DG860" s="1130">
        <f t="shared" si="2811"/>
        <v>1.8473581213307239E-2</v>
      </c>
      <c r="DH860" s="1130" t="str">
        <f t="shared" si="2811"/>
        <v/>
      </c>
      <c r="DI860" s="1130" t="str">
        <f t="shared" si="2811"/>
        <v/>
      </c>
      <c r="DJ860" s="1129" t="str">
        <f t="shared" si="2811"/>
        <v/>
      </c>
      <c r="DK860" s="1200" t="str">
        <f t="shared" si="2812"/>
        <v/>
      </c>
      <c r="DL860" s="428">
        <f t="shared" si="2813"/>
        <v>9</v>
      </c>
      <c r="DM860" s="66">
        <f t="shared" si="2814"/>
        <v>9</v>
      </c>
      <c r="DN860" s="66">
        <f t="shared" si="2815"/>
        <v>9</v>
      </c>
      <c r="DO860" s="66">
        <f t="shared" si="2816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2825">SUM(C481)</f>
        <v>0</v>
      </c>
      <c r="D861" s="581">
        <f t="shared" si="2825"/>
        <v>0</v>
      </c>
      <c r="E861" s="581">
        <f t="shared" si="2825"/>
        <v>0</v>
      </c>
      <c r="F861" s="581">
        <f t="shared" si="2825"/>
        <v>0</v>
      </c>
      <c r="G861" s="581">
        <f t="shared" si="2825"/>
        <v>0</v>
      </c>
      <c r="H861" s="581">
        <f t="shared" si="2825"/>
        <v>7.7190693629049806E-3</v>
      </c>
      <c r="I861" s="581">
        <f t="shared" si="2825"/>
        <v>0</v>
      </c>
      <c r="J861" s="581">
        <f t="shared" si="2825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2826">SUM(T481)</f>
        <v>0</v>
      </c>
      <c r="U861" s="581">
        <f t="shared" si="2826"/>
        <v>0</v>
      </c>
      <c r="V861" s="581">
        <f t="shared" si="2826"/>
        <v>0</v>
      </c>
      <c r="W861" s="581">
        <f t="shared" si="2826"/>
        <v>0</v>
      </c>
      <c r="X861" s="581">
        <f t="shared" si="2826"/>
        <v>0</v>
      </c>
      <c r="Y861" s="581">
        <f t="shared" si="2826"/>
        <v>0</v>
      </c>
      <c r="Z861" s="581">
        <f t="shared" si="2826"/>
        <v>0</v>
      </c>
      <c r="AA861" s="581">
        <f t="shared" si="2826"/>
        <v>0</v>
      </c>
      <c r="AB861" s="581">
        <f t="shared" si="2826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2827">SUM(AL481)</f>
        <v>0</v>
      </c>
      <c r="AM861" s="581">
        <f t="shared" si="2827"/>
        <v>0</v>
      </c>
      <c r="AN861" s="581">
        <f t="shared" si="2827"/>
        <v>0</v>
      </c>
      <c r="AO861" s="581">
        <f t="shared" si="2827"/>
        <v>0</v>
      </c>
      <c r="AP861" s="581">
        <f t="shared" si="2827"/>
        <v>0</v>
      </c>
      <c r="AQ861" s="581">
        <f t="shared" si="2827"/>
        <v>0</v>
      </c>
      <c r="AR861" s="581">
        <f t="shared" si="2827"/>
        <v>0</v>
      </c>
      <c r="AS861" s="581">
        <f t="shared" si="2827"/>
        <v>0</v>
      </c>
      <c r="AT861" s="581">
        <f t="shared" si="2827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2828">SUM(BD481)</f>
        <v>0</v>
      </c>
      <c r="BE861" s="581">
        <f t="shared" si="2828"/>
        <v>0</v>
      </c>
      <c r="BF861" s="581">
        <f t="shared" si="2828"/>
        <v>0</v>
      </c>
      <c r="BG861" s="581">
        <f t="shared" si="2828"/>
        <v>0</v>
      </c>
      <c r="BH861" s="581">
        <f t="shared" si="2828"/>
        <v>0</v>
      </c>
      <c r="BI861" s="581">
        <f t="shared" si="2828"/>
        <v>0</v>
      </c>
      <c r="BJ861" s="581">
        <f t="shared" si="2828"/>
        <v>0</v>
      </c>
      <c r="BK861" s="581">
        <f t="shared" si="2828"/>
        <v>0</v>
      </c>
      <c r="BL861" s="581">
        <f t="shared" si="2828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2805"/>
        <v>0</v>
      </c>
      <c r="CA861" s="398">
        <f t="shared" si="2806"/>
        <v>0</v>
      </c>
      <c r="CB861" s="398">
        <f t="shared" si="2807"/>
        <v>0</v>
      </c>
      <c r="CC861" s="465">
        <f t="shared" si="2808"/>
        <v>0</v>
      </c>
      <c r="CD861" s="1114" t="str">
        <f t="shared" si="2809"/>
        <v/>
      </c>
      <c r="CE861" s="1115" t="str">
        <f t="shared" si="2809"/>
        <v/>
      </c>
      <c r="CF861" s="1116" t="str">
        <f t="shared" si="2809"/>
        <v/>
      </c>
      <c r="CG861" s="1116" t="str">
        <f t="shared" si="2809"/>
        <v/>
      </c>
      <c r="CH861" s="1116">
        <f t="shared" si="2809"/>
        <v>0</v>
      </c>
      <c r="CI861" s="1116">
        <f t="shared" si="2809"/>
        <v>0</v>
      </c>
      <c r="CJ861" s="1116">
        <f t="shared" si="2809"/>
        <v>0</v>
      </c>
      <c r="CK861" s="1117">
        <f t="shared" si="2809"/>
        <v>0</v>
      </c>
      <c r="CL861" s="1117">
        <f t="shared" si="2809"/>
        <v>0</v>
      </c>
      <c r="CM861" s="1117">
        <f t="shared" si="2809"/>
        <v>0</v>
      </c>
      <c r="CN861" s="1116">
        <f t="shared" si="2809"/>
        <v>0</v>
      </c>
      <c r="CO861" s="1116">
        <f t="shared" si="2809"/>
        <v>0</v>
      </c>
      <c r="CP861" s="1116">
        <f t="shared" si="2809"/>
        <v>7.7190693629049806E-3</v>
      </c>
      <c r="CQ861" s="1116" t="str">
        <f t="shared" si="2809"/>
        <v/>
      </c>
      <c r="CR861" s="1116" t="str">
        <f t="shared" si="2809"/>
        <v/>
      </c>
      <c r="CS861" s="1115" t="str">
        <f t="shared" si="2809"/>
        <v/>
      </c>
      <c r="CT861" s="1146" t="str">
        <f t="shared" si="2810"/>
        <v/>
      </c>
      <c r="CU861" s="1200" t="str">
        <f t="shared" si="2811"/>
        <v/>
      </c>
      <c r="CV861" s="1129" t="str">
        <f t="shared" si="2811"/>
        <v/>
      </c>
      <c r="CW861" s="1130" t="str">
        <f t="shared" si="2811"/>
        <v/>
      </c>
      <c r="CX861" s="1130" t="str">
        <f t="shared" si="2811"/>
        <v/>
      </c>
      <c r="CY861" s="1130">
        <f t="shared" si="2811"/>
        <v>0</v>
      </c>
      <c r="CZ861" s="1130">
        <f t="shared" si="2811"/>
        <v>0</v>
      </c>
      <c r="DA861" s="1130">
        <f t="shared" si="2811"/>
        <v>0</v>
      </c>
      <c r="DB861" s="1131">
        <f t="shared" si="2811"/>
        <v>0</v>
      </c>
      <c r="DC861" s="1131">
        <f t="shared" si="2811"/>
        <v>0</v>
      </c>
      <c r="DD861" s="1131">
        <f t="shared" si="2811"/>
        <v>0</v>
      </c>
      <c r="DE861" s="1130">
        <f t="shared" si="2811"/>
        <v>0</v>
      </c>
      <c r="DF861" s="1130">
        <f t="shared" si="2811"/>
        <v>0</v>
      </c>
      <c r="DG861" s="1130">
        <f t="shared" si="2811"/>
        <v>0</v>
      </c>
      <c r="DH861" s="1130" t="str">
        <f t="shared" si="2811"/>
        <v/>
      </c>
      <c r="DI861" s="1130" t="str">
        <f t="shared" si="2811"/>
        <v/>
      </c>
      <c r="DJ861" s="1129" t="str">
        <f t="shared" si="2811"/>
        <v/>
      </c>
      <c r="DK861" s="1200" t="str">
        <f t="shared" si="2812"/>
        <v/>
      </c>
      <c r="DL861" s="428">
        <f t="shared" si="2813"/>
        <v>9</v>
      </c>
      <c r="DM861" s="66">
        <f t="shared" si="2814"/>
        <v>9</v>
      </c>
      <c r="DN861" s="66">
        <f t="shared" si="2815"/>
        <v>9</v>
      </c>
      <c r="DO861" s="66">
        <f t="shared" si="2816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2829">SUM(C490)</f>
        <v>0</v>
      </c>
      <c r="D862" s="581">
        <f t="shared" si="2829"/>
        <v>0</v>
      </c>
      <c r="E862" s="581">
        <f t="shared" si="2829"/>
        <v>0</v>
      </c>
      <c r="F862" s="581">
        <f t="shared" si="2829"/>
        <v>0</v>
      </c>
      <c r="G862" s="581">
        <f t="shared" si="2829"/>
        <v>0</v>
      </c>
      <c r="H862" s="581">
        <f t="shared" si="2829"/>
        <v>4.7358121330724069E-2</v>
      </c>
      <c r="I862" s="581">
        <f t="shared" si="2829"/>
        <v>0</v>
      </c>
      <c r="J862" s="581">
        <f t="shared" si="2829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2830">SUM(U490)</f>
        <v>0</v>
      </c>
      <c r="V862" s="581">
        <f t="shared" si="2830"/>
        <v>0</v>
      </c>
      <c r="W862" s="581">
        <f t="shared" si="2830"/>
        <v>0</v>
      </c>
      <c r="X862" s="581">
        <f t="shared" si="2830"/>
        <v>0</v>
      </c>
      <c r="Y862" s="581">
        <f t="shared" si="2830"/>
        <v>5.4123567235113218E-2</v>
      </c>
      <c r="Z862" s="581">
        <f t="shared" si="2830"/>
        <v>0</v>
      </c>
      <c r="AA862" s="581">
        <f t="shared" si="2830"/>
        <v>9.4716242661448142E-3</v>
      </c>
      <c r="AB862" s="581">
        <f t="shared" si="2830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2831">SUM(AM490)</f>
        <v>0</v>
      </c>
      <c r="AN862" s="581">
        <f t="shared" si="2831"/>
        <v>0</v>
      </c>
      <c r="AO862" s="581">
        <f t="shared" si="2831"/>
        <v>0</v>
      </c>
      <c r="AP862" s="581">
        <f t="shared" si="2831"/>
        <v>0</v>
      </c>
      <c r="AQ862" s="581">
        <f t="shared" si="2831"/>
        <v>0</v>
      </c>
      <c r="AR862" s="581">
        <f t="shared" si="2831"/>
        <v>9.4716242661448138E-2</v>
      </c>
      <c r="AS862" s="581">
        <f t="shared" si="2831"/>
        <v>0</v>
      </c>
      <c r="AT862" s="581">
        <f t="shared" si="2831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2832">SUM(BE490)</f>
        <v>0</v>
      </c>
      <c r="BF862" s="581">
        <f t="shared" si="2832"/>
        <v>0</v>
      </c>
      <c r="BG862" s="581">
        <f t="shared" si="2832"/>
        <v>0</v>
      </c>
      <c r="BH862" s="581">
        <f t="shared" si="2832"/>
        <v>0</v>
      </c>
      <c r="BI862" s="581">
        <f t="shared" si="2832"/>
        <v>0</v>
      </c>
      <c r="BJ862" s="581">
        <f t="shared" si="2832"/>
        <v>0</v>
      </c>
      <c r="BK862" s="581">
        <f t="shared" si="2832"/>
        <v>0</v>
      </c>
      <c r="BL862" s="581">
        <f t="shared" si="2832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2805"/>
        <v>0</v>
      </c>
      <c r="CA862" s="398">
        <f t="shared" si="2806"/>
        <v>7.7561004832461351E-3</v>
      </c>
      <c r="CB862" s="398">
        <f t="shared" si="2807"/>
        <v>0</v>
      </c>
      <c r="CC862" s="465">
        <f t="shared" si="2808"/>
        <v>0</v>
      </c>
      <c r="CD862" s="1114" t="str">
        <f t="shared" si="2809"/>
        <v/>
      </c>
      <c r="CE862" s="1115" t="str">
        <f t="shared" si="2809"/>
        <v/>
      </c>
      <c r="CF862" s="1116" t="str">
        <f t="shared" si="2809"/>
        <v/>
      </c>
      <c r="CG862" s="1116" t="str">
        <f t="shared" si="2809"/>
        <v/>
      </c>
      <c r="CH862" s="1116">
        <f t="shared" si="2809"/>
        <v>0</v>
      </c>
      <c r="CI862" s="1116">
        <f t="shared" si="2809"/>
        <v>0</v>
      </c>
      <c r="CJ862" s="1116">
        <f t="shared" si="2809"/>
        <v>0</v>
      </c>
      <c r="CK862" s="1117">
        <f t="shared" si="2809"/>
        <v>0</v>
      </c>
      <c r="CL862" s="1117">
        <f t="shared" si="2809"/>
        <v>0</v>
      </c>
      <c r="CM862" s="1117">
        <f t="shared" si="2809"/>
        <v>0</v>
      </c>
      <c r="CN862" s="1116">
        <f t="shared" si="2809"/>
        <v>0</v>
      </c>
      <c r="CO862" s="1116">
        <f t="shared" si="2809"/>
        <v>0</v>
      </c>
      <c r="CP862" s="1116">
        <f t="shared" si="2809"/>
        <v>4.7358121330724069E-2</v>
      </c>
      <c r="CQ862" s="1116" t="str">
        <f t="shared" si="2809"/>
        <v/>
      </c>
      <c r="CR862" s="1116" t="str">
        <f t="shared" si="2809"/>
        <v/>
      </c>
      <c r="CS862" s="1115" t="str">
        <f t="shared" si="2809"/>
        <v/>
      </c>
      <c r="CT862" s="1146" t="str">
        <f t="shared" si="2810"/>
        <v/>
      </c>
      <c r="CU862" s="1200" t="str">
        <f t="shared" si="2811"/>
        <v/>
      </c>
      <c r="CV862" s="1129" t="str">
        <f t="shared" si="2811"/>
        <v/>
      </c>
      <c r="CW862" s="1130" t="str">
        <f t="shared" si="2811"/>
        <v/>
      </c>
      <c r="CX862" s="1130" t="str">
        <f t="shared" si="2811"/>
        <v/>
      </c>
      <c r="CY862" s="1130">
        <f t="shared" si="2811"/>
        <v>0</v>
      </c>
      <c r="CZ862" s="1130">
        <f t="shared" si="2811"/>
        <v>0</v>
      </c>
      <c r="DA862" s="1130">
        <f t="shared" si="2811"/>
        <v>0</v>
      </c>
      <c r="DB862" s="1131">
        <f t="shared" si="2811"/>
        <v>0</v>
      </c>
      <c r="DC862" s="1131">
        <f t="shared" si="2811"/>
        <v>0</v>
      </c>
      <c r="DD862" s="1131">
        <f t="shared" si="2811"/>
        <v>9.4716242661448142E-3</v>
      </c>
      <c r="DE862" s="1130">
        <f t="shared" si="2811"/>
        <v>1.7759295499021527E-2</v>
      </c>
      <c r="DF862" s="1130">
        <f t="shared" si="2811"/>
        <v>2.7061783617556609E-2</v>
      </c>
      <c r="DG862" s="1130">
        <f t="shared" si="2811"/>
        <v>5.4123567235113218E-2</v>
      </c>
      <c r="DH862" s="1130" t="str">
        <f t="shared" si="2811"/>
        <v/>
      </c>
      <c r="DI862" s="1130" t="str">
        <f t="shared" si="2811"/>
        <v/>
      </c>
      <c r="DJ862" s="1129" t="str">
        <f t="shared" si="2811"/>
        <v/>
      </c>
      <c r="DK862" s="1200" t="str">
        <f t="shared" si="2812"/>
        <v/>
      </c>
      <c r="DL862" s="428">
        <f t="shared" si="2813"/>
        <v>9</v>
      </c>
      <c r="DM862" s="66">
        <f t="shared" si="2814"/>
        <v>9</v>
      </c>
      <c r="DN862" s="66">
        <f t="shared" si="2815"/>
        <v>9</v>
      </c>
      <c r="DO862" s="66">
        <f t="shared" si="2816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2833">SUM(C499)</f>
        <v>0</v>
      </c>
      <c r="D863" s="581">
        <f t="shared" si="2833"/>
        <v>0</v>
      </c>
      <c r="E863" s="581">
        <f t="shared" si="2833"/>
        <v>0</v>
      </c>
      <c r="F863" s="581">
        <f t="shared" si="2833"/>
        <v>0</v>
      </c>
      <c r="G863" s="581">
        <f t="shared" si="2833"/>
        <v>0</v>
      </c>
      <c r="H863" s="581">
        <f t="shared" si="2833"/>
        <v>0</v>
      </c>
      <c r="I863" s="581">
        <f t="shared" si="2833"/>
        <v>0</v>
      </c>
      <c r="J863" s="581">
        <f t="shared" si="2833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2834">SUM(T499)</f>
        <v>1.4465753424657531E-2</v>
      </c>
      <c r="U863" s="581">
        <f t="shared" si="2834"/>
        <v>0</v>
      </c>
      <c r="V863" s="581">
        <f t="shared" si="2834"/>
        <v>0</v>
      </c>
      <c r="W863" s="581">
        <f t="shared" si="2834"/>
        <v>0</v>
      </c>
      <c r="X863" s="581">
        <f t="shared" si="2834"/>
        <v>0</v>
      </c>
      <c r="Y863" s="581">
        <f t="shared" si="2834"/>
        <v>0</v>
      </c>
      <c r="Z863" s="581">
        <f t="shared" si="2834"/>
        <v>0</v>
      </c>
      <c r="AA863" s="581">
        <f t="shared" si="2834"/>
        <v>0</v>
      </c>
      <c r="AB863" s="581">
        <f t="shared" si="2834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2835">SUM(AL499)</f>
        <v>3.1561643835616431E-2</v>
      </c>
      <c r="AM863" s="581">
        <f t="shared" si="2835"/>
        <v>4.8219178082191776E-3</v>
      </c>
      <c r="AN863" s="581">
        <f t="shared" si="2835"/>
        <v>2.5831702544031315E-3</v>
      </c>
      <c r="AO863" s="581">
        <f t="shared" si="2835"/>
        <v>0</v>
      </c>
      <c r="AP863" s="581">
        <f t="shared" si="2835"/>
        <v>6.4292237442922368E-3</v>
      </c>
      <c r="AQ863" s="581">
        <f t="shared" si="2835"/>
        <v>4.8219178082191776E-3</v>
      </c>
      <c r="AR863" s="581">
        <f t="shared" si="2835"/>
        <v>0</v>
      </c>
      <c r="AS863" s="581">
        <f t="shared" si="2835"/>
        <v>2.8931506849315062E-2</v>
      </c>
      <c r="AT863" s="581">
        <f t="shared" si="2835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2836">SUM(BD499)</f>
        <v>3.6164383561643827E-3</v>
      </c>
      <c r="BE863" s="581">
        <f t="shared" si="2836"/>
        <v>1.928767123287671E-2</v>
      </c>
      <c r="BF863" s="581">
        <f t="shared" si="2836"/>
        <v>1.9287671232876712E-3</v>
      </c>
      <c r="BG863" s="581">
        <f t="shared" si="2836"/>
        <v>0</v>
      </c>
      <c r="BH863" s="581">
        <f t="shared" si="2836"/>
        <v>2.314520547945205E-2</v>
      </c>
      <c r="BI863" s="581">
        <f t="shared" si="2836"/>
        <v>4.1330724070450086E-3</v>
      </c>
      <c r="BJ863" s="581">
        <f t="shared" si="2836"/>
        <v>0.11572602739726025</v>
      </c>
      <c r="BK863" s="581">
        <f t="shared" si="2836"/>
        <v>2.1095890410958905E-2</v>
      </c>
      <c r="BL863" s="581">
        <f t="shared" si="2836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2805"/>
        <v>0</v>
      </c>
      <c r="CA863" s="398">
        <f t="shared" si="2806"/>
        <v>0</v>
      </c>
      <c r="CB863" s="398">
        <f t="shared" si="2807"/>
        <v>8.7270151896374978E-3</v>
      </c>
      <c r="CC863" s="465">
        <f t="shared" si="2808"/>
        <v>1.0458149287112107E-2</v>
      </c>
      <c r="CD863" s="1114" t="str">
        <f t="shared" si="2809"/>
        <v/>
      </c>
      <c r="CE863" s="1115" t="str">
        <f t="shared" si="2809"/>
        <v/>
      </c>
      <c r="CF863" s="1116" t="str">
        <f t="shared" si="2809"/>
        <v/>
      </c>
      <c r="CG863" s="1116" t="str">
        <f t="shared" si="2809"/>
        <v/>
      </c>
      <c r="CH863" s="1116">
        <f t="shared" si="2809"/>
        <v>0</v>
      </c>
      <c r="CI863" s="1116">
        <f t="shared" si="2809"/>
        <v>0</v>
      </c>
      <c r="CJ863" s="1116">
        <f t="shared" si="2809"/>
        <v>0</v>
      </c>
      <c r="CK863" s="1117">
        <f t="shared" si="2809"/>
        <v>0</v>
      </c>
      <c r="CL863" s="1117">
        <f t="shared" si="2809"/>
        <v>0</v>
      </c>
      <c r="CM863" s="1117">
        <f t="shared" si="2809"/>
        <v>0</v>
      </c>
      <c r="CN863" s="1116">
        <f t="shared" si="2809"/>
        <v>0</v>
      </c>
      <c r="CO863" s="1116">
        <f t="shared" si="2809"/>
        <v>0</v>
      </c>
      <c r="CP863" s="1116">
        <f t="shared" si="2809"/>
        <v>0</v>
      </c>
      <c r="CQ863" s="1116" t="str">
        <f t="shared" si="2809"/>
        <v/>
      </c>
      <c r="CR863" s="1116" t="str">
        <f t="shared" si="2809"/>
        <v/>
      </c>
      <c r="CS863" s="1115" t="str">
        <f t="shared" si="2809"/>
        <v/>
      </c>
      <c r="CT863" s="1146" t="str">
        <f t="shared" si="2810"/>
        <v/>
      </c>
      <c r="CU863" s="1200" t="str">
        <f t="shared" si="2811"/>
        <v/>
      </c>
      <c r="CV863" s="1129" t="str">
        <f t="shared" si="2811"/>
        <v/>
      </c>
      <c r="CW863" s="1130" t="str">
        <f t="shared" si="2811"/>
        <v/>
      </c>
      <c r="CX863" s="1130" t="str">
        <f t="shared" si="2811"/>
        <v/>
      </c>
      <c r="CY863" s="1130">
        <f t="shared" si="2811"/>
        <v>0</v>
      </c>
      <c r="CZ863" s="1130">
        <f t="shared" si="2811"/>
        <v>0</v>
      </c>
      <c r="DA863" s="1130">
        <f t="shared" si="2811"/>
        <v>0</v>
      </c>
      <c r="DB863" s="1131">
        <f t="shared" si="2811"/>
        <v>0</v>
      </c>
      <c r="DC863" s="1131">
        <f t="shared" si="2811"/>
        <v>0</v>
      </c>
      <c r="DD863" s="1131">
        <f t="shared" si="2811"/>
        <v>0</v>
      </c>
      <c r="DE863" s="1130">
        <f t="shared" si="2811"/>
        <v>0</v>
      </c>
      <c r="DF863" s="1130">
        <f t="shared" si="2811"/>
        <v>0</v>
      </c>
      <c r="DG863" s="1130">
        <f t="shared" si="2811"/>
        <v>1.4465753424657531E-2</v>
      </c>
      <c r="DH863" s="1130" t="str">
        <f t="shared" si="2811"/>
        <v/>
      </c>
      <c r="DI863" s="1130" t="str">
        <f t="shared" si="2811"/>
        <v/>
      </c>
      <c r="DJ863" s="1129" t="str">
        <f t="shared" si="2811"/>
        <v/>
      </c>
      <c r="DK863" s="1200" t="str">
        <f t="shared" si="2812"/>
        <v/>
      </c>
      <c r="DL863" s="428">
        <f t="shared" si="2813"/>
        <v>9</v>
      </c>
      <c r="DM863" s="66">
        <f t="shared" si="2814"/>
        <v>9</v>
      </c>
      <c r="DN863" s="66">
        <f t="shared" si="2815"/>
        <v>9</v>
      </c>
      <c r="DO863" s="66">
        <f t="shared" si="2816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2837">SUM(C505)</f>
        <v>0</v>
      </c>
      <c r="D864" s="581">
        <f t="shared" si="2837"/>
        <v>0</v>
      </c>
      <c r="E864" s="581">
        <f t="shared" si="2837"/>
        <v>0</v>
      </c>
      <c r="F864" s="581">
        <f t="shared" si="2837"/>
        <v>0</v>
      </c>
      <c r="G864" s="581">
        <f t="shared" si="2837"/>
        <v>0</v>
      </c>
      <c r="H864" s="581">
        <f t="shared" si="2837"/>
        <v>0</v>
      </c>
      <c r="I864" s="581">
        <f t="shared" si="2837"/>
        <v>1.487279843444227E-2</v>
      </c>
      <c r="J864" s="581">
        <f t="shared" si="2837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2838">SUM(U505)</f>
        <v>0</v>
      </c>
      <c r="V864" s="581">
        <f t="shared" si="2838"/>
        <v>0</v>
      </c>
      <c r="W864" s="581">
        <f t="shared" si="2838"/>
        <v>0</v>
      </c>
      <c r="X864" s="581">
        <f t="shared" si="2838"/>
        <v>0</v>
      </c>
      <c r="Y864" s="581">
        <f t="shared" si="2838"/>
        <v>0</v>
      </c>
      <c r="Z864" s="581">
        <f t="shared" si="2838"/>
        <v>3.7181996086105675E-3</v>
      </c>
      <c r="AA864" s="581">
        <f t="shared" si="2838"/>
        <v>0</v>
      </c>
      <c r="AB864" s="581">
        <f t="shared" si="2838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2839">SUM(AM505)</f>
        <v>0</v>
      </c>
      <c r="AN864" s="581">
        <f t="shared" si="2839"/>
        <v>0</v>
      </c>
      <c r="AO864" s="581">
        <f t="shared" si="2839"/>
        <v>0</v>
      </c>
      <c r="AP864" s="581">
        <f t="shared" si="2839"/>
        <v>0</v>
      </c>
      <c r="AQ864" s="581">
        <f t="shared" si="2839"/>
        <v>0</v>
      </c>
      <c r="AR864" s="581">
        <f t="shared" si="2839"/>
        <v>3.346379647749511E-2</v>
      </c>
      <c r="AS864" s="581">
        <f t="shared" si="2839"/>
        <v>0</v>
      </c>
      <c r="AT864" s="581">
        <f t="shared" si="2839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2840">SUM(BE505)</f>
        <v>0</v>
      </c>
      <c r="BF864" s="581">
        <f t="shared" si="2840"/>
        <v>0</v>
      </c>
      <c r="BG864" s="581">
        <f t="shared" si="2840"/>
        <v>0</v>
      </c>
      <c r="BH864" s="581">
        <f t="shared" si="2840"/>
        <v>0</v>
      </c>
      <c r="BI864" s="581">
        <f t="shared" si="2840"/>
        <v>0</v>
      </c>
      <c r="BJ864" s="581">
        <f t="shared" si="2840"/>
        <v>0</v>
      </c>
      <c r="BK864" s="581">
        <f t="shared" si="2840"/>
        <v>0</v>
      </c>
      <c r="BL864" s="581">
        <f t="shared" si="2840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2805"/>
        <v>0</v>
      </c>
      <c r="CA864" s="398">
        <f t="shared" si="2806"/>
        <v>5.3117137265865251E-4</v>
      </c>
      <c r="CB864" s="398">
        <f t="shared" si="2807"/>
        <v>3.4767580755839076E-3</v>
      </c>
      <c r="CC864" s="465">
        <f t="shared" si="2808"/>
        <v>0</v>
      </c>
      <c r="CD864" s="1114" t="str">
        <f t="shared" si="2809"/>
        <v/>
      </c>
      <c r="CE864" s="1115" t="str">
        <f t="shared" si="2809"/>
        <v/>
      </c>
      <c r="CF864" s="1116" t="str">
        <f t="shared" si="2809"/>
        <v/>
      </c>
      <c r="CG864" s="1116" t="str">
        <f t="shared" si="2809"/>
        <v/>
      </c>
      <c r="CH864" s="1116">
        <f t="shared" si="2809"/>
        <v>0</v>
      </c>
      <c r="CI864" s="1116">
        <f t="shared" si="2809"/>
        <v>0</v>
      </c>
      <c r="CJ864" s="1116">
        <f t="shared" si="2809"/>
        <v>0</v>
      </c>
      <c r="CK864" s="1117">
        <f t="shared" si="2809"/>
        <v>0</v>
      </c>
      <c r="CL864" s="1117">
        <f t="shared" si="2809"/>
        <v>0</v>
      </c>
      <c r="CM864" s="1117">
        <f t="shared" si="2809"/>
        <v>0</v>
      </c>
      <c r="CN864" s="1116">
        <f t="shared" si="2809"/>
        <v>0</v>
      </c>
      <c r="CO864" s="1116">
        <f t="shared" si="2809"/>
        <v>0</v>
      </c>
      <c r="CP864" s="1116">
        <f t="shared" si="2809"/>
        <v>1.487279843444227E-2</v>
      </c>
      <c r="CQ864" s="1116" t="str">
        <f t="shared" si="2809"/>
        <v/>
      </c>
      <c r="CR864" s="1116" t="str">
        <f t="shared" si="2809"/>
        <v/>
      </c>
      <c r="CS864" s="1115" t="str">
        <f t="shared" si="2809"/>
        <v/>
      </c>
      <c r="CT864" s="1146" t="str">
        <f t="shared" si="2810"/>
        <v/>
      </c>
      <c r="CU864" s="1200" t="str">
        <f t="shared" si="2811"/>
        <v/>
      </c>
      <c r="CV864" s="1129" t="str">
        <f t="shared" si="2811"/>
        <v/>
      </c>
      <c r="CW864" s="1130" t="str">
        <f t="shared" si="2811"/>
        <v/>
      </c>
      <c r="CX864" s="1130" t="str">
        <f t="shared" si="2811"/>
        <v/>
      </c>
      <c r="CY864" s="1130">
        <f t="shared" si="2811"/>
        <v>0</v>
      </c>
      <c r="CZ864" s="1130">
        <f t="shared" si="2811"/>
        <v>0</v>
      </c>
      <c r="DA864" s="1130">
        <f t="shared" si="2811"/>
        <v>0</v>
      </c>
      <c r="DB864" s="1131">
        <f t="shared" si="2811"/>
        <v>0</v>
      </c>
      <c r="DC864" s="1131">
        <f t="shared" si="2811"/>
        <v>0</v>
      </c>
      <c r="DD864" s="1131">
        <f t="shared" si="2811"/>
        <v>0</v>
      </c>
      <c r="DE864" s="1130">
        <f t="shared" si="2811"/>
        <v>0</v>
      </c>
      <c r="DF864" s="1130">
        <f t="shared" si="2811"/>
        <v>3.7181996086105675E-3</v>
      </c>
      <c r="DG864" s="1130">
        <f t="shared" si="2811"/>
        <v>3.7181996086105675E-3</v>
      </c>
      <c r="DH864" s="1130" t="str">
        <f t="shared" si="2811"/>
        <v/>
      </c>
      <c r="DI864" s="1130" t="str">
        <f t="shared" si="2811"/>
        <v/>
      </c>
      <c r="DJ864" s="1129" t="str">
        <f t="shared" si="2811"/>
        <v/>
      </c>
      <c r="DK864" s="1200" t="str">
        <f t="shared" si="2812"/>
        <v/>
      </c>
      <c r="DL864" s="428">
        <f t="shared" si="2813"/>
        <v>9</v>
      </c>
      <c r="DM864" s="66">
        <f t="shared" si="2814"/>
        <v>9</v>
      </c>
      <c r="DN864" s="66">
        <f t="shared" si="2815"/>
        <v>9</v>
      </c>
      <c r="DO864" s="66">
        <f t="shared" si="2816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2841">SUM(C511)</f>
        <v>1.8637592023110616E-2</v>
      </c>
      <c r="D865" s="581">
        <f t="shared" si="2841"/>
        <v>0</v>
      </c>
      <c r="E865" s="581">
        <f t="shared" si="2841"/>
        <v>2.0656664492280929E-2</v>
      </c>
      <c r="F865" s="581">
        <f t="shared" si="2841"/>
        <v>4.3487714720591431E-3</v>
      </c>
      <c r="G865" s="581">
        <f t="shared" si="2841"/>
        <v>0</v>
      </c>
      <c r="H865" s="581">
        <f t="shared" si="2841"/>
        <v>4.1748206131767773E-2</v>
      </c>
      <c r="I865" s="581">
        <f t="shared" si="2841"/>
        <v>0</v>
      </c>
      <c r="J865" s="581">
        <f t="shared" si="2841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2842">SUM(T511)</f>
        <v>0</v>
      </c>
      <c r="U865" s="581">
        <f t="shared" si="2842"/>
        <v>2.8464685998932579E-3</v>
      </c>
      <c r="V865" s="581">
        <f t="shared" si="2842"/>
        <v>5.2185257664709717E-3</v>
      </c>
      <c r="W865" s="581">
        <f t="shared" si="2842"/>
        <v>0</v>
      </c>
      <c r="X865" s="581">
        <f t="shared" si="2842"/>
        <v>0</v>
      </c>
      <c r="Y865" s="581">
        <f t="shared" si="2842"/>
        <v>9.9002888826763575E-3</v>
      </c>
      <c r="Z865" s="581">
        <f t="shared" si="2842"/>
        <v>0</v>
      </c>
      <c r="AA865" s="581">
        <f t="shared" si="2842"/>
        <v>8.3496412263535543E-4</v>
      </c>
      <c r="AB865" s="581">
        <f t="shared" si="2842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2843">SUM(AL511)</f>
        <v>4.2697028998398862E-2</v>
      </c>
      <c r="AM865" s="581">
        <f t="shared" si="2843"/>
        <v>6.9580343552946289E-3</v>
      </c>
      <c r="AN865" s="581">
        <f t="shared" si="2843"/>
        <v>7.8277886497064592E-3</v>
      </c>
      <c r="AO865" s="581">
        <f t="shared" si="2843"/>
        <v>1.5655577299412918E-2</v>
      </c>
      <c r="AP865" s="581">
        <f t="shared" si="2843"/>
        <v>1.3916068710589258E-2</v>
      </c>
      <c r="AQ865" s="581">
        <f t="shared" si="2843"/>
        <v>7.8277886497064592E-3</v>
      </c>
      <c r="AR865" s="581">
        <f t="shared" si="2843"/>
        <v>1.0437051532941943E-2</v>
      </c>
      <c r="AS865" s="581">
        <f t="shared" si="2843"/>
        <v>3.1311154598825837E-2</v>
      </c>
      <c r="AT865" s="581">
        <f t="shared" si="2843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2844">SUM(BD511)</f>
        <v>1.0437051532941943E-2</v>
      </c>
      <c r="BE865" s="581">
        <f t="shared" si="2844"/>
        <v>1.0437051532941943E-2</v>
      </c>
      <c r="BF865" s="581">
        <f t="shared" si="2844"/>
        <v>2.6092628832354858E-2</v>
      </c>
      <c r="BG865" s="581">
        <f t="shared" si="2844"/>
        <v>5.2185257664709717E-3</v>
      </c>
      <c r="BH865" s="581">
        <f t="shared" si="2844"/>
        <v>3.7573385518590997E-2</v>
      </c>
      <c r="BI865" s="581">
        <f t="shared" si="2844"/>
        <v>3.5784176684372379E-2</v>
      </c>
      <c r="BJ865" s="581">
        <f t="shared" si="2844"/>
        <v>0</v>
      </c>
      <c r="BK865" s="581">
        <f t="shared" si="2844"/>
        <v>2.0874103065883887E-2</v>
      </c>
      <c r="BL865" s="581">
        <f t="shared" si="2844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2805"/>
        <v>7.4647993574468285E-3</v>
      </c>
      <c r="CA865" s="398">
        <f t="shared" si="2806"/>
        <v>2.2938276894105803E-3</v>
      </c>
      <c r="CB865" s="398">
        <f t="shared" si="2807"/>
        <v>1.7792687851396264E-2</v>
      </c>
      <c r="CC865" s="465">
        <f t="shared" si="2808"/>
        <v>2.0916703276222422E-2</v>
      </c>
      <c r="CD865" s="1114" t="str">
        <f t="shared" si="2809"/>
        <v/>
      </c>
      <c r="CE865" s="1115" t="str">
        <f t="shared" si="2809"/>
        <v/>
      </c>
      <c r="CF865" s="1116" t="str">
        <f t="shared" si="2809"/>
        <v/>
      </c>
      <c r="CG865" s="1116" t="str">
        <f t="shared" si="2809"/>
        <v/>
      </c>
      <c r="CH865" s="1116">
        <f t="shared" si="2809"/>
        <v>0</v>
      </c>
      <c r="CI865" s="1116">
        <f t="shared" si="2809"/>
        <v>0</v>
      </c>
      <c r="CJ865" s="1116">
        <f t="shared" si="2809"/>
        <v>0</v>
      </c>
      <c r="CK865" s="1117">
        <f t="shared" si="2809"/>
        <v>0</v>
      </c>
      <c r="CL865" s="1117">
        <f t="shared" si="2809"/>
        <v>4.3487714720591431E-3</v>
      </c>
      <c r="CM865" s="1117">
        <f t="shared" si="2809"/>
        <v>8.6105675146771043E-3</v>
      </c>
      <c r="CN865" s="1116">
        <f t="shared" si="2809"/>
        <v>1.8637592023110616E-2</v>
      </c>
      <c r="CO865" s="1116">
        <f t="shared" si="2809"/>
        <v>2.0656664492280929E-2</v>
      </c>
      <c r="CP865" s="1116">
        <f t="shared" si="2809"/>
        <v>4.1748206131767773E-2</v>
      </c>
      <c r="CQ865" s="1116" t="str">
        <f t="shared" si="2809"/>
        <v/>
      </c>
      <c r="CR865" s="1116" t="str">
        <f t="shared" si="2809"/>
        <v/>
      </c>
      <c r="CS865" s="1115" t="str">
        <f t="shared" si="2809"/>
        <v/>
      </c>
      <c r="CT865" s="1146" t="str">
        <f t="shared" si="2810"/>
        <v/>
      </c>
      <c r="CU865" s="1200" t="str">
        <f t="shared" si="2811"/>
        <v/>
      </c>
      <c r="CV865" s="1129" t="str">
        <f t="shared" si="2811"/>
        <v/>
      </c>
      <c r="CW865" s="1130" t="str">
        <f t="shared" si="2811"/>
        <v/>
      </c>
      <c r="CX865" s="1130" t="str">
        <f t="shared" si="2811"/>
        <v/>
      </c>
      <c r="CY865" s="1130">
        <f t="shared" si="2811"/>
        <v>0</v>
      </c>
      <c r="CZ865" s="1130">
        <f t="shared" si="2811"/>
        <v>0</v>
      </c>
      <c r="DA865" s="1130">
        <f t="shared" si="2811"/>
        <v>0</v>
      </c>
      <c r="DB865" s="1131">
        <f t="shared" si="2811"/>
        <v>0</v>
      </c>
      <c r="DC865" s="1131">
        <f t="shared" si="2811"/>
        <v>8.3496412263535543E-4</v>
      </c>
      <c r="DD865" s="1131">
        <f t="shared" si="2811"/>
        <v>2.8464685998932579E-3</v>
      </c>
      <c r="DE865" s="1130">
        <f t="shared" si="2811"/>
        <v>5.2185257664709717E-3</v>
      </c>
      <c r="DF865" s="1130">
        <f t="shared" si="2811"/>
        <v>7.1568353368744782E-3</v>
      </c>
      <c r="DG865" s="1130">
        <f t="shared" si="2811"/>
        <v>9.9002888826763575E-3</v>
      </c>
      <c r="DH865" s="1130" t="str">
        <f t="shared" si="2811"/>
        <v/>
      </c>
      <c r="DI865" s="1130" t="str">
        <f t="shared" si="2811"/>
        <v/>
      </c>
      <c r="DJ865" s="1129" t="str">
        <f t="shared" si="2811"/>
        <v/>
      </c>
      <c r="DK865" s="1200" t="str">
        <f t="shared" si="2812"/>
        <v/>
      </c>
      <c r="DL865" s="428">
        <f t="shared" si="2813"/>
        <v>9</v>
      </c>
      <c r="DM865" s="66">
        <f t="shared" si="2814"/>
        <v>9</v>
      </c>
      <c r="DN865" s="66">
        <f t="shared" si="2815"/>
        <v>9</v>
      </c>
      <c r="DO865" s="66">
        <f t="shared" si="2816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2845">SUM(C517)</f>
        <v>6.0385798154878392E-3</v>
      </c>
      <c r="D866" s="581">
        <f t="shared" si="2845"/>
        <v>1.9569471624266144E-2</v>
      </c>
      <c r="E866" s="581">
        <f t="shared" si="2845"/>
        <v>9.7847358121330719E-3</v>
      </c>
      <c r="F866" s="581">
        <f t="shared" si="2845"/>
        <v>1.3698630136986306E-3</v>
      </c>
      <c r="G866" s="581">
        <f t="shared" si="2845"/>
        <v>7.0450097847358133E-3</v>
      </c>
      <c r="H866" s="581">
        <f t="shared" si="2845"/>
        <v>2.9354207436399219E-2</v>
      </c>
      <c r="I866" s="581">
        <f t="shared" si="2845"/>
        <v>0</v>
      </c>
      <c r="J866" s="581">
        <f t="shared" si="2845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2846">SUM(U517)</f>
        <v>6.1376979185198355E-2</v>
      </c>
      <c r="V866" s="581">
        <f t="shared" si="2846"/>
        <v>6.1643835616438353E-2</v>
      </c>
      <c r="W866" s="581">
        <f t="shared" si="2846"/>
        <v>7.0450097847358117E-2</v>
      </c>
      <c r="X866" s="581">
        <f t="shared" si="2846"/>
        <v>5.8708414872798431E-3</v>
      </c>
      <c r="Y866" s="581">
        <f t="shared" si="2846"/>
        <v>6.2901873077998325E-3</v>
      </c>
      <c r="Z866" s="581">
        <f t="shared" si="2846"/>
        <v>6.6046966731898249E-2</v>
      </c>
      <c r="AA866" s="581">
        <f t="shared" si="2846"/>
        <v>3.5225048923679062E-3</v>
      </c>
      <c r="AB866" s="581">
        <f t="shared" si="2846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2847">SUM(AM517)</f>
        <v>3.4246575342465752E-2</v>
      </c>
      <c r="AN866" s="581">
        <f t="shared" si="2847"/>
        <v>2.0547945205479454E-2</v>
      </c>
      <c r="AO866" s="581">
        <f t="shared" si="2847"/>
        <v>1.1741682974559686E-2</v>
      </c>
      <c r="AP866" s="581">
        <f t="shared" si="2847"/>
        <v>3.9138943248532287E-2</v>
      </c>
      <c r="AQ866" s="581">
        <f t="shared" si="2847"/>
        <v>3.5225048923679059E-2</v>
      </c>
      <c r="AR866" s="581">
        <f t="shared" si="2847"/>
        <v>7.0450097847358117E-2</v>
      </c>
      <c r="AS866" s="581">
        <f t="shared" si="2847"/>
        <v>1.7612524461839529E-2</v>
      </c>
      <c r="AT866" s="581">
        <f t="shared" si="2847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2848">SUM(BE517)</f>
        <v>4.4031311154598823E-2</v>
      </c>
      <c r="BF866" s="581">
        <f t="shared" si="2848"/>
        <v>1.1741682974559686E-2</v>
      </c>
      <c r="BG866" s="581">
        <f t="shared" si="2848"/>
        <v>1.1741682974559686E-2</v>
      </c>
      <c r="BH866" s="581">
        <f t="shared" si="2848"/>
        <v>8.8062622309197647E-2</v>
      </c>
      <c r="BI866" s="581">
        <f t="shared" si="2848"/>
        <v>5.032149846239866E-2</v>
      </c>
      <c r="BJ866" s="581">
        <f t="shared" si="2848"/>
        <v>7.8277886497064575E-2</v>
      </c>
      <c r="BK866" s="581">
        <f t="shared" si="2848"/>
        <v>0.11741682974559688</v>
      </c>
      <c r="BL866" s="581">
        <f t="shared" si="2848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2805"/>
        <v>7.3796876872079574E-3</v>
      </c>
      <c r="CA866" s="398">
        <f t="shared" si="2806"/>
        <v>4.072828206180177E-2</v>
      </c>
      <c r="CB866" s="398">
        <f t="shared" si="2807"/>
        <v>3.0955346023839172E-2</v>
      </c>
      <c r="CC866" s="465">
        <f t="shared" si="2808"/>
        <v>5.4295299333040448E-2</v>
      </c>
      <c r="CD866" s="1114" t="str">
        <f t="shared" si="2809"/>
        <v/>
      </c>
      <c r="CE866" s="1115" t="str">
        <f t="shared" si="2809"/>
        <v/>
      </c>
      <c r="CF866" s="1116" t="str">
        <f t="shared" si="2809"/>
        <v/>
      </c>
      <c r="CG866" s="1116" t="str">
        <f t="shared" si="2809"/>
        <v/>
      </c>
      <c r="CH866" s="1116">
        <f t="shared" si="2809"/>
        <v>0</v>
      </c>
      <c r="CI866" s="1116">
        <f t="shared" si="2809"/>
        <v>1.3698630136986306E-3</v>
      </c>
      <c r="CJ866" s="1116">
        <f t="shared" si="2809"/>
        <v>2.8180039138943256E-3</v>
      </c>
      <c r="CK866" s="1117">
        <f t="shared" si="2809"/>
        <v>5.032149846239866E-3</v>
      </c>
      <c r="CL866" s="1117">
        <f t="shared" si="2809"/>
        <v>6.0385798154878392E-3</v>
      </c>
      <c r="CM866" s="1117">
        <f t="shared" si="2809"/>
        <v>7.0450097847358133E-3</v>
      </c>
      <c r="CN866" s="1116">
        <f t="shared" si="2809"/>
        <v>9.7847358121330719E-3</v>
      </c>
      <c r="CO866" s="1116">
        <f t="shared" si="2809"/>
        <v>1.9569471624266144E-2</v>
      </c>
      <c r="CP866" s="1116">
        <f t="shared" si="2809"/>
        <v>2.9354207436399219E-2</v>
      </c>
      <c r="CQ866" s="1116" t="str">
        <f t="shared" si="2809"/>
        <v/>
      </c>
      <c r="CR866" s="1116" t="str">
        <f t="shared" si="2809"/>
        <v/>
      </c>
      <c r="CS866" s="1115" t="str">
        <f t="shared" si="2809"/>
        <v/>
      </c>
      <c r="CT866" s="1146" t="str">
        <f t="shared" si="2810"/>
        <v/>
      </c>
      <c r="CU866" s="1200" t="str">
        <f t="shared" si="2811"/>
        <v/>
      </c>
      <c r="CV866" s="1129" t="str">
        <f t="shared" si="2811"/>
        <v/>
      </c>
      <c r="CW866" s="1130" t="str">
        <f t="shared" si="2811"/>
        <v/>
      </c>
      <c r="CX866" s="1130" t="str">
        <f t="shared" si="2811"/>
        <v/>
      </c>
      <c r="CY866" s="1130">
        <f t="shared" si="2811"/>
        <v>3.5225048923679062E-3</v>
      </c>
      <c r="CZ866" s="1130">
        <f t="shared" si="2811"/>
        <v>5.8708414872798431E-3</v>
      </c>
      <c r="DA866" s="1130">
        <f t="shared" si="2811"/>
        <v>6.2901873077998325E-3</v>
      </c>
      <c r="DB866" s="1131">
        <f t="shared" si="2811"/>
        <v>1.3419066256639644E-2</v>
      </c>
      <c r="DC866" s="1131">
        <f t="shared" si="2811"/>
        <v>6.1376979185198355E-2</v>
      </c>
      <c r="DD866" s="1131">
        <f t="shared" si="2811"/>
        <v>6.1643835616438353E-2</v>
      </c>
      <c r="DE866" s="1130">
        <f t="shared" si="2811"/>
        <v>6.6046966731898249E-2</v>
      </c>
      <c r="DF866" s="1130">
        <f t="shared" si="2811"/>
        <v>7.0450097847358117E-2</v>
      </c>
      <c r="DG866" s="1130">
        <f t="shared" si="2811"/>
        <v>8.8062622309197647E-2</v>
      </c>
      <c r="DH866" s="1130" t="str">
        <f t="shared" si="2811"/>
        <v/>
      </c>
      <c r="DI866" s="1130" t="str">
        <f t="shared" si="2811"/>
        <v/>
      </c>
      <c r="DJ866" s="1129" t="str">
        <f t="shared" si="2811"/>
        <v/>
      </c>
      <c r="DK866" s="1200" t="str">
        <f t="shared" si="2812"/>
        <v/>
      </c>
      <c r="DL866" s="428">
        <f t="shared" si="2813"/>
        <v>9</v>
      </c>
      <c r="DM866" s="66">
        <f t="shared" si="2814"/>
        <v>9</v>
      </c>
      <c r="DN866" s="66">
        <f t="shared" si="2815"/>
        <v>9</v>
      </c>
      <c r="DO866" s="66">
        <f t="shared" si="2816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2849">SUM(C523)</f>
        <v>1.7892088342186189E-3</v>
      </c>
      <c r="D867" s="581">
        <f t="shared" si="2849"/>
        <v>0</v>
      </c>
      <c r="E867" s="581">
        <f t="shared" si="2849"/>
        <v>0</v>
      </c>
      <c r="F867" s="581">
        <f t="shared" si="2849"/>
        <v>0</v>
      </c>
      <c r="G867" s="581">
        <f t="shared" si="2849"/>
        <v>1.5655577299412914E-3</v>
      </c>
      <c r="H867" s="581">
        <f t="shared" si="2849"/>
        <v>0</v>
      </c>
      <c r="I867" s="581">
        <f t="shared" si="2849"/>
        <v>0</v>
      </c>
      <c r="J867" s="581">
        <f t="shared" si="2849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2850">SUM(T523)</f>
        <v>9.3933463796477493E-3</v>
      </c>
      <c r="U867" s="581">
        <f t="shared" si="2850"/>
        <v>0</v>
      </c>
      <c r="V867" s="581">
        <f t="shared" si="2850"/>
        <v>0</v>
      </c>
      <c r="W867" s="581">
        <f t="shared" si="2850"/>
        <v>0</v>
      </c>
      <c r="X867" s="581">
        <f t="shared" si="2850"/>
        <v>0</v>
      </c>
      <c r="Y867" s="581">
        <f t="shared" si="2850"/>
        <v>0</v>
      </c>
      <c r="Z867" s="581">
        <f t="shared" si="2850"/>
        <v>0</v>
      </c>
      <c r="AA867" s="581">
        <f t="shared" si="2850"/>
        <v>1.2524461839530333E-3</v>
      </c>
      <c r="AB867" s="581">
        <f t="shared" si="2850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2851">SUM(AL523)</f>
        <v>7.9701120797011204E-3</v>
      </c>
      <c r="AM867" s="581">
        <f t="shared" si="2851"/>
        <v>6.9580343552946302E-4</v>
      </c>
      <c r="AN867" s="581">
        <f t="shared" si="2851"/>
        <v>0</v>
      </c>
      <c r="AO867" s="581">
        <f t="shared" si="2851"/>
        <v>1.0958904109589041E-2</v>
      </c>
      <c r="AP867" s="581">
        <f t="shared" si="2851"/>
        <v>5.5664274842357041E-3</v>
      </c>
      <c r="AQ867" s="581">
        <f t="shared" si="2851"/>
        <v>7.7929984779299844E-3</v>
      </c>
      <c r="AR867" s="581">
        <f t="shared" si="2851"/>
        <v>0</v>
      </c>
      <c r="AS867" s="581">
        <f t="shared" si="2851"/>
        <v>3.1311154598825828E-3</v>
      </c>
      <c r="AT867" s="581">
        <f t="shared" si="2851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2852">SUM(BD523)</f>
        <v>2.783213742117852E-4</v>
      </c>
      <c r="BE867" s="581">
        <f t="shared" si="2852"/>
        <v>0</v>
      </c>
      <c r="BF867" s="581">
        <f t="shared" si="2852"/>
        <v>1.5029354207436398E-2</v>
      </c>
      <c r="BG867" s="581">
        <f t="shared" si="2852"/>
        <v>0</v>
      </c>
      <c r="BH867" s="581">
        <f t="shared" si="2852"/>
        <v>0</v>
      </c>
      <c r="BI867" s="581">
        <f t="shared" si="2852"/>
        <v>0</v>
      </c>
      <c r="BJ867" s="581">
        <f t="shared" si="2852"/>
        <v>5.5664274842357041E-3</v>
      </c>
      <c r="BK867" s="581">
        <f t="shared" si="2852"/>
        <v>0</v>
      </c>
      <c r="BL867" s="581">
        <f t="shared" si="2852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2805"/>
        <v>4.9629245044397407E-4</v>
      </c>
      <c r="CA867" s="398">
        <f t="shared" si="2806"/>
        <v>1.7892088342186179E-4</v>
      </c>
      <c r="CB867" s="398">
        <f t="shared" si="2807"/>
        <v>4.7865854519474876E-3</v>
      </c>
      <c r="CC867" s="465">
        <f t="shared" si="2808"/>
        <v>8.3496412263535554E-4</v>
      </c>
      <c r="CD867" s="1114" t="str">
        <f t="shared" si="2809"/>
        <v/>
      </c>
      <c r="CE867" s="1115" t="str">
        <f t="shared" si="2809"/>
        <v/>
      </c>
      <c r="CF867" s="1116" t="str">
        <f t="shared" si="2809"/>
        <v/>
      </c>
      <c r="CG867" s="1116" t="str">
        <f t="shared" si="2809"/>
        <v/>
      </c>
      <c r="CH867" s="1116">
        <f t="shared" si="2809"/>
        <v>0</v>
      </c>
      <c r="CI867" s="1116">
        <f t="shared" si="2809"/>
        <v>0</v>
      </c>
      <c r="CJ867" s="1116">
        <f t="shared" si="2809"/>
        <v>0</v>
      </c>
      <c r="CK867" s="1117">
        <f t="shared" si="2809"/>
        <v>0</v>
      </c>
      <c r="CL867" s="1117">
        <f t="shared" si="2809"/>
        <v>0</v>
      </c>
      <c r="CM867" s="1117">
        <f t="shared" si="2809"/>
        <v>4.1748206131767771E-4</v>
      </c>
      <c r="CN867" s="1116">
        <f t="shared" si="2809"/>
        <v>1.4910073618488492E-3</v>
      </c>
      <c r="CO867" s="1116">
        <f t="shared" si="2809"/>
        <v>1.5655577299412914E-3</v>
      </c>
      <c r="CP867" s="1116">
        <f t="shared" si="2809"/>
        <v>1.7892088342186189E-3</v>
      </c>
      <c r="CQ867" s="1116" t="str">
        <f t="shared" si="2809"/>
        <v/>
      </c>
      <c r="CR867" s="1116" t="str">
        <f t="shared" si="2809"/>
        <v/>
      </c>
      <c r="CS867" s="1115" t="str">
        <f t="shared" si="2809"/>
        <v/>
      </c>
      <c r="CT867" s="1146" t="str">
        <f t="shared" si="2810"/>
        <v/>
      </c>
      <c r="CU867" s="1200" t="str">
        <f t="shared" si="2811"/>
        <v/>
      </c>
      <c r="CV867" s="1129" t="str">
        <f t="shared" si="2811"/>
        <v/>
      </c>
      <c r="CW867" s="1130" t="str">
        <f t="shared" si="2811"/>
        <v/>
      </c>
      <c r="CX867" s="1130" t="str">
        <f t="shared" si="2811"/>
        <v/>
      </c>
      <c r="CY867" s="1130">
        <f t="shared" si="2811"/>
        <v>0</v>
      </c>
      <c r="CZ867" s="1130">
        <f t="shared" si="2811"/>
        <v>0</v>
      </c>
      <c r="DA867" s="1130">
        <f t="shared" si="2811"/>
        <v>0</v>
      </c>
      <c r="DB867" s="1131">
        <f t="shared" si="2811"/>
        <v>0</v>
      </c>
      <c r="DC867" s="1131">
        <f t="shared" si="2811"/>
        <v>0</v>
      </c>
      <c r="DD867" s="1131">
        <f t="shared" si="2811"/>
        <v>0</v>
      </c>
      <c r="DE867" s="1130">
        <f t="shared" si="2811"/>
        <v>0</v>
      </c>
      <c r="DF867" s="1130">
        <f t="shared" si="2811"/>
        <v>1.2524461839530333E-3</v>
      </c>
      <c r="DG867" s="1130">
        <f t="shared" si="2811"/>
        <v>9.3933463796477493E-3</v>
      </c>
      <c r="DH867" s="1130" t="str">
        <f t="shared" si="2811"/>
        <v/>
      </c>
      <c r="DI867" s="1130" t="str">
        <f t="shared" si="2811"/>
        <v/>
      </c>
      <c r="DJ867" s="1129" t="str">
        <f t="shared" si="2811"/>
        <v/>
      </c>
      <c r="DK867" s="1200" t="str">
        <f t="shared" si="2812"/>
        <v/>
      </c>
      <c r="DL867" s="428">
        <f t="shared" si="2813"/>
        <v>9</v>
      </c>
      <c r="DM867" s="66">
        <f t="shared" si="2814"/>
        <v>9</v>
      </c>
      <c r="DN867" s="66">
        <f t="shared" si="2815"/>
        <v>9</v>
      </c>
      <c r="DO867" s="66">
        <f t="shared" si="2816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2853">SUM(D529)</f>
        <v>0</v>
      </c>
      <c r="E868" s="899">
        <f t="shared" si="2853"/>
        <v>4.1226353555120681E-3</v>
      </c>
      <c r="F868" s="899">
        <f t="shared" si="2853"/>
        <v>0</v>
      </c>
      <c r="G868" s="899">
        <f t="shared" si="2853"/>
        <v>0</v>
      </c>
      <c r="H868" s="899">
        <f t="shared" si="2853"/>
        <v>0</v>
      </c>
      <c r="I868" s="899">
        <f t="shared" si="2853"/>
        <v>0</v>
      </c>
      <c r="J868" s="899">
        <f t="shared" si="2853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2854">SUM(V529)</f>
        <v>2.5766470971950424E-3</v>
      </c>
      <c r="W868" s="899">
        <f t="shared" si="2854"/>
        <v>0</v>
      </c>
      <c r="X868" s="899">
        <f t="shared" si="2854"/>
        <v>6.1839530332681017E-4</v>
      </c>
      <c r="Y868" s="899">
        <f t="shared" si="2854"/>
        <v>0</v>
      </c>
      <c r="Z868" s="899">
        <f t="shared" si="2854"/>
        <v>0</v>
      </c>
      <c r="AA868" s="899">
        <f t="shared" si="2854"/>
        <v>1.030658838878017E-4</v>
      </c>
      <c r="AB868" s="899">
        <f t="shared" si="2854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2855">SUM(AN529)</f>
        <v>3.8649706457925636E-3</v>
      </c>
      <c r="AO868" s="899">
        <f t="shared" si="2855"/>
        <v>6.0293542074363994E-3</v>
      </c>
      <c r="AP868" s="899">
        <f t="shared" si="2855"/>
        <v>0</v>
      </c>
      <c r="AQ868" s="899">
        <f t="shared" si="2855"/>
        <v>1.168080017395086E-3</v>
      </c>
      <c r="AR868" s="899">
        <f t="shared" si="2855"/>
        <v>1.3913894324853229E-2</v>
      </c>
      <c r="AS868" s="899">
        <f t="shared" si="2855"/>
        <v>5.4109589041095888E-3</v>
      </c>
      <c r="AT868" s="899">
        <f t="shared" si="2855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2856">SUM(BF529)</f>
        <v>0</v>
      </c>
      <c r="BG868" s="899">
        <f t="shared" si="2856"/>
        <v>0</v>
      </c>
      <c r="BH868" s="899">
        <f t="shared" si="2856"/>
        <v>3.7103718199608607E-4</v>
      </c>
      <c r="BI868" s="899">
        <f t="shared" si="2856"/>
        <v>0</v>
      </c>
      <c r="BJ868" s="899">
        <f t="shared" si="2856"/>
        <v>7.4207436399217229E-3</v>
      </c>
      <c r="BK868" s="899">
        <f t="shared" si="2856"/>
        <v>2.2262230919765174E-3</v>
      </c>
      <c r="BL868" s="899">
        <f t="shared" si="2856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2857">SUM(BV529)</f>
        <v>0</v>
      </c>
      <c r="BW868" s="899">
        <f t="shared" si="2857"/>
        <v>0</v>
      </c>
      <c r="BX868" s="899">
        <f t="shared" si="2857"/>
        <v>0</v>
      </c>
      <c r="BY868" s="899">
        <f t="shared" si="2857"/>
        <v>0</v>
      </c>
      <c r="BZ868" s="398">
        <f t="shared" si="2805"/>
        <v>4.627447848023749E-4</v>
      </c>
      <c r="CA868" s="398">
        <f t="shared" si="2806"/>
        <v>7.9240263976076085E-4</v>
      </c>
      <c r="CB868" s="398">
        <f t="shared" si="2807"/>
        <v>4.1653340788370139E-3</v>
      </c>
      <c r="CC868" s="465">
        <f t="shared" si="2808"/>
        <v>1.7845121610287954E-3</v>
      </c>
      <c r="CD868" s="1114" t="str">
        <f t="shared" si="2809"/>
        <v/>
      </c>
      <c r="CE868" s="1115" t="str">
        <f t="shared" si="2809"/>
        <v/>
      </c>
      <c r="CF868" s="1116" t="str">
        <f t="shared" si="2809"/>
        <v/>
      </c>
      <c r="CG868" s="1116" t="str">
        <f t="shared" si="2809"/>
        <v/>
      </c>
      <c r="CH868" s="1116">
        <f t="shared" si="2809"/>
        <v>0</v>
      </c>
      <c r="CI868" s="1116">
        <f t="shared" si="2809"/>
        <v>0</v>
      </c>
      <c r="CJ868" s="1116">
        <f t="shared" si="2809"/>
        <v>0</v>
      </c>
      <c r="CK868" s="1117">
        <f t="shared" si="2809"/>
        <v>0</v>
      </c>
      <c r="CL868" s="1117">
        <f t="shared" si="2809"/>
        <v>0</v>
      </c>
      <c r="CM868" s="1117">
        <f t="shared" si="2809"/>
        <v>0</v>
      </c>
      <c r="CN868" s="1116">
        <f t="shared" si="2809"/>
        <v>0</v>
      </c>
      <c r="CO868" s="1116">
        <f t="shared" si="2809"/>
        <v>3.2392134936166245E-3</v>
      </c>
      <c r="CP868" s="1116">
        <f t="shared" si="2809"/>
        <v>4.1226353555120681E-3</v>
      </c>
      <c r="CQ868" s="1116" t="str">
        <f t="shared" si="2809"/>
        <v/>
      </c>
      <c r="CR868" s="1116" t="str">
        <f t="shared" si="2809"/>
        <v/>
      </c>
      <c r="CS868" s="1115" t="str">
        <f t="shared" si="2809"/>
        <v/>
      </c>
      <c r="CT868" s="1146" t="str">
        <f t="shared" si="2810"/>
        <v/>
      </c>
      <c r="CU868" s="1200" t="str">
        <f t="shared" si="2811"/>
        <v/>
      </c>
      <c r="CV868" s="1129" t="str">
        <f t="shared" si="2811"/>
        <v/>
      </c>
      <c r="CW868" s="1130" t="str">
        <f t="shared" si="2811"/>
        <v/>
      </c>
      <c r="CX868" s="1130" t="str">
        <f t="shared" si="2811"/>
        <v/>
      </c>
      <c r="CY868" s="1130">
        <f t="shared" si="2811"/>
        <v>0</v>
      </c>
      <c r="CZ868" s="1130">
        <f t="shared" si="2811"/>
        <v>0</v>
      </c>
      <c r="DA868" s="1130">
        <f t="shared" si="2811"/>
        <v>0</v>
      </c>
      <c r="DB868" s="1131">
        <f t="shared" si="2811"/>
        <v>0</v>
      </c>
      <c r="DC868" s="1131">
        <f t="shared" si="2811"/>
        <v>1.030658838878017E-4</v>
      </c>
      <c r="DD868" s="1131">
        <f t="shared" si="2811"/>
        <v>6.1839530332681017E-4</v>
      </c>
      <c r="DE868" s="1130">
        <f t="shared" si="2811"/>
        <v>2.2487101939156736E-3</v>
      </c>
      <c r="DF868" s="1130">
        <f t="shared" si="2811"/>
        <v>2.5766470971950424E-3</v>
      </c>
      <c r="DG868" s="1130">
        <f t="shared" si="2811"/>
        <v>3.0919765166340508E-3</v>
      </c>
      <c r="DH868" s="1130" t="str">
        <f t="shared" si="2811"/>
        <v/>
      </c>
      <c r="DI868" s="1130" t="str">
        <f t="shared" si="2811"/>
        <v/>
      </c>
      <c r="DJ868" s="1129" t="str">
        <f t="shared" si="2811"/>
        <v/>
      </c>
      <c r="DK868" s="1200" t="str">
        <f t="shared" si="2812"/>
        <v/>
      </c>
      <c r="DL868" s="428">
        <f t="shared" si="2813"/>
        <v>9</v>
      </c>
      <c r="DM868" s="66">
        <f t="shared" si="2814"/>
        <v>9</v>
      </c>
      <c r="DN868" s="66">
        <f t="shared" si="2815"/>
        <v>9</v>
      </c>
      <c r="DO868" s="66">
        <f t="shared" si="2816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2858">SUM(D535)</f>
        <v>0</v>
      </c>
      <c r="E869" s="899">
        <f t="shared" si="2858"/>
        <v>1.3992172211350293E-3</v>
      </c>
      <c r="F869" s="899">
        <f t="shared" si="2858"/>
        <v>0</v>
      </c>
      <c r="G869" s="899">
        <f t="shared" si="2858"/>
        <v>0</v>
      </c>
      <c r="H869" s="899">
        <f t="shared" si="2858"/>
        <v>0</v>
      </c>
      <c r="I869" s="899">
        <f t="shared" si="2858"/>
        <v>6.9960861056751463E-4</v>
      </c>
      <c r="J869" s="899">
        <f t="shared" si="2858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2859">SUM(V535)</f>
        <v>6.9960861056751463E-4</v>
      </c>
      <c r="W869" s="899">
        <f t="shared" si="2859"/>
        <v>0</v>
      </c>
      <c r="X869" s="899">
        <f t="shared" si="2859"/>
        <v>3.4980430528375731E-4</v>
      </c>
      <c r="Y869" s="899">
        <f t="shared" si="2859"/>
        <v>0</v>
      </c>
      <c r="Z869" s="899">
        <f t="shared" si="2859"/>
        <v>0</v>
      </c>
      <c r="AA869" s="899">
        <f t="shared" si="2859"/>
        <v>4.1976516634050881E-4</v>
      </c>
      <c r="AB869" s="899">
        <f t="shared" si="2859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2860">SUM(AN535)</f>
        <v>1.5741193737769082E-3</v>
      </c>
      <c r="AO869" s="899">
        <f t="shared" si="2860"/>
        <v>1.8889432485322898E-2</v>
      </c>
      <c r="AP869" s="899">
        <f t="shared" si="2860"/>
        <v>0</v>
      </c>
      <c r="AQ869" s="899">
        <f t="shared" si="2860"/>
        <v>8.3953033268101759E-3</v>
      </c>
      <c r="AR869" s="899">
        <f t="shared" si="2860"/>
        <v>0</v>
      </c>
      <c r="AS869" s="899">
        <f t="shared" si="2860"/>
        <v>3.1482387475538164E-3</v>
      </c>
      <c r="AT869" s="899">
        <f t="shared" si="2860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2861">SUM(BF535)</f>
        <v>5.0371819960861059E-3</v>
      </c>
      <c r="BG869" s="899">
        <f t="shared" si="2861"/>
        <v>8.3953033268101762E-4</v>
      </c>
      <c r="BH869" s="899">
        <f t="shared" si="2861"/>
        <v>0</v>
      </c>
      <c r="BI869" s="899">
        <f t="shared" si="2861"/>
        <v>5.9966452334358404E-4</v>
      </c>
      <c r="BJ869" s="899">
        <f t="shared" si="2861"/>
        <v>2.7984344422700585E-3</v>
      </c>
      <c r="BK869" s="899">
        <f t="shared" si="2861"/>
        <v>2.7984344422700585E-3</v>
      </c>
      <c r="BL869" s="899">
        <f t="shared" si="2861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2862">SUM(BV535)</f>
        <v>0</v>
      </c>
      <c r="BW869" s="899">
        <f t="shared" si="2862"/>
        <v>0</v>
      </c>
      <c r="BX869" s="899">
        <f t="shared" si="2862"/>
        <v>0</v>
      </c>
      <c r="BY869" s="899">
        <f t="shared" si="2862"/>
        <v>0</v>
      </c>
      <c r="BZ869" s="398">
        <f t="shared" si="2805"/>
        <v>2.9983226167179202E-4</v>
      </c>
      <c r="CA869" s="398">
        <f t="shared" si="2806"/>
        <v>1.0993849594632373E-4</v>
      </c>
      <c r="CB869" s="398">
        <f t="shared" si="2807"/>
        <v>2.4917878110148162E-3</v>
      </c>
      <c r="CC869" s="465">
        <f t="shared" si="2808"/>
        <v>3.3238547865330086E-3</v>
      </c>
      <c r="CD869" s="1114" t="str">
        <f t="shared" si="2809"/>
        <v/>
      </c>
      <c r="CE869" s="1115" t="str">
        <f t="shared" si="2809"/>
        <v/>
      </c>
      <c r="CF869" s="1116" t="str">
        <f t="shared" si="2809"/>
        <v/>
      </c>
      <c r="CG869" s="1116" t="str">
        <f t="shared" si="2809"/>
        <v/>
      </c>
      <c r="CH869" s="1116">
        <f t="shared" si="2809"/>
        <v>0</v>
      </c>
      <c r="CI869" s="1116">
        <f t="shared" si="2809"/>
        <v>0</v>
      </c>
      <c r="CJ869" s="1116">
        <f t="shared" si="2809"/>
        <v>0</v>
      </c>
      <c r="CK869" s="1117">
        <f t="shared" si="2809"/>
        <v>0</v>
      </c>
      <c r="CL869" s="1117">
        <f t="shared" si="2809"/>
        <v>0</v>
      </c>
      <c r="CM869" s="1117">
        <f t="shared" si="2809"/>
        <v>0</v>
      </c>
      <c r="CN869" s="1116">
        <f t="shared" si="2809"/>
        <v>6.9960861056751463E-4</v>
      </c>
      <c r="CO869" s="1116">
        <f t="shared" si="2809"/>
        <v>1.3992172211350293E-3</v>
      </c>
      <c r="CP869" s="1116">
        <f t="shared" si="2809"/>
        <v>7.1959742801230072E-3</v>
      </c>
      <c r="CQ869" s="1116" t="str">
        <f t="shared" si="2809"/>
        <v/>
      </c>
      <c r="CR869" s="1116" t="str">
        <f t="shared" si="2809"/>
        <v/>
      </c>
      <c r="CS869" s="1115" t="str">
        <f t="shared" si="2809"/>
        <v/>
      </c>
      <c r="CT869" s="1146" t="str">
        <f t="shared" si="2810"/>
        <v/>
      </c>
      <c r="CU869" s="1200" t="str">
        <f t="shared" si="2811"/>
        <v/>
      </c>
      <c r="CV869" s="1129" t="str">
        <f t="shared" si="2811"/>
        <v/>
      </c>
      <c r="CW869" s="1130" t="str">
        <f t="shared" si="2811"/>
        <v/>
      </c>
      <c r="CX869" s="1130" t="str">
        <f t="shared" si="2811"/>
        <v/>
      </c>
      <c r="CY869" s="1130">
        <f t="shared" si="2811"/>
        <v>0</v>
      </c>
      <c r="CZ869" s="1130">
        <f t="shared" si="2811"/>
        <v>0</v>
      </c>
      <c r="DA869" s="1130">
        <f t="shared" si="2811"/>
        <v>0</v>
      </c>
      <c r="DB869" s="1131">
        <f t="shared" si="2811"/>
        <v>0</v>
      </c>
      <c r="DC869" s="1131">
        <f t="shared" si="2811"/>
        <v>0</v>
      </c>
      <c r="DD869" s="1131">
        <f t="shared" si="2811"/>
        <v>0</v>
      </c>
      <c r="DE869" s="1130">
        <f t="shared" si="2811"/>
        <v>3.4980430528375731E-4</v>
      </c>
      <c r="DF869" s="1130">
        <f t="shared" si="2811"/>
        <v>4.1976516634050881E-4</v>
      </c>
      <c r="DG869" s="1130">
        <f t="shared" si="2811"/>
        <v>6.9960861056751463E-4</v>
      </c>
      <c r="DH869" s="1130" t="str">
        <f t="shared" si="2811"/>
        <v/>
      </c>
      <c r="DI869" s="1130" t="str">
        <f t="shared" si="2811"/>
        <v/>
      </c>
      <c r="DJ869" s="1129" t="str">
        <f t="shared" si="2811"/>
        <v/>
      </c>
      <c r="DK869" s="1200" t="str">
        <f t="shared" si="2812"/>
        <v/>
      </c>
      <c r="DL869" s="428">
        <f t="shared" si="2813"/>
        <v>9</v>
      </c>
      <c r="DM869" s="66">
        <f t="shared" si="2814"/>
        <v>9</v>
      </c>
      <c r="DN869" s="66">
        <f t="shared" si="2815"/>
        <v>9</v>
      </c>
      <c r="DO869" s="66">
        <f t="shared" si="2816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2863">SUM(D541)</f>
        <v>1.532941943900848E-3</v>
      </c>
      <c r="E870" s="899">
        <f t="shared" si="2863"/>
        <v>0</v>
      </c>
      <c r="F870" s="899">
        <f t="shared" si="2863"/>
        <v>0</v>
      </c>
      <c r="G870" s="899">
        <f t="shared" si="2863"/>
        <v>0</v>
      </c>
      <c r="H870" s="899">
        <f t="shared" si="2863"/>
        <v>0</v>
      </c>
      <c r="I870" s="899">
        <f t="shared" si="2863"/>
        <v>0</v>
      </c>
      <c r="J870" s="899">
        <f t="shared" si="2863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2864">SUM(V541)</f>
        <v>5.1098064796694937E-4</v>
      </c>
      <c r="W870" s="899">
        <f t="shared" si="2864"/>
        <v>2.7592954990215261E-3</v>
      </c>
      <c r="X870" s="899">
        <f t="shared" si="2864"/>
        <v>1.9161774298760601E-3</v>
      </c>
      <c r="Y870" s="899">
        <f t="shared" si="2864"/>
        <v>1.7519336501723979E-3</v>
      </c>
      <c r="Z870" s="899">
        <f t="shared" si="2864"/>
        <v>2.2994129158512722E-3</v>
      </c>
      <c r="AA870" s="899">
        <f t="shared" si="2864"/>
        <v>1.8395303326810175E-3</v>
      </c>
      <c r="AB870" s="899">
        <f t="shared" si="2864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2865">SUM(AN541)</f>
        <v>7.6647097195042401E-4</v>
      </c>
      <c r="AO870" s="899">
        <f t="shared" si="2865"/>
        <v>1.9161774298760599E-2</v>
      </c>
      <c r="AP870" s="899">
        <f t="shared" si="2865"/>
        <v>0</v>
      </c>
      <c r="AQ870" s="899">
        <f t="shared" si="2865"/>
        <v>5.8251793868232225E-2</v>
      </c>
      <c r="AR870" s="899">
        <f t="shared" si="2865"/>
        <v>1.8395303326810178E-2</v>
      </c>
      <c r="AS870" s="899">
        <f t="shared" si="2865"/>
        <v>2.8742661448140899E-2</v>
      </c>
      <c r="AT870" s="899">
        <f t="shared" si="2865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2866">SUM(BF541)</f>
        <v>1.5329419439008481E-2</v>
      </c>
      <c r="BG870" s="899">
        <f t="shared" si="2866"/>
        <v>7.3581213307240701E-3</v>
      </c>
      <c r="BH870" s="899">
        <f t="shared" si="2866"/>
        <v>1.2263535551206785E-3</v>
      </c>
      <c r="BI870" s="899">
        <f t="shared" si="2866"/>
        <v>7.8837014257757913E-3</v>
      </c>
      <c r="BJ870" s="899">
        <f t="shared" si="2866"/>
        <v>6.131767775603392E-3</v>
      </c>
      <c r="BK870" s="899">
        <f t="shared" si="2866"/>
        <v>2.4527071102413568E-2</v>
      </c>
      <c r="BL870" s="899">
        <f t="shared" si="2866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2867">SUM(BV541)</f>
        <v>0</v>
      </c>
      <c r="BW870" s="899">
        <f t="shared" si="2867"/>
        <v>0</v>
      </c>
      <c r="BX870" s="899">
        <f t="shared" si="2867"/>
        <v>0</v>
      </c>
      <c r="BY870" s="899">
        <f t="shared" si="2867"/>
        <v>0</v>
      </c>
      <c r="BZ870" s="398">
        <f t="shared" si="2805"/>
        <v>5.944060598799207E-4</v>
      </c>
      <c r="CA870" s="398">
        <f t="shared" si="2806"/>
        <v>1.7540666862724454E-3</v>
      </c>
      <c r="CB870" s="398">
        <f t="shared" si="2807"/>
        <v>1.3992574613905335E-2</v>
      </c>
      <c r="CC870" s="465">
        <f t="shared" si="2808"/>
        <v>1.2689005151962937E-2</v>
      </c>
      <c r="CD870" s="1114" t="str">
        <f t="shared" si="2809"/>
        <v/>
      </c>
      <c r="CE870" s="1115" t="str">
        <f t="shared" si="2809"/>
        <v/>
      </c>
      <c r="CF870" s="1116" t="str">
        <f t="shared" si="2809"/>
        <v/>
      </c>
      <c r="CG870" s="1116" t="str">
        <f t="shared" si="2809"/>
        <v/>
      </c>
      <c r="CH870" s="1116">
        <f t="shared" si="2809"/>
        <v>0</v>
      </c>
      <c r="CI870" s="1116">
        <f t="shared" si="2809"/>
        <v>0</v>
      </c>
      <c r="CJ870" s="1116">
        <f t="shared" si="2809"/>
        <v>0</v>
      </c>
      <c r="CK870" s="1117">
        <f t="shared" si="2809"/>
        <v>0</v>
      </c>
      <c r="CL870" s="1117">
        <f t="shared" si="2809"/>
        <v>0</v>
      </c>
      <c r="CM870" s="1117">
        <f t="shared" si="2809"/>
        <v>1.3139502376292981E-3</v>
      </c>
      <c r="CN870" s="1116">
        <f t="shared" si="2809"/>
        <v>1.3139502376292981E-3</v>
      </c>
      <c r="CO870" s="1116">
        <f t="shared" si="2809"/>
        <v>1.532941943900848E-3</v>
      </c>
      <c r="CP870" s="1116">
        <f t="shared" si="2809"/>
        <v>1.532941943900848E-3</v>
      </c>
      <c r="CQ870" s="1116" t="str">
        <f t="shared" si="2809"/>
        <v/>
      </c>
      <c r="CR870" s="1116" t="str">
        <f t="shared" si="2809"/>
        <v/>
      </c>
      <c r="CS870" s="1115" t="str">
        <f t="shared" si="2809"/>
        <v/>
      </c>
      <c r="CT870" s="1146" t="str">
        <f t="shared" si="2810"/>
        <v/>
      </c>
      <c r="CU870" s="1200" t="str">
        <f t="shared" si="2811"/>
        <v/>
      </c>
      <c r="CV870" s="1129" t="str">
        <f t="shared" si="2811"/>
        <v/>
      </c>
      <c r="CW870" s="1130" t="str">
        <f t="shared" si="2811"/>
        <v/>
      </c>
      <c r="CX870" s="1130" t="str">
        <f t="shared" si="2811"/>
        <v/>
      </c>
      <c r="CY870" s="1130">
        <f t="shared" si="2811"/>
        <v>5.1098064796694937E-4</v>
      </c>
      <c r="CZ870" s="1130">
        <f t="shared" si="2811"/>
        <v>8.3615015121864429E-4</v>
      </c>
      <c r="DA870" s="1130">
        <f t="shared" si="2811"/>
        <v>8.7596682508619896E-4</v>
      </c>
      <c r="DB870" s="1131">
        <f t="shared" si="2811"/>
        <v>1.7519336501723979E-3</v>
      </c>
      <c r="DC870" s="1131">
        <f t="shared" si="2811"/>
        <v>1.8395303326810175E-3</v>
      </c>
      <c r="DD870" s="1131">
        <f t="shared" si="2811"/>
        <v>1.9161774298760601E-3</v>
      </c>
      <c r="DE870" s="1130">
        <f t="shared" si="2811"/>
        <v>2.2994129158512722E-3</v>
      </c>
      <c r="DF870" s="1130">
        <f t="shared" si="2811"/>
        <v>2.7592954990215261E-3</v>
      </c>
      <c r="DG870" s="1130">
        <f t="shared" si="2811"/>
        <v>6.131767775603392E-3</v>
      </c>
      <c r="DH870" s="1130" t="str">
        <f t="shared" si="2811"/>
        <v/>
      </c>
      <c r="DI870" s="1130" t="str">
        <f t="shared" si="2811"/>
        <v/>
      </c>
      <c r="DJ870" s="1129" t="str">
        <f t="shared" si="2811"/>
        <v/>
      </c>
      <c r="DK870" s="1200" t="str">
        <f t="shared" si="2812"/>
        <v/>
      </c>
      <c r="DL870" s="428">
        <f t="shared" si="2813"/>
        <v>9</v>
      </c>
      <c r="DM870" s="66">
        <f t="shared" si="2814"/>
        <v>9</v>
      </c>
      <c r="DN870" s="66">
        <f t="shared" si="2815"/>
        <v>9</v>
      </c>
      <c r="DO870" s="66">
        <f t="shared" si="2816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2868">SUM(D547)</f>
        <v>0</v>
      </c>
      <c r="E871" s="899">
        <f t="shared" si="2868"/>
        <v>0</v>
      </c>
      <c r="F871" s="899">
        <f t="shared" si="2868"/>
        <v>0</v>
      </c>
      <c r="G871" s="899">
        <f t="shared" si="2868"/>
        <v>0</v>
      </c>
      <c r="H871" s="899">
        <f t="shared" si="2868"/>
        <v>0</v>
      </c>
      <c r="I871" s="899">
        <f t="shared" si="2868"/>
        <v>0</v>
      </c>
      <c r="J871" s="899">
        <f t="shared" si="2868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2869">SUM(V547)</f>
        <v>0</v>
      </c>
      <c r="W871" s="899">
        <f t="shared" si="2869"/>
        <v>0</v>
      </c>
      <c r="X871" s="899">
        <f t="shared" si="2869"/>
        <v>0</v>
      </c>
      <c r="Y871" s="899">
        <f t="shared" si="2869"/>
        <v>0</v>
      </c>
      <c r="Z871" s="899">
        <f t="shared" si="2869"/>
        <v>0</v>
      </c>
      <c r="AA871" s="899">
        <f t="shared" si="2869"/>
        <v>0</v>
      </c>
      <c r="AB871" s="899">
        <f t="shared" si="2869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2870">SUM(AN547)</f>
        <v>0</v>
      </c>
      <c r="AO871" s="899">
        <f t="shared" si="2870"/>
        <v>0</v>
      </c>
      <c r="AP871" s="899">
        <f t="shared" si="2870"/>
        <v>0</v>
      </c>
      <c r="AQ871" s="899">
        <f t="shared" si="2870"/>
        <v>0</v>
      </c>
      <c r="AR871" s="899">
        <f t="shared" si="2870"/>
        <v>0</v>
      </c>
      <c r="AS871" s="899">
        <f t="shared" si="2870"/>
        <v>0</v>
      </c>
      <c r="AT871" s="899">
        <f t="shared" si="2870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2871">SUM(BF547)</f>
        <v>0</v>
      </c>
      <c r="BG871" s="899">
        <f t="shared" si="2871"/>
        <v>0</v>
      </c>
      <c r="BH871" s="899">
        <f t="shared" si="2871"/>
        <v>0</v>
      </c>
      <c r="BI871" s="899">
        <f t="shared" si="2871"/>
        <v>0</v>
      </c>
      <c r="BJ871" s="899">
        <f t="shared" si="2871"/>
        <v>0</v>
      </c>
      <c r="BK871" s="899">
        <f t="shared" si="2871"/>
        <v>0</v>
      </c>
      <c r="BL871" s="899">
        <f t="shared" si="2871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2872">SUM(BV547)</f>
        <v>0</v>
      </c>
      <c r="BW871" s="899">
        <f t="shared" si="2872"/>
        <v>0</v>
      </c>
      <c r="BX871" s="899">
        <f t="shared" si="2872"/>
        <v>0</v>
      </c>
      <c r="BY871" s="899">
        <f t="shared" si="2872"/>
        <v>0</v>
      </c>
      <c r="BZ871" s="398">
        <f t="shared" si="2805"/>
        <v>0</v>
      </c>
      <c r="CA871" s="398">
        <f t="shared" si="2806"/>
        <v>0</v>
      </c>
      <c r="CB871" s="398">
        <f t="shared" si="2807"/>
        <v>0</v>
      </c>
      <c r="CC871" s="465">
        <f t="shared" si="2808"/>
        <v>0</v>
      </c>
      <c r="CD871" s="1114" t="str">
        <f t="shared" si="2809"/>
        <v/>
      </c>
      <c r="CE871" s="1115" t="str">
        <f t="shared" si="2809"/>
        <v/>
      </c>
      <c r="CF871" s="1116" t="str">
        <f t="shared" si="2809"/>
        <v/>
      </c>
      <c r="CG871" s="1116" t="str">
        <f t="shared" si="2809"/>
        <v/>
      </c>
      <c r="CH871" s="1116">
        <f t="shared" si="2809"/>
        <v>0</v>
      </c>
      <c r="CI871" s="1116">
        <f t="shared" si="2809"/>
        <v>0</v>
      </c>
      <c r="CJ871" s="1116">
        <f t="shared" si="2809"/>
        <v>0</v>
      </c>
      <c r="CK871" s="1117">
        <f t="shared" si="2809"/>
        <v>0</v>
      </c>
      <c r="CL871" s="1117">
        <f t="shared" si="2809"/>
        <v>0</v>
      </c>
      <c r="CM871" s="1117">
        <f t="shared" si="2809"/>
        <v>0</v>
      </c>
      <c r="CN871" s="1116">
        <f t="shared" si="2809"/>
        <v>0</v>
      </c>
      <c r="CO871" s="1116">
        <f t="shared" si="2809"/>
        <v>0</v>
      </c>
      <c r="CP871" s="1116">
        <f t="shared" si="2809"/>
        <v>0</v>
      </c>
      <c r="CQ871" s="1116" t="str">
        <f t="shared" si="2809"/>
        <v/>
      </c>
      <c r="CR871" s="1116" t="str">
        <f t="shared" si="2809"/>
        <v/>
      </c>
      <c r="CS871" s="1115" t="str">
        <f t="shared" si="2809"/>
        <v/>
      </c>
      <c r="CT871" s="1146" t="str">
        <f t="shared" si="2810"/>
        <v/>
      </c>
      <c r="CU871" s="1200" t="str">
        <f t="shared" si="2811"/>
        <v/>
      </c>
      <c r="CV871" s="1129" t="str">
        <f t="shared" si="2811"/>
        <v/>
      </c>
      <c r="CW871" s="1130" t="str">
        <f t="shared" si="2811"/>
        <v/>
      </c>
      <c r="CX871" s="1130" t="str">
        <f t="shared" si="2811"/>
        <v/>
      </c>
      <c r="CY871" s="1130">
        <f t="shared" si="2811"/>
        <v>0</v>
      </c>
      <c r="CZ871" s="1130">
        <f t="shared" si="2811"/>
        <v>0</v>
      </c>
      <c r="DA871" s="1130">
        <f t="shared" si="2811"/>
        <v>0</v>
      </c>
      <c r="DB871" s="1131">
        <f t="shared" si="2811"/>
        <v>0</v>
      </c>
      <c r="DC871" s="1131">
        <f t="shared" si="2811"/>
        <v>0</v>
      </c>
      <c r="DD871" s="1131">
        <f t="shared" si="2811"/>
        <v>0</v>
      </c>
      <c r="DE871" s="1130">
        <f t="shared" si="2811"/>
        <v>0</v>
      </c>
      <c r="DF871" s="1130">
        <f t="shared" si="2811"/>
        <v>0</v>
      </c>
      <c r="DG871" s="1130">
        <f t="shared" si="2811"/>
        <v>0</v>
      </c>
      <c r="DH871" s="1130" t="str">
        <f t="shared" si="2811"/>
        <v/>
      </c>
      <c r="DI871" s="1130" t="str">
        <f t="shared" si="2811"/>
        <v/>
      </c>
      <c r="DJ871" s="1129" t="str">
        <f t="shared" si="2811"/>
        <v/>
      </c>
      <c r="DK871" s="1200" t="str">
        <f t="shared" si="2812"/>
        <v/>
      </c>
      <c r="DL871" s="428">
        <f t="shared" si="2813"/>
        <v>9</v>
      </c>
      <c r="DM871" s="66">
        <f t="shared" si="2814"/>
        <v>9</v>
      </c>
      <c r="DN871" s="66">
        <f t="shared" si="2815"/>
        <v>9</v>
      </c>
      <c r="DO871" s="66">
        <f t="shared" si="2816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2873">SUM(D553)</f>
        <v>0</v>
      </c>
      <c r="E872" s="899">
        <f t="shared" si="2873"/>
        <v>0</v>
      </c>
      <c r="F872" s="899">
        <f t="shared" si="2873"/>
        <v>0</v>
      </c>
      <c r="G872" s="899">
        <f t="shared" si="2873"/>
        <v>0</v>
      </c>
      <c r="H872" s="899">
        <f t="shared" si="2873"/>
        <v>0</v>
      </c>
      <c r="I872" s="899">
        <f t="shared" si="2873"/>
        <v>0</v>
      </c>
      <c r="J872" s="899">
        <f t="shared" si="2873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2874">SUM(V553)</f>
        <v>0</v>
      </c>
      <c r="W872" s="899">
        <f t="shared" si="2874"/>
        <v>0</v>
      </c>
      <c r="X872" s="899">
        <f t="shared" si="2874"/>
        <v>0</v>
      </c>
      <c r="Y872" s="899">
        <f t="shared" si="2874"/>
        <v>0</v>
      </c>
      <c r="Z872" s="899">
        <f t="shared" si="2874"/>
        <v>0</v>
      </c>
      <c r="AA872" s="899">
        <f t="shared" si="2874"/>
        <v>0</v>
      </c>
      <c r="AB872" s="899">
        <f t="shared" si="2874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2875">SUM(AN553)</f>
        <v>0</v>
      </c>
      <c r="AO872" s="899">
        <f t="shared" si="2875"/>
        <v>1.6699282452707111E-2</v>
      </c>
      <c r="AP872" s="899">
        <f t="shared" si="2875"/>
        <v>0</v>
      </c>
      <c r="AQ872" s="899">
        <f t="shared" si="2875"/>
        <v>0</v>
      </c>
      <c r="AR872" s="899">
        <f t="shared" si="2875"/>
        <v>0</v>
      </c>
      <c r="AS872" s="899">
        <f t="shared" si="2875"/>
        <v>3.3398564905414221E-2</v>
      </c>
      <c r="AT872" s="899">
        <f t="shared" si="2875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2876">SUM(BF553)</f>
        <v>6.5753424657534251E-3</v>
      </c>
      <c r="BG872" s="899">
        <f t="shared" si="2876"/>
        <v>0</v>
      </c>
      <c r="BH872" s="899">
        <f t="shared" si="2876"/>
        <v>7.3972602739726034E-3</v>
      </c>
      <c r="BI872" s="899">
        <f t="shared" si="2876"/>
        <v>0</v>
      </c>
      <c r="BJ872" s="899">
        <f t="shared" si="2876"/>
        <v>1.3698630136986301E-3</v>
      </c>
      <c r="BK872" s="899">
        <f t="shared" si="2876"/>
        <v>0</v>
      </c>
      <c r="BL872" s="899">
        <f t="shared" si="2876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2877">SUM(BV553)</f>
        <v>0</v>
      </c>
      <c r="BW872" s="899">
        <f t="shared" si="2877"/>
        <v>0</v>
      </c>
      <c r="BX872" s="899">
        <f t="shared" si="2877"/>
        <v>0</v>
      </c>
      <c r="BY872" s="899">
        <f t="shared" si="2877"/>
        <v>0</v>
      </c>
      <c r="BZ872" s="398">
        <f t="shared" si="2805"/>
        <v>0</v>
      </c>
      <c r="CA872" s="398">
        <f t="shared" si="2806"/>
        <v>0</v>
      </c>
      <c r="CB872" s="398">
        <f t="shared" si="2807"/>
        <v>5.7254682694995807E-3</v>
      </c>
      <c r="CC872" s="465">
        <f t="shared" si="2808"/>
        <v>2.1917808219178081E-3</v>
      </c>
      <c r="CD872" s="1114" t="str">
        <f t="shared" si="2809"/>
        <v/>
      </c>
      <c r="CE872" s="1115" t="str">
        <f t="shared" si="2809"/>
        <v/>
      </c>
      <c r="CF872" s="1116" t="str">
        <f t="shared" si="2809"/>
        <v/>
      </c>
      <c r="CG872" s="1116" t="str">
        <f t="shared" si="2809"/>
        <v/>
      </c>
      <c r="CH872" s="1116">
        <f t="shared" si="2809"/>
        <v>0</v>
      </c>
      <c r="CI872" s="1116">
        <f t="shared" si="2809"/>
        <v>0</v>
      </c>
      <c r="CJ872" s="1116">
        <f t="shared" si="2809"/>
        <v>0</v>
      </c>
      <c r="CK872" s="1117">
        <f t="shared" si="2809"/>
        <v>0</v>
      </c>
      <c r="CL872" s="1117">
        <f t="shared" si="2809"/>
        <v>0</v>
      </c>
      <c r="CM872" s="1117">
        <f t="shared" si="2809"/>
        <v>0</v>
      </c>
      <c r="CN872" s="1116">
        <f t="shared" si="2809"/>
        <v>0</v>
      </c>
      <c r="CO872" s="1116">
        <f t="shared" si="2809"/>
        <v>0</v>
      </c>
      <c r="CP872" s="1116">
        <f t="shared" si="2809"/>
        <v>4.771223557916318E-3</v>
      </c>
      <c r="CQ872" s="1116" t="str">
        <f t="shared" si="2809"/>
        <v/>
      </c>
      <c r="CR872" s="1116" t="str">
        <f t="shared" si="2809"/>
        <v/>
      </c>
      <c r="CS872" s="1115" t="str">
        <f t="shared" si="2809"/>
        <v/>
      </c>
      <c r="CT872" s="1146" t="str">
        <f t="shared" si="2810"/>
        <v/>
      </c>
      <c r="CU872" s="1200" t="str">
        <f t="shared" si="2811"/>
        <v/>
      </c>
      <c r="CV872" s="1129" t="str">
        <f t="shared" si="2811"/>
        <v/>
      </c>
      <c r="CW872" s="1130" t="str">
        <f t="shared" si="2811"/>
        <v/>
      </c>
      <c r="CX872" s="1130" t="str">
        <f t="shared" si="2811"/>
        <v/>
      </c>
      <c r="CY872" s="1130">
        <f t="shared" si="2811"/>
        <v>0</v>
      </c>
      <c r="CZ872" s="1130">
        <f t="shared" si="2811"/>
        <v>0</v>
      </c>
      <c r="DA872" s="1130">
        <f t="shared" si="2811"/>
        <v>0</v>
      </c>
      <c r="DB872" s="1131">
        <f t="shared" si="2811"/>
        <v>0</v>
      </c>
      <c r="DC872" s="1131">
        <f t="shared" si="2811"/>
        <v>0</v>
      </c>
      <c r="DD872" s="1131">
        <f t="shared" si="2811"/>
        <v>0</v>
      </c>
      <c r="DE872" s="1130">
        <f t="shared" si="2811"/>
        <v>0</v>
      </c>
      <c r="DF872" s="1130">
        <f t="shared" si="2811"/>
        <v>0</v>
      </c>
      <c r="DG872" s="1130">
        <f t="shared" si="2811"/>
        <v>0</v>
      </c>
      <c r="DH872" s="1130" t="str">
        <f t="shared" si="2811"/>
        <v/>
      </c>
      <c r="DI872" s="1130" t="str">
        <f t="shared" si="2811"/>
        <v/>
      </c>
      <c r="DJ872" s="1129" t="str">
        <f t="shared" si="2811"/>
        <v/>
      </c>
      <c r="DK872" s="1200" t="str">
        <f t="shared" si="2812"/>
        <v/>
      </c>
      <c r="DL872" s="428">
        <f t="shared" si="2813"/>
        <v>9</v>
      </c>
      <c r="DM872" s="66">
        <f t="shared" si="2814"/>
        <v>9</v>
      </c>
      <c r="DN872" s="66">
        <f t="shared" si="2815"/>
        <v>9</v>
      </c>
      <c r="DO872" s="66">
        <f t="shared" si="2816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2878">SUM(D559)</f>
        <v>0</v>
      </c>
      <c r="E873" s="899">
        <f t="shared" si="2878"/>
        <v>0</v>
      </c>
      <c r="F873" s="899">
        <f t="shared" si="2878"/>
        <v>2.1743857360295715E-4</v>
      </c>
      <c r="G873" s="899">
        <f t="shared" si="2878"/>
        <v>0</v>
      </c>
      <c r="H873" s="899">
        <f t="shared" si="2878"/>
        <v>0</v>
      </c>
      <c r="I873" s="899">
        <f t="shared" si="2878"/>
        <v>0</v>
      </c>
      <c r="J873" s="899">
        <f t="shared" si="2878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2879">SUM(V559)</f>
        <v>2.1743857360295715E-3</v>
      </c>
      <c r="W873" s="899">
        <f t="shared" si="2879"/>
        <v>0</v>
      </c>
      <c r="X873" s="899">
        <f t="shared" si="2879"/>
        <v>0</v>
      </c>
      <c r="Y873" s="899">
        <f t="shared" si="2879"/>
        <v>0</v>
      </c>
      <c r="Z873" s="899">
        <f t="shared" si="2879"/>
        <v>0</v>
      </c>
      <c r="AA873" s="899">
        <f t="shared" si="2879"/>
        <v>0</v>
      </c>
      <c r="AB873" s="899">
        <f t="shared" si="2879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2880">SUM(AN559)</f>
        <v>3.2615786040443573E-3</v>
      </c>
      <c r="AO873" s="899">
        <f t="shared" si="2880"/>
        <v>0</v>
      </c>
      <c r="AP873" s="899">
        <f t="shared" si="2880"/>
        <v>0</v>
      </c>
      <c r="AQ873" s="899">
        <f t="shared" si="2880"/>
        <v>0</v>
      </c>
      <c r="AR873" s="899">
        <f t="shared" si="2880"/>
        <v>9.784735812133074E-4</v>
      </c>
      <c r="AS873" s="899">
        <f t="shared" si="2880"/>
        <v>0</v>
      </c>
      <c r="AT873" s="899">
        <f t="shared" si="2880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2881">SUM(BF559)</f>
        <v>0</v>
      </c>
      <c r="BG873" s="899">
        <f t="shared" si="2881"/>
        <v>0</v>
      </c>
      <c r="BH873" s="899">
        <f t="shared" si="2881"/>
        <v>0</v>
      </c>
      <c r="BI873" s="899">
        <f t="shared" si="2881"/>
        <v>0</v>
      </c>
      <c r="BJ873" s="899">
        <f t="shared" si="2881"/>
        <v>0</v>
      </c>
      <c r="BK873" s="899">
        <f t="shared" si="2881"/>
        <v>1.9569471624266148E-3</v>
      </c>
      <c r="BL873" s="899">
        <f t="shared" si="2881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2882">SUM(BV559)</f>
        <v>0</v>
      </c>
      <c r="BW873" s="899">
        <f t="shared" si="2882"/>
        <v>0</v>
      </c>
      <c r="BX873" s="899">
        <f t="shared" si="2882"/>
        <v>0</v>
      </c>
      <c r="BY873" s="899">
        <f t="shared" si="2882"/>
        <v>0</v>
      </c>
      <c r="BZ873" s="398">
        <f t="shared" si="2805"/>
        <v>5.4226517743431355E-4</v>
      </c>
      <c r="CA873" s="398">
        <f t="shared" si="2806"/>
        <v>3.1062653371851024E-4</v>
      </c>
      <c r="CB873" s="398">
        <f t="shared" si="2807"/>
        <v>1.3978194017332961E-4</v>
      </c>
      <c r="CC873" s="465">
        <f t="shared" si="2808"/>
        <v>7.7656633429627558E-4</v>
      </c>
      <c r="CD873" s="1114" t="str">
        <f t="shared" si="2809"/>
        <v/>
      </c>
      <c r="CE873" s="1115" t="str">
        <f t="shared" si="2809"/>
        <v/>
      </c>
      <c r="CF873" s="1116" t="str">
        <f t="shared" si="2809"/>
        <v/>
      </c>
      <c r="CG873" s="1116" t="str">
        <f t="shared" si="2809"/>
        <v/>
      </c>
      <c r="CH873" s="1116">
        <f t="shared" si="2809"/>
        <v>0</v>
      </c>
      <c r="CI873" s="1116">
        <f t="shared" si="2809"/>
        <v>0</v>
      </c>
      <c r="CJ873" s="1116">
        <f t="shared" si="2809"/>
        <v>0</v>
      </c>
      <c r="CK873" s="1117">
        <f t="shared" si="2809"/>
        <v>0</v>
      </c>
      <c r="CL873" s="1117">
        <f t="shared" si="2809"/>
        <v>0</v>
      </c>
      <c r="CM873" s="1117">
        <f t="shared" si="2809"/>
        <v>0</v>
      </c>
      <c r="CN873" s="1116">
        <f t="shared" si="2809"/>
        <v>2.1743857360295715E-4</v>
      </c>
      <c r="CO873" s="1116">
        <f t="shared" si="2809"/>
        <v>3.5784176684372378E-3</v>
      </c>
      <c r="CP873" s="1116">
        <f t="shared" si="2809"/>
        <v>3.7573385518590995E-3</v>
      </c>
      <c r="CQ873" s="1116" t="str">
        <f t="shared" si="2809"/>
        <v/>
      </c>
      <c r="CR873" s="1116" t="str">
        <f t="shared" si="2809"/>
        <v/>
      </c>
      <c r="CS873" s="1115" t="str">
        <f t="shared" ref="CS873:CS886" si="28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6" t="str">
        <f t="shared" si="2810"/>
        <v/>
      </c>
      <c r="CU873" s="1200" t="str">
        <f t="shared" si="2811"/>
        <v/>
      </c>
      <c r="CV873" s="1129" t="str">
        <f t="shared" si="2811"/>
        <v/>
      </c>
      <c r="CW873" s="1130" t="str">
        <f t="shared" si="2811"/>
        <v/>
      </c>
      <c r="CX873" s="1130" t="str">
        <f t="shared" si="2811"/>
        <v/>
      </c>
      <c r="CY873" s="1130">
        <f t="shared" si="2811"/>
        <v>0</v>
      </c>
      <c r="CZ873" s="1130">
        <f t="shared" si="2811"/>
        <v>0</v>
      </c>
      <c r="DA873" s="1130">
        <f t="shared" si="2811"/>
        <v>0</v>
      </c>
      <c r="DB873" s="1131">
        <f t="shared" si="2811"/>
        <v>0</v>
      </c>
      <c r="DC873" s="1131">
        <f t="shared" si="2811"/>
        <v>0</v>
      </c>
      <c r="DD873" s="1131">
        <f t="shared" si="2811"/>
        <v>0</v>
      </c>
      <c r="DE873" s="1130">
        <f t="shared" si="2811"/>
        <v>0</v>
      </c>
      <c r="DF873" s="1130">
        <f t="shared" si="2811"/>
        <v>2.1743857360295715E-3</v>
      </c>
      <c r="DG873" s="1130">
        <f t="shared" si="2811"/>
        <v>2.2771748799146063E-3</v>
      </c>
      <c r="DH873" s="1130" t="str">
        <f t="shared" si="2811"/>
        <v/>
      </c>
      <c r="DI873" s="1130" t="str">
        <f t="shared" si="2811"/>
        <v/>
      </c>
      <c r="DJ873" s="1129" t="str">
        <f t="shared" ref="DJ873:DJ886" si="28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0" t="str">
        <f t="shared" si="2812"/>
        <v/>
      </c>
      <c r="DL873" s="428">
        <f t="shared" si="2813"/>
        <v>9</v>
      </c>
      <c r="DM873" s="66">
        <f t="shared" si="2814"/>
        <v>9</v>
      </c>
      <c r="DN873" s="66">
        <f t="shared" si="2815"/>
        <v>9</v>
      </c>
      <c r="DO873" s="66">
        <f t="shared" si="2816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2885">SUM(D565)</f>
        <v>0</v>
      </c>
      <c r="E874" s="899">
        <f t="shared" si="2885"/>
        <v>1.5655577299412914E-3</v>
      </c>
      <c r="F874" s="899">
        <f t="shared" si="2885"/>
        <v>0</v>
      </c>
      <c r="G874" s="899">
        <f t="shared" si="2885"/>
        <v>0</v>
      </c>
      <c r="H874" s="899">
        <f t="shared" si="2885"/>
        <v>0</v>
      </c>
      <c r="I874" s="899">
        <f t="shared" si="2885"/>
        <v>0</v>
      </c>
      <c r="J874" s="899">
        <f t="shared" si="2885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2886">SUM(V565)</f>
        <v>0</v>
      </c>
      <c r="W874" s="899">
        <f t="shared" si="2886"/>
        <v>0</v>
      </c>
      <c r="X874" s="899">
        <f t="shared" si="2886"/>
        <v>0</v>
      </c>
      <c r="Y874" s="899">
        <f t="shared" si="2886"/>
        <v>0</v>
      </c>
      <c r="Z874" s="899">
        <f t="shared" si="2886"/>
        <v>0</v>
      </c>
      <c r="AA874" s="899">
        <f t="shared" si="2886"/>
        <v>0</v>
      </c>
      <c r="AB874" s="899">
        <f t="shared" si="2886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2887">SUM(AN565)</f>
        <v>0</v>
      </c>
      <c r="AO874" s="899">
        <f t="shared" si="2887"/>
        <v>0</v>
      </c>
      <c r="AP874" s="899">
        <f t="shared" si="2887"/>
        <v>0</v>
      </c>
      <c r="AQ874" s="899">
        <f t="shared" si="2887"/>
        <v>0</v>
      </c>
      <c r="AR874" s="899">
        <f t="shared" si="2887"/>
        <v>0</v>
      </c>
      <c r="AS874" s="899">
        <f t="shared" si="2887"/>
        <v>0</v>
      </c>
      <c r="AT874" s="899">
        <f t="shared" si="2887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2888">SUM(BF565)</f>
        <v>0</v>
      </c>
      <c r="BG874" s="899">
        <f t="shared" si="2888"/>
        <v>0</v>
      </c>
      <c r="BH874" s="899">
        <f t="shared" si="2888"/>
        <v>0</v>
      </c>
      <c r="BI874" s="899">
        <f t="shared" si="2888"/>
        <v>0</v>
      </c>
      <c r="BJ874" s="899">
        <f t="shared" si="2888"/>
        <v>0</v>
      </c>
      <c r="BK874" s="899">
        <f t="shared" si="2888"/>
        <v>0</v>
      </c>
      <c r="BL874" s="899">
        <f t="shared" si="2888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2889">SUM(BV565)</f>
        <v>0</v>
      </c>
      <c r="BW874" s="899">
        <f t="shared" si="2889"/>
        <v>0</v>
      </c>
      <c r="BX874" s="899">
        <f t="shared" si="2889"/>
        <v>0</v>
      </c>
      <c r="BY874" s="899">
        <f t="shared" si="2889"/>
        <v>0</v>
      </c>
      <c r="BZ874" s="398">
        <f t="shared" si="2805"/>
        <v>2.2237309796717118E-4</v>
      </c>
      <c r="CA874" s="398">
        <f t="shared" si="2806"/>
        <v>0</v>
      </c>
      <c r="CB874" s="398">
        <f t="shared" si="2807"/>
        <v>0</v>
      </c>
      <c r="CC874" s="465">
        <f t="shared" si="2808"/>
        <v>5.9640294473953996E-4</v>
      </c>
      <c r="CD874" s="1114" t="str">
        <f t="shared" ref="CD874:CR886" si="289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5" t="str">
        <f t="shared" si="2890"/>
        <v/>
      </c>
      <c r="CF874" s="1116" t="str">
        <f t="shared" si="2890"/>
        <v/>
      </c>
      <c r="CG874" s="1116" t="str">
        <f t="shared" si="2890"/>
        <v/>
      </c>
      <c r="CH874" s="1116">
        <f t="shared" si="2890"/>
        <v>0</v>
      </c>
      <c r="CI874" s="1116">
        <f t="shared" si="2890"/>
        <v>0</v>
      </c>
      <c r="CJ874" s="1116">
        <f t="shared" si="2890"/>
        <v>0</v>
      </c>
      <c r="CK874" s="1117">
        <f t="shared" si="2890"/>
        <v>0</v>
      </c>
      <c r="CL874" s="1117">
        <f t="shared" si="2890"/>
        <v>0</v>
      </c>
      <c r="CM874" s="1117">
        <f t="shared" si="2890"/>
        <v>0</v>
      </c>
      <c r="CN874" s="1116">
        <f t="shared" si="2890"/>
        <v>7.5146771037181998E-4</v>
      </c>
      <c r="CO874" s="1116">
        <f t="shared" si="2890"/>
        <v>8.0514397539837852E-4</v>
      </c>
      <c r="CP874" s="1116">
        <f t="shared" si="2890"/>
        <v>1.5655577299412914E-3</v>
      </c>
      <c r="CQ874" s="1116" t="str">
        <f t="shared" si="2890"/>
        <v/>
      </c>
      <c r="CR874" s="1116" t="str">
        <f t="shared" si="2890"/>
        <v/>
      </c>
      <c r="CS874" s="1115" t="str">
        <f t="shared" si="2883"/>
        <v/>
      </c>
      <c r="CT874" s="1146" t="str">
        <f t="shared" si="2810"/>
        <v/>
      </c>
      <c r="CU874" s="1200" t="str">
        <f t="shared" ref="CU874:DI886" si="289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29" t="str">
        <f t="shared" si="2891"/>
        <v/>
      </c>
      <c r="CW874" s="1130" t="str">
        <f t="shared" si="2891"/>
        <v/>
      </c>
      <c r="CX874" s="1130" t="str">
        <f t="shared" si="2891"/>
        <v/>
      </c>
      <c r="CY874" s="1130">
        <f t="shared" si="2891"/>
        <v>0</v>
      </c>
      <c r="CZ874" s="1130">
        <f t="shared" si="2891"/>
        <v>0</v>
      </c>
      <c r="DA874" s="1130">
        <f t="shared" si="2891"/>
        <v>0</v>
      </c>
      <c r="DB874" s="1131">
        <f t="shared" si="2891"/>
        <v>0</v>
      </c>
      <c r="DC874" s="1131">
        <f t="shared" si="2891"/>
        <v>0</v>
      </c>
      <c r="DD874" s="1131">
        <f t="shared" si="2891"/>
        <v>0</v>
      </c>
      <c r="DE874" s="1130">
        <f t="shared" si="2891"/>
        <v>0</v>
      </c>
      <c r="DF874" s="1130">
        <f t="shared" si="2891"/>
        <v>0</v>
      </c>
      <c r="DG874" s="1130">
        <f t="shared" si="2891"/>
        <v>0</v>
      </c>
      <c r="DH874" s="1130" t="str">
        <f t="shared" si="2891"/>
        <v/>
      </c>
      <c r="DI874" s="1130" t="str">
        <f t="shared" si="2891"/>
        <v/>
      </c>
      <c r="DJ874" s="1129" t="str">
        <f t="shared" si="2884"/>
        <v/>
      </c>
      <c r="DK874" s="1200" t="str">
        <f t="shared" si="2812"/>
        <v/>
      </c>
      <c r="DL874" s="428">
        <f t="shared" si="2813"/>
        <v>9</v>
      </c>
      <c r="DM874" s="66">
        <f t="shared" si="2814"/>
        <v>9</v>
      </c>
      <c r="DN874" s="66">
        <f t="shared" si="2815"/>
        <v>9</v>
      </c>
      <c r="DO874" s="66">
        <f t="shared" si="2816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2892">SUM(D571)</f>
        <v>0</v>
      </c>
      <c r="E875" s="899">
        <f t="shared" si="2892"/>
        <v>0</v>
      </c>
      <c r="F875" s="899">
        <f t="shared" si="2892"/>
        <v>0</v>
      </c>
      <c r="G875" s="899">
        <f t="shared" si="2892"/>
        <v>0</v>
      </c>
      <c r="H875" s="899">
        <f t="shared" si="2892"/>
        <v>0</v>
      </c>
      <c r="I875" s="899">
        <f t="shared" si="2892"/>
        <v>0</v>
      </c>
      <c r="J875" s="899">
        <f t="shared" si="2892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2893">SUM(V571)</f>
        <v>0</v>
      </c>
      <c r="W875" s="899">
        <f t="shared" si="2893"/>
        <v>0</v>
      </c>
      <c r="X875" s="899">
        <f t="shared" si="2893"/>
        <v>0</v>
      </c>
      <c r="Y875" s="899">
        <f t="shared" si="2893"/>
        <v>0</v>
      </c>
      <c r="Z875" s="899">
        <f t="shared" si="2893"/>
        <v>0</v>
      </c>
      <c r="AA875" s="899">
        <f t="shared" si="2893"/>
        <v>0</v>
      </c>
      <c r="AB875" s="899">
        <f t="shared" si="2893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2894">SUM(AN571)</f>
        <v>0</v>
      </c>
      <c r="AO875" s="899">
        <f t="shared" si="2894"/>
        <v>1.3904109589041097E-2</v>
      </c>
      <c r="AP875" s="899">
        <f t="shared" si="2894"/>
        <v>0</v>
      </c>
      <c r="AQ875" s="899">
        <f t="shared" si="2894"/>
        <v>0</v>
      </c>
      <c r="AR875" s="899">
        <f t="shared" si="2894"/>
        <v>0</v>
      </c>
      <c r="AS875" s="899">
        <f t="shared" si="2894"/>
        <v>0</v>
      </c>
      <c r="AT875" s="899">
        <f t="shared" si="2894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2895">SUM(BF571)</f>
        <v>0</v>
      </c>
      <c r="BG875" s="899">
        <f t="shared" si="2895"/>
        <v>0</v>
      </c>
      <c r="BH875" s="899">
        <f t="shared" si="2895"/>
        <v>0</v>
      </c>
      <c r="BI875" s="899">
        <f t="shared" si="2895"/>
        <v>0</v>
      </c>
      <c r="BJ875" s="899">
        <f t="shared" si="2895"/>
        <v>0</v>
      </c>
      <c r="BK875" s="899">
        <f t="shared" si="2895"/>
        <v>0</v>
      </c>
      <c r="BL875" s="899">
        <f t="shared" si="2895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2896">SUM(BV571)</f>
        <v>0</v>
      </c>
      <c r="BW875" s="899">
        <f t="shared" si="2896"/>
        <v>0</v>
      </c>
      <c r="BX875" s="899">
        <f t="shared" si="2896"/>
        <v>0</v>
      </c>
      <c r="BY875" s="899">
        <f t="shared" si="2896"/>
        <v>0</v>
      </c>
      <c r="BZ875" s="398">
        <f t="shared" si="2805"/>
        <v>0</v>
      </c>
      <c r="CA875" s="398">
        <f t="shared" si="2806"/>
        <v>0</v>
      </c>
      <c r="CB875" s="398">
        <f t="shared" si="2807"/>
        <v>0</v>
      </c>
      <c r="CC875" s="465">
        <f t="shared" si="2808"/>
        <v>0</v>
      </c>
      <c r="CD875" s="1114" t="str">
        <f t="shared" si="2890"/>
        <v/>
      </c>
      <c r="CE875" s="1115" t="str">
        <f t="shared" si="2890"/>
        <v/>
      </c>
      <c r="CF875" s="1116" t="str">
        <f t="shared" si="2890"/>
        <v/>
      </c>
      <c r="CG875" s="1116" t="str">
        <f t="shared" si="2890"/>
        <v/>
      </c>
      <c r="CH875" s="1116">
        <f t="shared" si="2890"/>
        <v>0</v>
      </c>
      <c r="CI875" s="1116">
        <f t="shared" si="2890"/>
        <v>0</v>
      </c>
      <c r="CJ875" s="1116">
        <f t="shared" si="2890"/>
        <v>0</v>
      </c>
      <c r="CK875" s="1117">
        <f t="shared" si="2890"/>
        <v>0</v>
      </c>
      <c r="CL875" s="1117">
        <f t="shared" si="2890"/>
        <v>0</v>
      </c>
      <c r="CM875" s="1117">
        <f t="shared" si="2890"/>
        <v>0</v>
      </c>
      <c r="CN875" s="1116">
        <f t="shared" si="2890"/>
        <v>0</v>
      </c>
      <c r="CO875" s="1116">
        <f t="shared" si="2890"/>
        <v>0</v>
      </c>
      <c r="CP875" s="1116">
        <f t="shared" si="2890"/>
        <v>0</v>
      </c>
      <c r="CQ875" s="1116" t="str">
        <f t="shared" si="2890"/>
        <v/>
      </c>
      <c r="CR875" s="1116" t="str">
        <f t="shared" si="2890"/>
        <v/>
      </c>
      <c r="CS875" s="1115" t="str">
        <f t="shared" si="2883"/>
        <v/>
      </c>
      <c r="CT875" s="1146" t="str">
        <f t="shared" si="2810"/>
        <v/>
      </c>
      <c r="CU875" s="1200" t="str">
        <f t="shared" si="2891"/>
        <v/>
      </c>
      <c r="CV875" s="1129" t="str">
        <f t="shared" si="2891"/>
        <v/>
      </c>
      <c r="CW875" s="1130" t="str">
        <f t="shared" si="2891"/>
        <v/>
      </c>
      <c r="CX875" s="1130" t="str">
        <f t="shared" si="2891"/>
        <v/>
      </c>
      <c r="CY875" s="1130">
        <f t="shared" si="2891"/>
        <v>0</v>
      </c>
      <c r="CZ875" s="1130">
        <f t="shared" si="2891"/>
        <v>0</v>
      </c>
      <c r="DA875" s="1130">
        <f t="shared" si="2891"/>
        <v>0</v>
      </c>
      <c r="DB875" s="1131">
        <f t="shared" si="2891"/>
        <v>0</v>
      </c>
      <c r="DC875" s="1131">
        <f t="shared" si="2891"/>
        <v>0</v>
      </c>
      <c r="DD875" s="1131">
        <f t="shared" si="2891"/>
        <v>0</v>
      </c>
      <c r="DE875" s="1130">
        <f t="shared" si="2891"/>
        <v>0</v>
      </c>
      <c r="DF875" s="1130">
        <f t="shared" si="2891"/>
        <v>0</v>
      </c>
      <c r="DG875" s="1130">
        <f t="shared" si="2891"/>
        <v>0</v>
      </c>
      <c r="DH875" s="1130" t="str">
        <f t="shared" si="2891"/>
        <v/>
      </c>
      <c r="DI875" s="1130" t="str">
        <f t="shared" si="2891"/>
        <v/>
      </c>
      <c r="DJ875" s="1129" t="str">
        <f t="shared" si="2884"/>
        <v/>
      </c>
      <c r="DK875" s="1200" t="str">
        <f t="shared" si="2812"/>
        <v/>
      </c>
      <c r="DL875" s="428">
        <f t="shared" si="2813"/>
        <v>9</v>
      </c>
      <c r="DM875" s="66">
        <f t="shared" si="2814"/>
        <v>9</v>
      </c>
      <c r="DN875" s="66">
        <f t="shared" si="2815"/>
        <v>9</v>
      </c>
      <c r="DO875" s="66">
        <f t="shared" si="2816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2897">SUM(D577)</f>
        <v>1.2524461839530333E-3</v>
      </c>
      <c r="E876" s="899">
        <f t="shared" si="2897"/>
        <v>0</v>
      </c>
      <c r="F876" s="899">
        <f t="shared" si="2897"/>
        <v>0</v>
      </c>
      <c r="G876" s="899">
        <f t="shared" si="2897"/>
        <v>0</v>
      </c>
      <c r="H876" s="899">
        <f t="shared" si="2897"/>
        <v>0</v>
      </c>
      <c r="I876" s="899">
        <f t="shared" si="2897"/>
        <v>0</v>
      </c>
      <c r="J876" s="899">
        <f t="shared" si="2897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2898">SUM(V577)</f>
        <v>0</v>
      </c>
      <c r="W876" s="899">
        <f t="shared" si="2898"/>
        <v>0</v>
      </c>
      <c r="X876" s="899">
        <f t="shared" si="2898"/>
        <v>0</v>
      </c>
      <c r="Y876" s="899">
        <f t="shared" si="2898"/>
        <v>0</v>
      </c>
      <c r="Z876" s="899">
        <f t="shared" si="2898"/>
        <v>0</v>
      </c>
      <c r="AA876" s="899">
        <f t="shared" si="2898"/>
        <v>0</v>
      </c>
      <c r="AB876" s="899">
        <f t="shared" si="2898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2899">SUM(AN577)</f>
        <v>0</v>
      </c>
      <c r="AO876" s="899">
        <f t="shared" si="2899"/>
        <v>0</v>
      </c>
      <c r="AP876" s="899">
        <f t="shared" si="2899"/>
        <v>0</v>
      </c>
      <c r="AQ876" s="899">
        <f t="shared" si="2899"/>
        <v>0</v>
      </c>
      <c r="AR876" s="899">
        <f t="shared" si="2899"/>
        <v>0</v>
      </c>
      <c r="AS876" s="899">
        <f t="shared" si="2899"/>
        <v>0</v>
      </c>
      <c r="AT876" s="899">
        <f t="shared" si="2899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2900">SUM(BF577)</f>
        <v>4.2270058708414874E-4</v>
      </c>
      <c r="BG876" s="899">
        <f t="shared" si="2900"/>
        <v>0</v>
      </c>
      <c r="BH876" s="899">
        <f t="shared" si="2900"/>
        <v>0</v>
      </c>
      <c r="BI876" s="899">
        <f t="shared" si="2900"/>
        <v>0</v>
      </c>
      <c r="BJ876" s="899">
        <f t="shared" si="2900"/>
        <v>1.2524461839530333E-3</v>
      </c>
      <c r="BK876" s="899">
        <f t="shared" si="2900"/>
        <v>0</v>
      </c>
      <c r="BL876" s="899">
        <f t="shared" si="2900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2901">SUM(BV577)</f>
        <v>0</v>
      </c>
      <c r="BW876" s="899">
        <f t="shared" si="2901"/>
        <v>0</v>
      </c>
      <c r="BX876" s="899">
        <f t="shared" si="2901"/>
        <v>0</v>
      </c>
      <c r="BY876" s="899">
        <f t="shared" si="2901"/>
        <v>0</v>
      </c>
      <c r="BZ876" s="398">
        <f t="shared" si="2805"/>
        <v>1.789208834218619E-4</v>
      </c>
      <c r="CA876" s="398">
        <f t="shared" si="2806"/>
        <v>0</v>
      </c>
      <c r="CB876" s="398">
        <f t="shared" si="2807"/>
        <v>0</v>
      </c>
      <c r="CC876" s="465">
        <f t="shared" si="2808"/>
        <v>6.0385798154878384E-5</v>
      </c>
      <c r="CD876" s="1114" t="str">
        <f t="shared" si="2890"/>
        <v/>
      </c>
      <c r="CE876" s="1115" t="str">
        <f t="shared" si="2890"/>
        <v/>
      </c>
      <c r="CF876" s="1116" t="str">
        <f t="shared" si="2890"/>
        <v/>
      </c>
      <c r="CG876" s="1116" t="str">
        <f t="shared" si="2890"/>
        <v/>
      </c>
      <c r="CH876" s="1116">
        <f t="shared" si="2890"/>
        <v>0</v>
      </c>
      <c r="CI876" s="1116">
        <f t="shared" si="2890"/>
        <v>0</v>
      </c>
      <c r="CJ876" s="1116">
        <f t="shared" si="2890"/>
        <v>0</v>
      </c>
      <c r="CK876" s="1117">
        <f t="shared" si="2890"/>
        <v>0</v>
      </c>
      <c r="CL876" s="1117">
        <f t="shared" si="2890"/>
        <v>0</v>
      </c>
      <c r="CM876" s="1117">
        <f t="shared" si="2890"/>
        <v>0</v>
      </c>
      <c r="CN876" s="1116">
        <f t="shared" si="2890"/>
        <v>0</v>
      </c>
      <c r="CO876" s="1116">
        <f t="shared" si="2890"/>
        <v>1.2524461839530333E-3</v>
      </c>
      <c r="CP876" s="1116">
        <f t="shared" si="2890"/>
        <v>4.2941012021246849E-3</v>
      </c>
      <c r="CQ876" s="1116" t="str">
        <f t="shared" si="2890"/>
        <v/>
      </c>
      <c r="CR876" s="1116" t="str">
        <f t="shared" si="2890"/>
        <v/>
      </c>
      <c r="CS876" s="1115" t="str">
        <f t="shared" si="2883"/>
        <v/>
      </c>
      <c r="CT876" s="1146" t="str">
        <f t="shared" si="2810"/>
        <v/>
      </c>
      <c r="CU876" s="1200" t="str">
        <f t="shared" si="2891"/>
        <v/>
      </c>
      <c r="CV876" s="1129" t="str">
        <f t="shared" si="2891"/>
        <v/>
      </c>
      <c r="CW876" s="1130" t="str">
        <f t="shared" si="2891"/>
        <v/>
      </c>
      <c r="CX876" s="1130" t="str">
        <f t="shared" si="2891"/>
        <v/>
      </c>
      <c r="CY876" s="1130">
        <f t="shared" si="2891"/>
        <v>0</v>
      </c>
      <c r="CZ876" s="1130">
        <f t="shared" si="2891"/>
        <v>0</v>
      </c>
      <c r="DA876" s="1130">
        <f t="shared" si="2891"/>
        <v>0</v>
      </c>
      <c r="DB876" s="1131">
        <f t="shared" si="2891"/>
        <v>0</v>
      </c>
      <c r="DC876" s="1131">
        <f t="shared" si="2891"/>
        <v>0</v>
      </c>
      <c r="DD876" s="1131">
        <f t="shared" si="2891"/>
        <v>0</v>
      </c>
      <c r="DE876" s="1130">
        <f t="shared" si="2891"/>
        <v>0</v>
      </c>
      <c r="DF876" s="1130">
        <f t="shared" si="2891"/>
        <v>0</v>
      </c>
      <c r="DG876" s="1130">
        <f t="shared" si="2891"/>
        <v>7.0450097847358118E-4</v>
      </c>
      <c r="DH876" s="1130" t="str">
        <f t="shared" si="2891"/>
        <v/>
      </c>
      <c r="DI876" s="1130" t="str">
        <f t="shared" si="2891"/>
        <v/>
      </c>
      <c r="DJ876" s="1129" t="str">
        <f t="shared" si="2884"/>
        <v/>
      </c>
      <c r="DK876" s="1200" t="str">
        <f t="shared" si="2812"/>
        <v/>
      </c>
      <c r="DL876" s="428">
        <f t="shared" si="2813"/>
        <v>9</v>
      </c>
      <c r="DM876" s="66">
        <f t="shared" si="2814"/>
        <v>9</v>
      </c>
      <c r="DN876" s="66">
        <f t="shared" si="2815"/>
        <v>9</v>
      </c>
      <c r="DO876" s="66">
        <f t="shared" si="2816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2902">SUM(D583)</f>
        <v>0</v>
      </c>
      <c r="E877" s="899">
        <f t="shared" si="2902"/>
        <v>0</v>
      </c>
      <c r="F877" s="899">
        <f t="shared" si="2902"/>
        <v>0</v>
      </c>
      <c r="G877" s="899">
        <f t="shared" si="2902"/>
        <v>0</v>
      </c>
      <c r="H877" s="899">
        <f t="shared" si="2902"/>
        <v>0</v>
      </c>
      <c r="I877" s="899">
        <f t="shared" si="2902"/>
        <v>0</v>
      </c>
      <c r="J877" s="899">
        <f t="shared" si="2902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2903">SUM(V583)</f>
        <v>3.326810176125245E-3</v>
      </c>
      <c r="W877" s="899">
        <f t="shared" si="2903"/>
        <v>0</v>
      </c>
      <c r="X877" s="899">
        <f t="shared" si="2903"/>
        <v>0</v>
      </c>
      <c r="Y877" s="899">
        <f t="shared" si="2903"/>
        <v>0</v>
      </c>
      <c r="Z877" s="899">
        <f t="shared" si="2903"/>
        <v>0</v>
      </c>
      <c r="AA877" s="899">
        <f t="shared" si="2903"/>
        <v>0</v>
      </c>
      <c r="AB877" s="899">
        <f t="shared" si="2903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2904">SUM(AN583)</f>
        <v>0</v>
      </c>
      <c r="AO877" s="899">
        <f t="shared" si="2904"/>
        <v>0</v>
      </c>
      <c r="AP877" s="899">
        <f t="shared" si="2904"/>
        <v>0</v>
      </c>
      <c r="AQ877" s="899">
        <f t="shared" si="2904"/>
        <v>0</v>
      </c>
      <c r="AR877" s="899">
        <f t="shared" si="2904"/>
        <v>0</v>
      </c>
      <c r="AS877" s="899">
        <f t="shared" si="2904"/>
        <v>0</v>
      </c>
      <c r="AT877" s="899">
        <f t="shared" si="2904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2905">SUM(BF583)</f>
        <v>0</v>
      </c>
      <c r="BG877" s="899">
        <f t="shared" si="2905"/>
        <v>0</v>
      </c>
      <c r="BH877" s="899">
        <f t="shared" si="2905"/>
        <v>0</v>
      </c>
      <c r="BI877" s="899">
        <f t="shared" si="2905"/>
        <v>0</v>
      </c>
      <c r="BJ877" s="899">
        <f t="shared" si="2905"/>
        <v>0</v>
      </c>
      <c r="BK877" s="899">
        <f t="shared" si="2905"/>
        <v>0</v>
      </c>
      <c r="BL877" s="899">
        <f t="shared" si="2905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2906">SUM(BV583)</f>
        <v>0</v>
      </c>
      <c r="BW877" s="899">
        <f t="shared" si="2906"/>
        <v>0</v>
      </c>
      <c r="BX877" s="899">
        <f t="shared" si="2906"/>
        <v>0</v>
      </c>
      <c r="BY877" s="899">
        <f t="shared" si="2906"/>
        <v>0</v>
      </c>
      <c r="BZ877" s="398">
        <f t="shared" si="2805"/>
        <v>0</v>
      </c>
      <c r="CA877" s="398">
        <f t="shared" si="2806"/>
        <v>4.7525859658932058E-4</v>
      </c>
      <c r="CB877" s="398">
        <f t="shared" si="2807"/>
        <v>0</v>
      </c>
      <c r="CC877" s="465">
        <f t="shared" si="2808"/>
        <v>0</v>
      </c>
      <c r="CD877" s="1114" t="str">
        <f t="shared" si="2890"/>
        <v/>
      </c>
      <c r="CE877" s="1115" t="str">
        <f t="shared" si="2890"/>
        <v/>
      </c>
      <c r="CF877" s="1116" t="str">
        <f t="shared" si="2890"/>
        <v/>
      </c>
      <c r="CG877" s="1116" t="str">
        <f t="shared" si="2890"/>
        <v/>
      </c>
      <c r="CH877" s="1116">
        <f t="shared" si="2890"/>
        <v>0</v>
      </c>
      <c r="CI877" s="1116">
        <f t="shared" si="2890"/>
        <v>0</v>
      </c>
      <c r="CJ877" s="1116">
        <f t="shared" si="2890"/>
        <v>0</v>
      </c>
      <c r="CK877" s="1117">
        <f t="shared" si="2890"/>
        <v>0</v>
      </c>
      <c r="CL877" s="1117">
        <f t="shared" si="2890"/>
        <v>0</v>
      </c>
      <c r="CM877" s="1117">
        <f t="shared" si="2890"/>
        <v>0</v>
      </c>
      <c r="CN877" s="1116">
        <f t="shared" si="2890"/>
        <v>0</v>
      </c>
      <c r="CO877" s="1116">
        <f t="shared" si="2890"/>
        <v>0</v>
      </c>
      <c r="CP877" s="1116">
        <f t="shared" si="2890"/>
        <v>0</v>
      </c>
      <c r="CQ877" s="1116" t="str">
        <f t="shared" si="2890"/>
        <v/>
      </c>
      <c r="CR877" s="1116" t="str">
        <f t="shared" si="2890"/>
        <v/>
      </c>
      <c r="CS877" s="1115" t="str">
        <f t="shared" si="2883"/>
        <v/>
      </c>
      <c r="CT877" s="1146" t="str">
        <f t="shared" si="2810"/>
        <v/>
      </c>
      <c r="CU877" s="1200" t="str">
        <f t="shared" si="2891"/>
        <v/>
      </c>
      <c r="CV877" s="1129" t="str">
        <f t="shared" si="2891"/>
        <v/>
      </c>
      <c r="CW877" s="1130" t="str">
        <f t="shared" si="2891"/>
        <v/>
      </c>
      <c r="CX877" s="1130" t="str">
        <f t="shared" si="2891"/>
        <v/>
      </c>
      <c r="CY877" s="1130">
        <f t="shared" si="2891"/>
        <v>0</v>
      </c>
      <c r="CZ877" s="1130">
        <f t="shared" si="2891"/>
        <v>0</v>
      </c>
      <c r="DA877" s="1130">
        <f t="shared" si="2891"/>
        <v>0</v>
      </c>
      <c r="DB877" s="1131">
        <f t="shared" si="2891"/>
        <v>0</v>
      </c>
      <c r="DC877" s="1131">
        <f t="shared" si="2891"/>
        <v>0</v>
      </c>
      <c r="DD877" s="1131">
        <f t="shared" si="2891"/>
        <v>0</v>
      </c>
      <c r="DE877" s="1130">
        <f t="shared" si="2891"/>
        <v>0</v>
      </c>
      <c r="DF877" s="1130">
        <f t="shared" si="2891"/>
        <v>3.326810176125245E-3</v>
      </c>
      <c r="DG877" s="1130">
        <f t="shared" si="2891"/>
        <v>9.0731186621597574E-3</v>
      </c>
      <c r="DH877" s="1130" t="str">
        <f t="shared" si="2891"/>
        <v/>
      </c>
      <c r="DI877" s="1130" t="str">
        <f t="shared" si="2891"/>
        <v/>
      </c>
      <c r="DJ877" s="1129" t="str">
        <f t="shared" si="2884"/>
        <v/>
      </c>
      <c r="DK877" s="1200" t="str">
        <f t="shared" si="2812"/>
        <v/>
      </c>
      <c r="DL877" s="428">
        <f t="shared" si="2813"/>
        <v>9</v>
      </c>
      <c r="DM877" s="66">
        <f t="shared" si="2814"/>
        <v>9</v>
      </c>
      <c r="DN877" s="66">
        <f t="shared" si="2815"/>
        <v>9</v>
      </c>
      <c r="DO877" s="66">
        <f t="shared" si="2816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2907">SUM(D589)</f>
        <v>8.923679060665362E-3</v>
      </c>
      <c r="E878" s="899">
        <f t="shared" si="2907"/>
        <v>0</v>
      </c>
      <c r="F878" s="899">
        <f t="shared" si="2907"/>
        <v>1.487279843444227E-3</v>
      </c>
      <c r="G878" s="899">
        <f t="shared" si="2907"/>
        <v>1.6731898238747554E-3</v>
      </c>
      <c r="H878" s="899">
        <f t="shared" si="2907"/>
        <v>6.6927592954990215E-3</v>
      </c>
      <c r="I878" s="899">
        <f t="shared" si="2907"/>
        <v>0</v>
      </c>
      <c r="J878" s="899">
        <f t="shared" si="2907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2908">SUM(V589)</f>
        <v>0</v>
      </c>
      <c r="W878" s="899">
        <f t="shared" si="2908"/>
        <v>5.3542074363992177E-3</v>
      </c>
      <c r="X878" s="899">
        <f t="shared" si="2908"/>
        <v>6.6927592954990215E-3</v>
      </c>
      <c r="Y878" s="899">
        <f t="shared" si="2908"/>
        <v>3.0595471065138387E-2</v>
      </c>
      <c r="Z878" s="899">
        <f t="shared" si="2908"/>
        <v>4.461839530332681E-3</v>
      </c>
      <c r="AA878" s="899">
        <f t="shared" si="2908"/>
        <v>0</v>
      </c>
      <c r="AB878" s="899">
        <f t="shared" si="2908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2909">SUM(AN589)</f>
        <v>0</v>
      </c>
      <c r="AO878" s="899">
        <f t="shared" si="2909"/>
        <v>0</v>
      </c>
      <c r="AP878" s="899">
        <f t="shared" si="2909"/>
        <v>0</v>
      </c>
      <c r="AQ878" s="899">
        <f t="shared" si="2909"/>
        <v>0</v>
      </c>
      <c r="AR878" s="899">
        <f t="shared" si="2909"/>
        <v>0</v>
      </c>
      <c r="AS878" s="899">
        <f t="shared" si="2909"/>
        <v>0</v>
      </c>
      <c r="AT878" s="899">
        <f t="shared" si="2909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2910">SUM(BF589)</f>
        <v>0</v>
      </c>
      <c r="BG878" s="899">
        <f t="shared" si="2910"/>
        <v>0</v>
      </c>
      <c r="BH878" s="899">
        <f t="shared" si="2910"/>
        <v>0</v>
      </c>
      <c r="BI878" s="899">
        <f t="shared" si="2910"/>
        <v>0</v>
      </c>
      <c r="BJ878" s="899">
        <f t="shared" si="2910"/>
        <v>0</v>
      </c>
      <c r="BK878" s="899">
        <f t="shared" si="2910"/>
        <v>0</v>
      </c>
      <c r="BL878" s="899">
        <f t="shared" si="2910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2911">SUM(BV589)</f>
        <v>0</v>
      </c>
      <c r="BW878" s="899">
        <f t="shared" si="2911"/>
        <v>0</v>
      </c>
      <c r="BX878" s="899">
        <f t="shared" si="2911"/>
        <v>0</v>
      </c>
      <c r="BY878" s="899">
        <f t="shared" si="2911"/>
        <v>0</v>
      </c>
      <c r="BZ878" s="398">
        <f t="shared" si="2805"/>
        <v>4.8678062222932226E-3</v>
      </c>
      <c r="CA878" s="398">
        <f t="shared" si="2806"/>
        <v>2.3584008946044171E-3</v>
      </c>
      <c r="CB878" s="398">
        <f t="shared" si="2807"/>
        <v>0</v>
      </c>
      <c r="CC878" s="465">
        <f t="shared" si="2808"/>
        <v>0</v>
      </c>
      <c r="CD878" s="1114" t="str">
        <f t="shared" si="2890"/>
        <v/>
      </c>
      <c r="CE878" s="1115" t="str">
        <f t="shared" si="2890"/>
        <v/>
      </c>
      <c r="CF878" s="1116" t="str">
        <f t="shared" si="2890"/>
        <v/>
      </c>
      <c r="CG878" s="1116" t="str">
        <f t="shared" si="2890"/>
        <v/>
      </c>
      <c r="CH878" s="1116">
        <f t="shared" si="2890"/>
        <v>0</v>
      </c>
      <c r="CI878" s="1116">
        <f t="shared" si="2890"/>
        <v>0</v>
      </c>
      <c r="CJ878" s="1116">
        <f t="shared" si="2890"/>
        <v>0</v>
      </c>
      <c r="CK878" s="1117">
        <f t="shared" si="2890"/>
        <v>1.487279843444227E-3</v>
      </c>
      <c r="CL878" s="1117">
        <f t="shared" si="2890"/>
        <v>1.6731898238747554E-3</v>
      </c>
      <c r="CM878" s="1117">
        <f t="shared" si="2890"/>
        <v>6.6927592954990215E-3</v>
      </c>
      <c r="CN878" s="1116">
        <f t="shared" si="2890"/>
        <v>8.923679060665362E-3</v>
      </c>
      <c r="CO878" s="1116">
        <f t="shared" si="2890"/>
        <v>1.5297735532569193E-2</v>
      </c>
      <c r="CP878" s="1116">
        <f t="shared" si="2890"/>
        <v>1.7847358121330724E-2</v>
      </c>
      <c r="CQ878" s="1116" t="str">
        <f t="shared" si="2890"/>
        <v/>
      </c>
      <c r="CR878" s="1116" t="str">
        <f t="shared" si="2890"/>
        <v/>
      </c>
      <c r="CS878" s="1115" t="str">
        <f t="shared" si="2883"/>
        <v/>
      </c>
      <c r="CT878" s="1146" t="str">
        <f t="shared" si="2810"/>
        <v/>
      </c>
      <c r="CU878" s="1200" t="str">
        <f t="shared" si="2891"/>
        <v/>
      </c>
      <c r="CV878" s="1129" t="str">
        <f t="shared" si="2891"/>
        <v/>
      </c>
      <c r="CW878" s="1130" t="str">
        <f t="shared" si="2891"/>
        <v/>
      </c>
      <c r="CX878" s="1130" t="str">
        <f t="shared" si="2891"/>
        <v/>
      </c>
      <c r="CY878" s="1130">
        <f t="shared" si="2891"/>
        <v>0</v>
      </c>
      <c r="CZ878" s="1130">
        <f t="shared" si="2891"/>
        <v>0</v>
      </c>
      <c r="DA878" s="1130">
        <f t="shared" si="2891"/>
        <v>0</v>
      </c>
      <c r="DB878" s="1131">
        <f t="shared" si="2891"/>
        <v>0</v>
      </c>
      <c r="DC878" s="1131">
        <f t="shared" si="2891"/>
        <v>0</v>
      </c>
      <c r="DD878" s="1131">
        <f t="shared" si="2891"/>
        <v>4.461839530332681E-3</v>
      </c>
      <c r="DE878" s="1130">
        <f t="shared" si="2891"/>
        <v>5.3542074363992177E-3</v>
      </c>
      <c r="DF878" s="1130">
        <f t="shared" si="2891"/>
        <v>6.6927592954990215E-3</v>
      </c>
      <c r="DG878" s="1130">
        <f t="shared" si="2891"/>
        <v>3.0595471065138387E-2</v>
      </c>
      <c r="DH878" s="1130" t="str">
        <f t="shared" si="2891"/>
        <v/>
      </c>
      <c r="DI878" s="1130" t="str">
        <f t="shared" si="2891"/>
        <v/>
      </c>
      <c r="DJ878" s="1129" t="str">
        <f t="shared" si="2884"/>
        <v/>
      </c>
      <c r="DK878" s="1200" t="str">
        <f t="shared" si="2812"/>
        <v/>
      </c>
      <c r="DL878" s="428">
        <f t="shared" si="2813"/>
        <v>9</v>
      </c>
      <c r="DM878" s="66">
        <f t="shared" si="2814"/>
        <v>9</v>
      </c>
      <c r="DN878" s="66">
        <f t="shared" si="2815"/>
        <v>9</v>
      </c>
      <c r="DO878" s="66">
        <f t="shared" si="2816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2912">SUM(C596)</f>
        <v>0</v>
      </c>
      <c r="D879" s="581">
        <f t="shared" si="2912"/>
        <v>5.1663405088062629E-3</v>
      </c>
      <c r="E879" s="581">
        <f t="shared" si="2912"/>
        <v>8.6105675146771043E-3</v>
      </c>
      <c r="F879" s="581">
        <f t="shared" si="2912"/>
        <v>0</v>
      </c>
      <c r="G879" s="581">
        <f t="shared" si="2912"/>
        <v>7.534246575342466E-3</v>
      </c>
      <c r="H879" s="581">
        <f t="shared" si="2912"/>
        <v>3.4442270058708414E-3</v>
      </c>
      <c r="I879" s="581">
        <f t="shared" si="2912"/>
        <v>0</v>
      </c>
      <c r="J879" s="581">
        <f t="shared" si="2912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2913">SUM(U596)</f>
        <v>0</v>
      </c>
      <c r="V879" s="581">
        <f t="shared" si="2913"/>
        <v>1.7938682322243967E-4</v>
      </c>
      <c r="W879" s="581">
        <f t="shared" si="2913"/>
        <v>0</v>
      </c>
      <c r="X879" s="581">
        <f t="shared" si="2913"/>
        <v>0</v>
      </c>
      <c r="Y879" s="581">
        <f t="shared" si="2913"/>
        <v>0</v>
      </c>
      <c r="Z879" s="581">
        <f t="shared" si="2913"/>
        <v>0</v>
      </c>
      <c r="AA879" s="581">
        <f t="shared" si="2913"/>
        <v>0</v>
      </c>
      <c r="AB879" s="581">
        <f t="shared" si="2913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2914">SUM(AM596)</f>
        <v>0</v>
      </c>
      <c r="AN879" s="581">
        <f t="shared" si="2914"/>
        <v>1.9373776908023482E-3</v>
      </c>
      <c r="AO879" s="581">
        <f t="shared" si="2914"/>
        <v>0</v>
      </c>
      <c r="AP879" s="581">
        <f t="shared" si="2914"/>
        <v>0</v>
      </c>
      <c r="AQ879" s="581">
        <f t="shared" si="2914"/>
        <v>0</v>
      </c>
      <c r="AR879" s="581">
        <f t="shared" si="2914"/>
        <v>3.2289628180039143E-4</v>
      </c>
      <c r="AS879" s="581">
        <f t="shared" si="2914"/>
        <v>0</v>
      </c>
      <c r="AT879" s="581">
        <f t="shared" si="2914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2915">SUM(BE596)</f>
        <v>0</v>
      </c>
      <c r="BF879" s="581">
        <f t="shared" si="2915"/>
        <v>0</v>
      </c>
      <c r="BG879" s="581">
        <f t="shared" si="2915"/>
        <v>0</v>
      </c>
      <c r="BH879" s="581">
        <f t="shared" si="2915"/>
        <v>0</v>
      </c>
      <c r="BI879" s="581">
        <f t="shared" si="2915"/>
        <v>0</v>
      </c>
      <c r="BJ879" s="581">
        <f t="shared" si="2915"/>
        <v>0</v>
      </c>
      <c r="BK879" s="581">
        <f t="shared" si="2915"/>
        <v>0</v>
      </c>
      <c r="BL879" s="581">
        <f t="shared" si="2915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2805"/>
        <v>2.6016214705060106E-3</v>
      </c>
      <c r="CA879" s="398">
        <f t="shared" si="2806"/>
        <v>2.5626689031777095E-5</v>
      </c>
      <c r="CB879" s="398">
        <f t="shared" si="2807"/>
        <v>3.2289628180039149E-4</v>
      </c>
      <c r="CC879" s="465">
        <f t="shared" si="2808"/>
        <v>0</v>
      </c>
      <c r="CD879" s="1114" t="str">
        <f t="shared" si="2890"/>
        <v/>
      </c>
      <c r="CE879" s="1115" t="str">
        <f t="shared" si="2890"/>
        <v/>
      </c>
      <c r="CF879" s="1116" t="str">
        <f t="shared" si="2890"/>
        <v/>
      </c>
      <c r="CG879" s="1116" t="str">
        <f t="shared" si="2890"/>
        <v/>
      </c>
      <c r="CH879" s="1116">
        <f t="shared" si="2890"/>
        <v>0</v>
      </c>
      <c r="CI879" s="1116">
        <f t="shared" si="2890"/>
        <v>0</v>
      </c>
      <c r="CJ879" s="1116">
        <f t="shared" si="2890"/>
        <v>0</v>
      </c>
      <c r="CK879" s="1117">
        <f t="shared" si="2890"/>
        <v>0</v>
      </c>
      <c r="CL879" s="1117">
        <f t="shared" si="2890"/>
        <v>2.0665362035225047E-3</v>
      </c>
      <c r="CM879" s="1117">
        <f t="shared" si="2890"/>
        <v>3.4442270058708414E-3</v>
      </c>
      <c r="CN879" s="1116">
        <f t="shared" si="2890"/>
        <v>5.1663405088062629E-3</v>
      </c>
      <c r="CO879" s="1116">
        <f t="shared" si="2890"/>
        <v>7.534246575342466E-3</v>
      </c>
      <c r="CP879" s="1116">
        <f t="shared" si="2890"/>
        <v>8.6105675146771043E-3</v>
      </c>
      <c r="CQ879" s="1116" t="str">
        <f t="shared" si="2890"/>
        <v/>
      </c>
      <c r="CR879" s="1116" t="str">
        <f t="shared" si="2890"/>
        <v/>
      </c>
      <c r="CS879" s="1115" t="str">
        <f t="shared" si="2883"/>
        <v/>
      </c>
      <c r="CT879" s="1146" t="str">
        <f t="shared" si="2810"/>
        <v/>
      </c>
      <c r="CU879" s="1200" t="str">
        <f t="shared" si="2891"/>
        <v/>
      </c>
      <c r="CV879" s="1129" t="str">
        <f t="shared" si="2891"/>
        <v/>
      </c>
      <c r="CW879" s="1130" t="str">
        <f t="shared" si="2891"/>
        <v/>
      </c>
      <c r="CX879" s="1130" t="str">
        <f t="shared" si="2891"/>
        <v/>
      </c>
      <c r="CY879" s="1130">
        <f t="shared" si="2891"/>
        <v>0</v>
      </c>
      <c r="CZ879" s="1130">
        <f t="shared" si="2891"/>
        <v>0</v>
      </c>
      <c r="DA879" s="1130">
        <f t="shared" si="2891"/>
        <v>0</v>
      </c>
      <c r="DB879" s="1131">
        <f t="shared" si="2891"/>
        <v>0</v>
      </c>
      <c r="DC879" s="1131">
        <f t="shared" si="2891"/>
        <v>0</v>
      </c>
      <c r="DD879" s="1131">
        <f t="shared" si="2891"/>
        <v>0</v>
      </c>
      <c r="DE879" s="1130">
        <f t="shared" si="2891"/>
        <v>0</v>
      </c>
      <c r="DF879" s="1130">
        <f t="shared" si="2891"/>
        <v>1.7938682322243967E-4</v>
      </c>
      <c r="DG879" s="1130">
        <f t="shared" si="2891"/>
        <v>1.8451216102879507E-4</v>
      </c>
      <c r="DH879" s="1130" t="str">
        <f t="shared" si="2891"/>
        <v/>
      </c>
      <c r="DI879" s="1130" t="str">
        <f t="shared" si="2891"/>
        <v/>
      </c>
      <c r="DJ879" s="1129" t="str">
        <f t="shared" si="2884"/>
        <v/>
      </c>
      <c r="DK879" s="1200" t="str">
        <f t="shared" si="2812"/>
        <v/>
      </c>
      <c r="DL879" s="428">
        <f t="shared" si="2813"/>
        <v>9</v>
      </c>
      <c r="DM879" s="66">
        <f t="shared" si="2814"/>
        <v>9</v>
      </c>
      <c r="DN879" s="66">
        <f t="shared" si="2815"/>
        <v>9</v>
      </c>
      <c r="DO879" s="66">
        <f t="shared" si="2816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2916">SUM(C602)</f>
        <v>7.0822849687820332E-3</v>
      </c>
      <c r="D880" s="581">
        <f t="shared" si="2916"/>
        <v>0</v>
      </c>
      <c r="E880" s="581">
        <f t="shared" si="2916"/>
        <v>1.2807131985214175E-2</v>
      </c>
      <c r="F880" s="581">
        <f t="shared" si="2916"/>
        <v>0</v>
      </c>
      <c r="G880" s="581">
        <f t="shared" si="2916"/>
        <v>0</v>
      </c>
      <c r="H880" s="581">
        <f t="shared" si="2916"/>
        <v>0</v>
      </c>
      <c r="I880" s="581">
        <f t="shared" si="2916"/>
        <v>0</v>
      </c>
      <c r="J880" s="581">
        <f t="shared" si="2916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2917">SUM(U602)</f>
        <v>0</v>
      </c>
      <c r="V880" s="581">
        <f t="shared" si="2917"/>
        <v>0</v>
      </c>
      <c r="W880" s="581">
        <f t="shared" si="2917"/>
        <v>0</v>
      </c>
      <c r="X880" s="581">
        <f t="shared" si="2917"/>
        <v>0</v>
      </c>
      <c r="Y880" s="581">
        <f t="shared" si="2917"/>
        <v>0</v>
      </c>
      <c r="Z880" s="581">
        <f t="shared" si="2917"/>
        <v>0</v>
      </c>
      <c r="AA880" s="581">
        <f t="shared" si="2917"/>
        <v>0</v>
      </c>
      <c r="AB880" s="581">
        <f t="shared" si="2917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2918">SUM(AM602)</f>
        <v>0</v>
      </c>
      <c r="AN880" s="581">
        <f t="shared" si="2918"/>
        <v>0</v>
      </c>
      <c r="AO880" s="581">
        <f t="shared" si="2918"/>
        <v>0</v>
      </c>
      <c r="AP880" s="581">
        <f t="shared" si="2918"/>
        <v>2.4787997390737118E-3</v>
      </c>
      <c r="AQ880" s="581">
        <f t="shared" si="2918"/>
        <v>0</v>
      </c>
      <c r="AR880" s="581">
        <f t="shared" si="2918"/>
        <v>0</v>
      </c>
      <c r="AS880" s="581">
        <f t="shared" si="2918"/>
        <v>0</v>
      </c>
      <c r="AT880" s="581">
        <f t="shared" si="2918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2919">SUM(BE602)</f>
        <v>0</v>
      </c>
      <c r="BF880" s="581">
        <f t="shared" si="2919"/>
        <v>6.4448793215916506E-3</v>
      </c>
      <c r="BG880" s="581">
        <f t="shared" si="2919"/>
        <v>2.2309197651663405E-3</v>
      </c>
      <c r="BH880" s="581">
        <f t="shared" si="2919"/>
        <v>7.436399217221135E-4</v>
      </c>
      <c r="BI880" s="581">
        <f t="shared" si="2919"/>
        <v>0</v>
      </c>
      <c r="BJ880" s="581">
        <f t="shared" si="2919"/>
        <v>1.8590998043052837E-2</v>
      </c>
      <c r="BK880" s="581">
        <f t="shared" si="2919"/>
        <v>0</v>
      </c>
      <c r="BL880" s="581">
        <f t="shared" si="2919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2920">IF(DL880&lt;3,"",(SUM(B880:R880)-MIN(B880:R880)-MAX(B880:R880))/(DL880-2))</f>
        <v>1.0117549955402905E-3</v>
      </c>
      <c r="CA880" s="398">
        <f t="shared" si="2806"/>
        <v>0</v>
      </c>
      <c r="CB880" s="398">
        <f t="shared" si="2807"/>
        <v>0</v>
      </c>
      <c r="CC880" s="465">
        <f t="shared" si="2808"/>
        <v>1.4636722268816203E-3</v>
      </c>
      <c r="CD880" s="1114" t="str">
        <f t="shared" si="2890"/>
        <v/>
      </c>
      <c r="CE880" s="1115" t="str">
        <f t="shared" si="2890"/>
        <v/>
      </c>
      <c r="CF880" s="1116" t="str">
        <f t="shared" si="2890"/>
        <v/>
      </c>
      <c r="CG880" s="1116" t="str">
        <f t="shared" si="2890"/>
        <v/>
      </c>
      <c r="CH880" s="1116">
        <f t="shared" si="2890"/>
        <v>0</v>
      </c>
      <c r="CI880" s="1116">
        <f t="shared" si="2890"/>
        <v>0</v>
      </c>
      <c r="CJ880" s="1116">
        <f t="shared" si="2890"/>
        <v>0</v>
      </c>
      <c r="CK880" s="1117">
        <f t="shared" si="2890"/>
        <v>0</v>
      </c>
      <c r="CL880" s="1117">
        <f t="shared" si="2890"/>
        <v>0</v>
      </c>
      <c r="CM880" s="1117">
        <f t="shared" si="2890"/>
        <v>0</v>
      </c>
      <c r="CN880" s="1116">
        <f t="shared" si="2890"/>
        <v>0</v>
      </c>
      <c r="CO880" s="1116">
        <f t="shared" si="2890"/>
        <v>7.0822849687820332E-3</v>
      </c>
      <c r="CP880" s="1116">
        <f t="shared" si="2890"/>
        <v>1.2807131985214175E-2</v>
      </c>
      <c r="CQ880" s="1116" t="str">
        <f t="shared" si="2890"/>
        <v/>
      </c>
      <c r="CR880" s="1116" t="str">
        <f t="shared" si="2890"/>
        <v/>
      </c>
      <c r="CS880" s="1115" t="str">
        <f t="shared" si="2883"/>
        <v/>
      </c>
      <c r="CT880" s="1146" t="str">
        <f t="shared" si="2810"/>
        <v/>
      </c>
      <c r="CU880" s="1200" t="str">
        <f t="shared" si="2891"/>
        <v/>
      </c>
      <c r="CV880" s="1129" t="str">
        <f t="shared" si="2891"/>
        <v/>
      </c>
      <c r="CW880" s="1130" t="str">
        <f t="shared" si="2891"/>
        <v/>
      </c>
      <c r="CX880" s="1130" t="str">
        <f t="shared" si="2891"/>
        <v/>
      </c>
      <c r="CY880" s="1130">
        <f t="shared" si="2891"/>
        <v>0</v>
      </c>
      <c r="CZ880" s="1130">
        <f t="shared" si="2891"/>
        <v>0</v>
      </c>
      <c r="DA880" s="1130">
        <f t="shared" si="2891"/>
        <v>0</v>
      </c>
      <c r="DB880" s="1131">
        <f t="shared" si="2891"/>
        <v>0</v>
      </c>
      <c r="DC880" s="1131">
        <f t="shared" si="2891"/>
        <v>0</v>
      </c>
      <c r="DD880" s="1131">
        <f t="shared" si="2891"/>
        <v>0</v>
      </c>
      <c r="DE880" s="1130">
        <f t="shared" si="2891"/>
        <v>0</v>
      </c>
      <c r="DF880" s="1130">
        <f t="shared" si="2891"/>
        <v>0</v>
      </c>
      <c r="DG880" s="1130">
        <f t="shared" si="2891"/>
        <v>0</v>
      </c>
      <c r="DH880" s="1130" t="str">
        <f t="shared" si="2891"/>
        <v/>
      </c>
      <c r="DI880" s="1130" t="str">
        <f t="shared" si="2891"/>
        <v/>
      </c>
      <c r="DJ880" s="1129" t="str">
        <f t="shared" si="2884"/>
        <v/>
      </c>
      <c r="DK880" s="1200" t="str">
        <f t="shared" si="2812"/>
        <v/>
      </c>
      <c r="DL880" s="428">
        <f t="shared" si="2813"/>
        <v>9</v>
      </c>
      <c r="DM880" s="66">
        <f t="shared" si="2814"/>
        <v>9</v>
      </c>
      <c r="DN880" s="66">
        <f t="shared" si="2815"/>
        <v>9</v>
      </c>
      <c r="DO880" s="66">
        <f t="shared" si="2816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2921">SUM(C608)</f>
        <v>9.2144254962258886E-3</v>
      </c>
      <c r="D881" s="581">
        <f t="shared" si="2921"/>
        <v>5.3750815394651014E-3</v>
      </c>
      <c r="E881" s="581">
        <f t="shared" si="2921"/>
        <v>6.7188519243313767E-3</v>
      </c>
      <c r="F881" s="581">
        <f t="shared" si="2921"/>
        <v>0</v>
      </c>
      <c r="G881" s="581">
        <f t="shared" si="2921"/>
        <v>1.7133072407045011E-2</v>
      </c>
      <c r="H881" s="581">
        <f t="shared" si="2921"/>
        <v>4.0313111545988252E-3</v>
      </c>
      <c r="I881" s="581">
        <f t="shared" si="2921"/>
        <v>0</v>
      </c>
      <c r="J881" s="581">
        <f t="shared" si="2921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2922">SUM(U608)</f>
        <v>0</v>
      </c>
      <c r="V881" s="581">
        <f t="shared" si="2922"/>
        <v>2.0156555772994126E-3</v>
      </c>
      <c r="W881" s="581">
        <f t="shared" si="2922"/>
        <v>1.5318982387475539E-3</v>
      </c>
      <c r="X881" s="581">
        <f t="shared" si="2922"/>
        <v>4.0313111545988252E-3</v>
      </c>
      <c r="Y881" s="581">
        <f t="shared" si="2922"/>
        <v>4.6072127481129443E-3</v>
      </c>
      <c r="Z881" s="581">
        <f t="shared" si="2922"/>
        <v>4.0313111545988252E-3</v>
      </c>
      <c r="AA881" s="581">
        <f t="shared" si="2922"/>
        <v>4.8375733855185914E-3</v>
      </c>
      <c r="AB881" s="581">
        <f t="shared" si="2922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2923">SUM(AM608)</f>
        <v>6.7188519243313767E-3</v>
      </c>
      <c r="AN881" s="581">
        <f t="shared" si="2923"/>
        <v>6.0469667318982382E-3</v>
      </c>
      <c r="AO881" s="581">
        <f t="shared" si="2923"/>
        <v>2.2676125244618393E-2</v>
      </c>
      <c r="AP881" s="581">
        <f t="shared" si="2923"/>
        <v>1.3437703848662753E-2</v>
      </c>
      <c r="AQ881" s="581">
        <f t="shared" si="2923"/>
        <v>4.8375733855185905E-2</v>
      </c>
      <c r="AR881" s="581">
        <f t="shared" si="2923"/>
        <v>1.1086105675146771E-2</v>
      </c>
      <c r="AS881" s="581">
        <f t="shared" si="2923"/>
        <v>1.2093933463796476E-2</v>
      </c>
      <c r="AT881" s="581">
        <f t="shared" si="2923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2924">SUM(BE608)</f>
        <v>1.3101761252446184E-2</v>
      </c>
      <c r="BF881" s="581">
        <f t="shared" si="2924"/>
        <v>3.8700587084148731E-2</v>
      </c>
      <c r="BG881" s="581">
        <f t="shared" si="2924"/>
        <v>1.7334637964774951E-2</v>
      </c>
      <c r="BH881" s="581">
        <f t="shared" si="2924"/>
        <v>1.9350293542074366E-2</v>
      </c>
      <c r="BI881" s="581">
        <f t="shared" si="2924"/>
        <v>5.1831143416270617E-3</v>
      </c>
      <c r="BJ881" s="581">
        <f t="shared" si="2924"/>
        <v>6.0469667318982387E-2</v>
      </c>
      <c r="BK881" s="581">
        <f t="shared" si="2924"/>
        <v>4.0313111545988252E-3</v>
      </c>
      <c r="BL881" s="581">
        <f t="shared" si="2924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2920"/>
        <v>4.8951635448700025E-3</v>
      </c>
      <c r="CA881" s="398">
        <f t="shared" si="2806"/>
        <v>3.5014816885658366E-3</v>
      </c>
      <c r="CB881" s="398">
        <f t="shared" si="2807"/>
        <v>1.7409243398480188E-2</v>
      </c>
      <c r="CC881" s="465">
        <f t="shared" si="2808"/>
        <v>1.7028861642504358E-2</v>
      </c>
      <c r="CD881" s="1114" t="str">
        <f t="shared" si="2890"/>
        <v/>
      </c>
      <c r="CE881" s="1115" t="str">
        <f t="shared" si="2890"/>
        <v/>
      </c>
      <c r="CF881" s="1116" t="str">
        <f t="shared" si="2890"/>
        <v/>
      </c>
      <c r="CG881" s="1116" t="str">
        <f t="shared" si="2890"/>
        <v/>
      </c>
      <c r="CH881" s="1116">
        <f t="shared" si="2890"/>
        <v>0</v>
      </c>
      <c r="CI881" s="1116">
        <f t="shared" si="2890"/>
        <v>0</v>
      </c>
      <c r="CJ881" s="1116">
        <f t="shared" si="2890"/>
        <v>2.0156555772994126E-3</v>
      </c>
      <c r="CK881" s="1117">
        <f t="shared" si="2890"/>
        <v>4.0313111545988252E-3</v>
      </c>
      <c r="CL881" s="1117">
        <f t="shared" si="2890"/>
        <v>5.3750815394651014E-3</v>
      </c>
      <c r="CM881" s="1117">
        <f t="shared" si="2890"/>
        <v>6.7188519243313767E-3</v>
      </c>
      <c r="CN881" s="1116">
        <f t="shared" si="2890"/>
        <v>6.9108191221694155E-3</v>
      </c>
      <c r="CO881" s="1116">
        <f t="shared" si="2890"/>
        <v>9.2144254962258886E-3</v>
      </c>
      <c r="CP881" s="1116">
        <f t="shared" si="2890"/>
        <v>1.7133072407045011E-2</v>
      </c>
      <c r="CQ881" s="1116" t="str">
        <f t="shared" si="2890"/>
        <v/>
      </c>
      <c r="CR881" s="1116" t="str">
        <f t="shared" si="2890"/>
        <v/>
      </c>
      <c r="CS881" s="1115" t="str">
        <f t="shared" si="2883"/>
        <v/>
      </c>
      <c r="CT881" s="1146" t="str">
        <f t="shared" si="2810"/>
        <v/>
      </c>
      <c r="CU881" s="1200" t="str">
        <f t="shared" si="2891"/>
        <v/>
      </c>
      <c r="CV881" s="1129" t="str">
        <f t="shared" si="2891"/>
        <v/>
      </c>
      <c r="CW881" s="1130" t="str">
        <f t="shared" si="2891"/>
        <v/>
      </c>
      <c r="CX881" s="1130" t="str">
        <f t="shared" si="2891"/>
        <v/>
      </c>
      <c r="CY881" s="1130">
        <f t="shared" si="2891"/>
        <v>0</v>
      </c>
      <c r="CZ881" s="1130">
        <f t="shared" si="2891"/>
        <v>1.5318982387475539E-3</v>
      </c>
      <c r="DA881" s="1130">
        <f t="shared" si="2891"/>
        <v>2.0156555772994126E-3</v>
      </c>
      <c r="DB881" s="1131">
        <f t="shared" si="2891"/>
        <v>3.4554095610847078E-3</v>
      </c>
      <c r="DC881" s="1131">
        <f t="shared" si="2891"/>
        <v>4.0313111545988252E-3</v>
      </c>
      <c r="DD881" s="1131">
        <f t="shared" si="2891"/>
        <v>4.0313111545988252E-3</v>
      </c>
      <c r="DE881" s="1130">
        <f t="shared" si="2891"/>
        <v>4.6072127481129443E-3</v>
      </c>
      <c r="DF881" s="1130">
        <f t="shared" si="2891"/>
        <v>4.8375733855185914E-3</v>
      </c>
      <c r="DG881" s="1130">
        <f t="shared" si="2891"/>
        <v>1.5117416829745597E-2</v>
      </c>
      <c r="DH881" s="1130" t="str">
        <f t="shared" si="2891"/>
        <v/>
      </c>
      <c r="DI881" s="1130" t="str">
        <f t="shared" si="2891"/>
        <v/>
      </c>
      <c r="DJ881" s="1129" t="str">
        <f t="shared" si="2884"/>
        <v/>
      </c>
      <c r="DK881" s="1200" t="str">
        <f t="shared" si="2812"/>
        <v/>
      </c>
      <c r="DL881" s="428">
        <f t="shared" si="2813"/>
        <v>9</v>
      </c>
      <c r="DM881" s="66">
        <f t="shared" si="2814"/>
        <v>9</v>
      </c>
      <c r="DN881" s="66">
        <f t="shared" si="2815"/>
        <v>9</v>
      </c>
      <c r="DO881" s="66">
        <f t="shared" si="2816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2925">SUM(C614)</f>
        <v>0</v>
      </c>
      <c r="D882" s="581">
        <f t="shared" si="2925"/>
        <v>0</v>
      </c>
      <c r="E882" s="581">
        <f t="shared" si="2925"/>
        <v>0</v>
      </c>
      <c r="F882" s="581">
        <f t="shared" si="2925"/>
        <v>0</v>
      </c>
      <c r="G882" s="581">
        <f t="shared" si="2925"/>
        <v>0</v>
      </c>
      <c r="H882" s="581">
        <f t="shared" si="2925"/>
        <v>0</v>
      </c>
      <c r="I882" s="581">
        <f t="shared" si="2925"/>
        <v>0</v>
      </c>
      <c r="J882" s="581">
        <f t="shared" si="2925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2926">SUM(U614)</f>
        <v>0</v>
      </c>
      <c r="V882" s="581">
        <f t="shared" si="2926"/>
        <v>0</v>
      </c>
      <c r="W882" s="581">
        <f t="shared" si="2926"/>
        <v>0</v>
      </c>
      <c r="X882" s="581">
        <f t="shared" si="2926"/>
        <v>0</v>
      </c>
      <c r="Y882" s="581">
        <f t="shared" si="2926"/>
        <v>0</v>
      </c>
      <c r="Z882" s="581">
        <f t="shared" si="2926"/>
        <v>0</v>
      </c>
      <c r="AA882" s="581">
        <f t="shared" si="2926"/>
        <v>0</v>
      </c>
      <c r="AB882" s="581">
        <f t="shared" si="2926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2927">SUM(AM614)</f>
        <v>1.7025440313111546E-2</v>
      </c>
      <c r="AN882" s="581">
        <f t="shared" si="2927"/>
        <v>0</v>
      </c>
      <c r="AO882" s="581">
        <f t="shared" si="2927"/>
        <v>6.8101761252446186E-2</v>
      </c>
      <c r="AP882" s="581">
        <f t="shared" si="2927"/>
        <v>3.0267449445531638E-2</v>
      </c>
      <c r="AQ882" s="581">
        <f t="shared" si="2927"/>
        <v>0.10593607305936073</v>
      </c>
      <c r="AR882" s="581">
        <f t="shared" si="2927"/>
        <v>0</v>
      </c>
      <c r="AS882" s="581">
        <f t="shared" si="2927"/>
        <v>3.4050880626223093E-2</v>
      </c>
      <c r="AT882" s="581">
        <f t="shared" si="2927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2928">SUM(BE614)</f>
        <v>0</v>
      </c>
      <c r="BF882" s="581">
        <f t="shared" si="2928"/>
        <v>0</v>
      </c>
      <c r="BG882" s="581">
        <f t="shared" si="2928"/>
        <v>1.1350293542074364E-2</v>
      </c>
      <c r="BH882" s="581">
        <f t="shared" si="2928"/>
        <v>0</v>
      </c>
      <c r="BI882" s="581">
        <f t="shared" si="2928"/>
        <v>0</v>
      </c>
      <c r="BJ882" s="581">
        <f t="shared" si="2928"/>
        <v>1.589041095890411E-2</v>
      </c>
      <c r="BK882" s="581">
        <f t="shared" si="2928"/>
        <v>2.2700587084148727E-2</v>
      </c>
      <c r="BL882" s="581">
        <f t="shared" si="2928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2920"/>
        <v>0</v>
      </c>
      <c r="CA882" s="398">
        <f t="shared" si="2806"/>
        <v>0</v>
      </c>
      <c r="CB882" s="398">
        <f t="shared" si="2807"/>
        <v>2.276446319499157E-2</v>
      </c>
      <c r="CC882" s="465">
        <f t="shared" si="2808"/>
        <v>9.8369210697977806E-3</v>
      </c>
      <c r="CD882" s="1114" t="str">
        <f t="shared" si="2890"/>
        <v/>
      </c>
      <c r="CE882" s="1115" t="str">
        <f t="shared" si="2890"/>
        <v/>
      </c>
      <c r="CF882" s="1116" t="str">
        <f t="shared" si="2890"/>
        <v/>
      </c>
      <c r="CG882" s="1116" t="str">
        <f t="shared" si="2890"/>
        <v/>
      </c>
      <c r="CH882" s="1116">
        <f t="shared" si="2890"/>
        <v>0</v>
      </c>
      <c r="CI882" s="1116">
        <f t="shared" si="2890"/>
        <v>0</v>
      </c>
      <c r="CJ882" s="1116">
        <f t="shared" si="2890"/>
        <v>0</v>
      </c>
      <c r="CK882" s="1117">
        <f t="shared" si="2890"/>
        <v>0</v>
      </c>
      <c r="CL882" s="1117">
        <f t="shared" si="2890"/>
        <v>0</v>
      </c>
      <c r="CM882" s="1117">
        <f t="shared" si="2890"/>
        <v>0</v>
      </c>
      <c r="CN882" s="1116">
        <f t="shared" si="2890"/>
        <v>0</v>
      </c>
      <c r="CO882" s="1116">
        <f t="shared" si="2890"/>
        <v>0</v>
      </c>
      <c r="CP882" s="1116">
        <f t="shared" si="2890"/>
        <v>0</v>
      </c>
      <c r="CQ882" s="1116" t="str">
        <f t="shared" si="2890"/>
        <v/>
      </c>
      <c r="CR882" s="1116" t="str">
        <f t="shared" si="2890"/>
        <v/>
      </c>
      <c r="CS882" s="1115" t="str">
        <f t="shared" si="2883"/>
        <v/>
      </c>
      <c r="CT882" s="1146" t="str">
        <f t="shared" si="2810"/>
        <v/>
      </c>
      <c r="CU882" s="1200" t="str">
        <f t="shared" si="2891"/>
        <v/>
      </c>
      <c r="CV882" s="1129" t="str">
        <f t="shared" si="2891"/>
        <v/>
      </c>
      <c r="CW882" s="1130" t="str">
        <f t="shared" si="2891"/>
        <v/>
      </c>
      <c r="CX882" s="1130" t="str">
        <f t="shared" si="2891"/>
        <v/>
      </c>
      <c r="CY882" s="1130">
        <f t="shared" si="2891"/>
        <v>0</v>
      </c>
      <c r="CZ882" s="1130">
        <f t="shared" si="2891"/>
        <v>0</v>
      </c>
      <c r="DA882" s="1130">
        <f t="shared" si="2891"/>
        <v>0</v>
      </c>
      <c r="DB882" s="1131">
        <f t="shared" si="2891"/>
        <v>0</v>
      </c>
      <c r="DC882" s="1131">
        <f t="shared" si="2891"/>
        <v>0</v>
      </c>
      <c r="DD882" s="1131">
        <f t="shared" si="2891"/>
        <v>0</v>
      </c>
      <c r="DE882" s="1130">
        <f t="shared" si="2891"/>
        <v>0</v>
      </c>
      <c r="DF882" s="1130">
        <f t="shared" si="2891"/>
        <v>0</v>
      </c>
      <c r="DG882" s="1130">
        <f t="shared" si="2891"/>
        <v>0</v>
      </c>
      <c r="DH882" s="1130" t="str">
        <f t="shared" si="2891"/>
        <v/>
      </c>
      <c r="DI882" s="1130" t="str">
        <f t="shared" si="2891"/>
        <v/>
      </c>
      <c r="DJ882" s="1129" t="str">
        <f t="shared" si="2884"/>
        <v/>
      </c>
      <c r="DK882" s="1200" t="str">
        <f t="shared" si="2812"/>
        <v/>
      </c>
      <c r="DL882" s="428">
        <f t="shared" si="2813"/>
        <v>9</v>
      </c>
      <c r="DM882" s="66">
        <f t="shared" si="2814"/>
        <v>9</v>
      </c>
      <c r="DN882" s="66">
        <f t="shared" si="2815"/>
        <v>9</v>
      </c>
      <c r="DO882" s="66">
        <f t="shared" si="2816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2929">SUM(C620)</f>
        <v>0</v>
      </c>
      <c r="D883" s="581">
        <f t="shared" si="2929"/>
        <v>5.0358773646444876E-3</v>
      </c>
      <c r="E883" s="581">
        <f t="shared" si="2929"/>
        <v>0</v>
      </c>
      <c r="F883" s="581">
        <f t="shared" si="2929"/>
        <v>0</v>
      </c>
      <c r="G883" s="581">
        <f t="shared" si="2929"/>
        <v>0</v>
      </c>
      <c r="H883" s="581">
        <f t="shared" si="2929"/>
        <v>0</v>
      </c>
      <c r="I883" s="581">
        <f t="shared" si="2929"/>
        <v>0</v>
      </c>
      <c r="J883" s="581">
        <f t="shared" si="2929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2930">SUM(U620)</f>
        <v>0</v>
      </c>
      <c r="V883" s="581">
        <f t="shared" si="2930"/>
        <v>0</v>
      </c>
      <c r="W883" s="581">
        <f t="shared" si="2930"/>
        <v>0</v>
      </c>
      <c r="X883" s="581">
        <f t="shared" si="2930"/>
        <v>0</v>
      </c>
      <c r="Y883" s="581">
        <f t="shared" si="2930"/>
        <v>0</v>
      </c>
      <c r="Z883" s="581">
        <f t="shared" si="2930"/>
        <v>1.1330724070450097E-2</v>
      </c>
      <c r="AA883" s="581">
        <f t="shared" si="2930"/>
        <v>3.7769080234833661E-3</v>
      </c>
      <c r="AB883" s="581">
        <f t="shared" si="2930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2931">SUM(AM620)</f>
        <v>0</v>
      </c>
      <c r="AN883" s="581">
        <f t="shared" si="2931"/>
        <v>0</v>
      </c>
      <c r="AO883" s="581">
        <f t="shared" si="2931"/>
        <v>0</v>
      </c>
      <c r="AP883" s="581">
        <f t="shared" si="2931"/>
        <v>0</v>
      </c>
      <c r="AQ883" s="581">
        <f t="shared" si="2931"/>
        <v>0</v>
      </c>
      <c r="AR883" s="581">
        <f t="shared" si="2931"/>
        <v>0</v>
      </c>
      <c r="AS883" s="581">
        <f t="shared" si="2931"/>
        <v>0</v>
      </c>
      <c r="AT883" s="581">
        <f t="shared" si="2931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2932">SUM(BE620)</f>
        <v>0</v>
      </c>
      <c r="BF883" s="581">
        <f t="shared" si="2932"/>
        <v>0</v>
      </c>
      <c r="BG883" s="581">
        <f t="shared" si="2932"/>
        <v>0</v>
      </c>
      <c r="BH883" s="581">
        <f t="shared" si="2932"/>
        <v>0</v>
      </c>
      <c r="BI883" s="581">
        <f t="shared" si="2932"/>
        <v>0</v>
      </c>
      <c r="BJ883" s="581">
        <f t="shared" si="2932"/>
        <v>0</v>
      </c>
      <c r="BK883" s="581">
        <f t="shared" si="2932"/>
        <v>0</v>
      </c>
      <c r="BL883" s="581">
        <f t="shared" si="2932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2920"/>
        <v>7.194110520920699E-4</v>
      </c>
      <c r="CA883" s="398">
        <f t="shared" si="2806"/>
        <v>5.3955828906905243E-4</v>
      </c>
      <c r="CB883" s="398">
        <f t="shared" si="2807"/>
        <v>0</v>
      </c>
      <c r="CC883" s="465">
        <f t="shared" si="2808"/>
        <v>0</v>
      </c>
      <c r="CD883" s="1114" t="str">
        <f t="shared" si="2890"/>
        <v/>
      </c>
      <c r="CE883" s="1115" t="str">
        <f t="shared" si="2890"/>
        <v/>
      </c>
      <c r="CF883" s="1116" t="str">
        <f t="shared" si="2890"/>
        <v/>
      </c>
      <c r="CG883" s="1116" t="str">
        <f t="shared" si="2890"/>
        <v/>
      </c>
      <c r="CH883" s="1116">
        <f t="shared" si="2890"/>
        <v>0</v>
      </c>
      <c r="CI883" s="1116">
        <f t="shared" si="2890"/>
        <v>0</v>
      </c>
      <c r="CJ883" s="1116">
        <f t="shared" si="2890"/>
        <v>0</v>
      </c>
      <c r="CK883" s="1117">
        <f t="shared" si="2890"/>
        <v>0</v>
      </c>
      <c r="CL883" s="1117">
        <f t="shared" si="2890"/>
        <v>0</v>
      </c>
      <c r="CM883" s="1117">
        <f t="shared" si="2890"/>
        <v>0</v>
      </c>
      <c r="CN883" s="1116">
        <f t="shared" si="2890"/>
        <v>0</v>
      </c>
      <c r="CO883" s="1116">
        <f t="shared" si="2890"/>
        <v>5.0358773646444876E-3</v>
      </c>
      <c r="CP883" s="1116">
        <f t="shared" si="2890"/>
        <v>3.4531730500419348E-2</v>
      </c>
      <c r="CQ883" s="1116" t="str">
        <f t="shared" si="2890"/>
        <v/>
      </c>
      <c r="CR883" s="1116" t="str">
        <f t="shared" si="2890"/>
        <v/>
      </c>
      <c r="CS883" s="1115" t="str">
        <f t="shared" si="2883"/>
        <v/>
      </c>
      <c r="CT883" s="1146" t="str">
        <f t="shared" si="2810"/>
        <v/>
      </c>
      <c r="CU883" s="1200" t="str">
        <f t="shared" si="2891"/>
        <v/>
      </c>
      <c r="CV883" s="1129" t="str">
        <f t="shared" si="2891"/>
        <v/>
      </c>
      <c r="CW883" s="1130" t="str">
        <f t="shared" si="2891"/>
        <v/>
      </c>
      <c r="CX883" s="1130" t="str">
        <f t="shared" si="2891"/>
        <v/>
      </c>
      <c r="CY883" s="1130">
        <f t="shared" si="2891"/>
        <v>0</v>
      </c>
      <c r="CZ883" s="1130">
        <f t="shared" si="2891"/>
        <v>0</v>
      </c>
      <c r="DA883" s="1130">
        <f t="shared" si="2891"/>
        <v>0</v>
      </c>
      <c r="DB883" s="1131">
        <f t="shared" si="2891"/>
        <v>0</v>
      </c>
      <c r="DC883" s="1131">
        <f t="shared" si="2891"/>
        <v>0</v>
      </c>
      <c r="DD883" s="1131">
        <f t="shared" si="2891"/>
        <v>0</v>
      </c>
      <c r="DE883" s="1130">
        <f t="shared" si="2891"/>
        <v>0</v>
      </c>
      <c r="DF883" s="1130">
        <f t="shared" si="2891"/>
        <v>3.7769080234833661E-3</v>
      </c>
      <c r="DG883" s="1130">
        <f t="shared" si="2891"/>
        <v>1.1330724070450097E-2</v>
      </c>
      <c r="DH883" s="1130" t="str">
        <f t="shared" si="2891"/>
        <v/>
      </c>
      <c r="DI883" s="1130" t="str">
        <f t="shared" si="2891"/>
        <v/>
      </c>
      <c r="DJ883" s="1129" t="str">
        <f t="shared" si="2884"/>
        <v/>
      </c>
      <c r="DK883" s="1200" t="str">
        <f t="shared" si="2812"/>
        <v/>
      </c>
      <c r="DL883" s="428">
        <f t="shared" si="2813"/>
        <v>9</v>
      </c>
      <c r="DM883" s="66">
        <f t="shared" si="2814"/>
        <v>9</v>
      </c>
      <c r="DN883" s="66">
        <f t="shared" si="2815"/>
        <v>9</v>
      </c>
      <c r="DO883" s="66">
        <f t="shared" si="2816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2933">SUM(C626)</f>
        <v>0</v>
      </c>
      <c r="D884" s="581">
        <f t="shared" si="2933"/>
        <v>0</v>
      </c>
      <c r="E884" s="581">
        <f t="shared" si="2933"/>
        <v>0</v>
      </c>
      <c r="F884" s="581">
        <f t="shared" si="2933"/>
        <v>3.6855838225701237E-2</v>
      </c>
      <c r="G884" s="581">
        <f t="shared" si="2933"/>
        <v>3.3170254403131115E-2</v>
      </c>
      <c r="H884" s="581">
        <f t="shared" si="2933"/>
        <v>0</v>
      </c>
      <c r="I884" s="581">
        <f t="shared" si="2933"/>
        <v>8.8454011741682978E-2</v>
      </c>
      <c r="J884" s="581">
        <f t="shared" si="2933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2934">SUM(U626)</f>
        <v>4.0206368973492264E-3</v>
      </c>
      <c r="V884" s="581">
        <f t="shared" si="2934"/>
        <v>3.6855838225701241E-3</v>
      </c>
      <c r="W884" s="581">
        <f t="shared" si="2934"/>
        <v>1.4152641878669275E-2</v>
      </c>
      <c r="X884" s="581">
        <f t="shared" si="2934"/>
        <v>2.7641878669275928E-2</v>
      </c>
      <c r="Y884" s="581">
        <f t="shared" si="2934"/>
        <v>7.5817724350013983E-3</v>
      </c>
      <c r="Z884" s="581">
        <f t="shared" si="2934"/>
        <v>1.6585127201565557E-3</v>
      </c>
      <c r="AA884" s="581">
        <f t="shared" si="2934"/>
        <v>4.4227005870841494E-3</v>
      </c>
      <c r="AB884" s="581">
        <f t="shared" si="2934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2935">SUM(AM626)</f>
        <v>1.6585127201565558E-2</v>
      </c>
      <c r="AN884" s="581">
        <f t="shared" si="2935"/>
        <v>5.5283757338551861E-3</v>
      </c>
      <c r="AO884" s="581">
        <f t="shared" si="2935"/>
        <v>0</v>
      </c>
      <c r="AP884" s="581">
        <f t="shared" si="2935"/>
        <v>0</v>
      </c>
      <c r="AQ884" s="581">
        <f t="shared" si="2935"/>
        <v>2.9484670580560993E-2</v>
      </c>
      <c r="AR884" s="581">
        <f t="shared" si="2935"/>
        <v>3.3170254403131115E-2</v>
      </c>
      <c r="AS884" s="581">
        <f t="shared" si="2935"/>
        <v>5.5283757338551861E-3</v>
      </c>
      <c r="AT884" s="581">
        <f t="shared" si="2935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2936">SUM(BE626)</f>
        <v>0</v>
      </c>
      <c r="BF884" s="581">
        <f t="shared" si="2936"/>
        <v>0</v>
      </c>
      <c r="BG884" s="581">
        <f t="shared" si="2936"/>
        <v>0</v>
      </c>
      <c r="BH884" s="581">
        <f t="shared" si="2936"/>
        <v>0</v>
      </c>
      <c r="BI884" s="581">
        <f t="shared" si="2936"/>
        <v>3.7908862175006997E-2</v>
      </c>
      <c r="BJ884" s="581">
        <f t="shared" si="2936"/>
        <v>0</v>
      </c>
      <c r="BK884" s="581">
        <f t="shared" si="2936"/>
        <v>0</v>
      </c>
      <c r="BL884" s="581">
        <f t="shared" si="2936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2920"/>
        <v>1.5419279257691338E-2</v>
      </c>
      <c r="CA884" s="398">
        <f t="shared" si="2806"/>
        <v>6.8797336760713897E-3</v>
      </c>
      <c r="CB884" s="398">
        <f t="shared" si="2807"/>
        <v>1.2899543378995432E-2</v>
      </c>
      <c r="CC884" s="465">
        <f t="shared" si="2808"/>
        <v>0</v>
      </c>
      <c r="CD884" s="1114" t="str">
        <f t="shared" si="2890"/>
        <v/>
      </c>
      <c r="CE884" s="1115" t="str">
        <f t="shared" si="2890"/>
        <v/>
      </c>
      <c r="CF884" s="1116" t="str">
        <f t="shared" si="2890"/>
        <v/>
      </c>
      <c r="CG884" s="1116" t="str">
        <f t="shared" si="2890"/>
        <v/>
      </c>
      <c r="CH884" s="1116">
        <f t="shared" si="2890"/>
        <v>0</v>
      </c>
      <c r="CI884" s="1116">
        <f t="shared" si="2890"/>
        <v>0</v>
      </c>
      <c r="CJ884" s="1116">
        <f t="shared" si="2890"/>
        <v>0</v>
      </c>
      <c r="CK884" s="1117">
        <f t="shared" si="2890"/>
        <v>0</v>
      </c>
      <c r="CL884" s="1117">
        <f t="shared" si="2890"/>
        <v>1.7690802348336598E-2</v>
      </c>
      <c r="CM884" s="1117">
        <f t="shared" si="2890"/>
        <v>2.0218059826670395E-2</v>
      </c>
      <c r="CN884" s="1116">
        <f t="shared" si="2890"/>
        <v>3.3170254403131115E-2</v>
      </c>
      <c r="CO884" s="1116">
        <f t="shared" si="2890"/>
        <v>3.6855838225701237E-2</v>
      </c>
      <c r="CP884" s="1116">
        <f t="shared" si="2890"/>
        <v>8.8454011741682978E-2</v>
      </c>
      <c r="CQ884" s="1116" t="str">
        <f t="shared" si="2890"/>
        <v/>
      </c>
      <c r="CR884" s="1116" t="str">
        <f t="shared" si="2890"/>
        <v/>
      </c>
      <c r="CS884" s="1115" t="str">
        <f t="shared" si="2883"/>
        <v/>
      </c>
      <c r="CT884" s="1146" t="str">
        <f t="shared" si="2810"/>
        <v/>
      </c>
      <c r="CU884" s="1200" t="str">
        <f t="shared" si="2891"/>
        <v/>
      </c>
      <c r="CV884" s="1129" t="str">
        <f t="shared" si="2891"/>
        <v/>
      </c>
      <c r="CW884" s="1130" t="str">
        <f t="shared" si="2891"/>
        <v/>
      </c>
      <c r="CX884" s="1130" t="str">
        <f t="shared" si="2891"/>
        <v/>
      </c>
      <c r="CY884" s="1130">
        <f t="shared" si="2891"/>
        <v>0</v>
      </c>
      <c r="CZ884" s="1130">
        <f t="shared" si="2891"/>
        <v>1.6585127201565557E-3</v>
      </c>
      <c r="DA884" s="1130">
        <f t="shared" si="2891"/>
        <v>3.6855838225701241E-3</v>
      </c>
      <c r="DB884" s="1131">
        <f t="shared" si="2891"/>
        <v>4.0206368973492264E-3</v>
      </c>
      <c r="DC884" s="1131">
        <f t="shared" si="2891"/>
        <v>4.4227005870841494E-3</v>
      </c>
      <c r="DD884" s="1131">
        <f t="shared" si="2891"/>
        <v>7.5817724350013983E-3</v>
      </c>
      <c r="DE884" s="1130">
        <f t="shared" si="2891"/>
        <v>1.2636287391668997E-2</v>
      </c>
      <c r="DF884" s="1130">
        <f t="shared" si="2891"/>
        <v>1.4152641878669275E-2</v>
      </c>
      <c r="DG884" s="1130">
        <f t="shared" si="2891"/>
        <v>2.7641878669275928E-2</v>
      </c>
      <c r="DH884" s="1130" t="str">
        <f t="shared" si="2891"/>
        <v/>
      </c>
      <c r="DI884" s="1130" t="str">
        <f t="shared" si="2891"/>
        <v/>
      </c>
      <c r="DJ884" s="1129" t="str">
        <f t="shared" si="2884"/>
        <v/>
      </c>
      <c r="DK884" s="1200" t="str">
        <f t="shared" si="2812"/>
        <v/>
      </c>
      <c r="DL884" s="428">
        <f t="shared" si="2813"/>
        <v>9</v>
      </c>
      <c r="DM884" s="66">
        <f t="shared" si="2814"/>
        <v>9</v>
      </c>
      <c r="DN884" s="66">
        <f t="shared" si="2815"/>
        <v>9</v>
      </c>
      <c r="DO884" s="66">
        <f t="shared" si="2816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2937">SUM(C632)</f>
        <v>0</v>
      </c>
      <c r="D885" s="581">
        <f t="shared" si="2937"/>
        <v>0</v>
      </c>
      <c r="E885" s="581">
        <f t="shared" si="2937"/>
        <v>0</v>
      </c>
      <c r="F885" s="581">
        <f t="shared" si="2937"/>
        <v>0</v>
      </c>
      <c r="G885" s="581">
        <f t="shared" si="2937"/>
        <v>1.5753424657534247E-3</v>
      </c>
      <c r="H885" s="581">
        <f t="shared" si="2937"/>
        <v>0</v>
      </c>
      <c r="I885" s="581">
        <f t="shared" si="2937"/>
        <v>0</v>
      </c>
      <c r="J885" s="581">
        <f t="shared" si="2937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2938">SUM(U632)</f>
        <v>2.6187511119017967E-3</v>
      </c>
      <c r="V885" s="581">
        <f t="shared" si="2938"/>
        <v>6.7514677103718197E-4</v>
      </c>
      <c r="W885" s="581">
        <f t="shared" si="2938"/>
        <v>0</v>
      </c>
      <c r="X885" s="581">
        <f t="shared" si="2938"/>
        <v>0</v>
      </c>
      <c r="Y885" s="581">
        <f t="shared" si="2938"/>
        <v>0</v>
      </c>
      <c r="Z885" s="581">
        <f t="shared" si="2938"/>
        <v>0</v>
      </c>
      <c r="AA885" s="581">
        <f t="shared" si="2938"/>
        <v>0</v>
      </c>
      <c r="AB885" s="581">
        <f t="shared" si="2938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2939">SUM(AM632)</f>
        <v>0</v>
      </c>
      <c r="AN885" s="581">
        <f t="shared" si="2939"/>
        <v>1.0127201565557731E-3</v>
      </c>
      <c r="AO885" s="581">
        <f t="shared" si="2939"/>
        <v>0</v>
      </c>
      <c r="AP885" s="581">
        <f t="shared" si="2939"/>
        <v>0</v>
      </c>
      <c r="AQ885" s="581">
        <f t="shared" si="2939"/>
        <v>0</v>
      </c>
      <c r="AR885" s="581">
        <f t="shared" si="2939"/>
        <v>0</v>
      </c>
      <c r="AS885" s="581">
        <f t="shared" si="2939"/>
        <v>0</v>
      </c>
      <c r="AT885" s="581">
        <f t="shared" si="2939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2940">SUM(BE632)</f>
        <v>0</v>
      </c>
      <c r="BF885" s="581">
        <f t="shared" si="2940"/>
        <v>0</v>
      </c>
      <c r="BG885" s="581">
        <f t="shared" si="2940"/>
        <v>0</v>
      </c>
      <c r="BH885" s="581">
        <f t="shared" si="2940"/>
        <v>0</v>
      </c>
      <c r="BI885" s="581">
        <f t="shared" si="2940"/>
        <v>0</v>
      </c>
      <c r="BJ885" s="581">
        <f t="shared" si="2940"/>
        <v>0</v>
      </c>
      <c r="BK885" s="581">
        <f t="shared" si="2940"/>
        <v>0</v>
      </c>
      <c r="BL885" s="581">
        <f t="shared" si="2940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2920"/>
        <v>5.1439753983785292E-5</v>
      </c>
      <c r="CA885" s="398">
        <f t="shared" si="2806"/>
        <v>9.6449538719597399E-5</v>
      </c>
      <c r="CB885" s="398">
        <f t="shared" si="2807"/>
        <v>0</v>
      </c>
      <c r="CC885" s="465">
        <f t="shared" si="2808"/>
        <v>0</v>
      </c>
      <c r="CD885" s="1114" t="str">
        <f t="shared" si="2890"/>
        <v/>
      </c>
      <c r="CE885" s="1115" t="str">
        <f t="shared" si="2890"/>
        <v/>
      </c>
      <c r="CF885" s="1116" t="str">
        <f t="shared" si="2890"/>
        <v/>
      </c>
      <c r="CG885" s="1116" t="str">
        <f t="shared" si="2890"/>
        <v/>
      </c>
      <c r="CH885" s="1116">
        <f t="shared" si="2890"/>
        <v>0</v>
      </c>
      <c r="CI885" s="1116">
        <f t="shared" si="2890"/>
        <v>0</v>
      </c>
      <c r="CJ885" s="1116">
        <f t="shared" si="2890"/>
        <v>0</v>
      </c>
      <c r="CK885" s="1117">
        <f t="shared" si="2890"/>
        <v>0</v>
      </c>
      <c r="CL885" s="1117">
        <f t="shared" si="2890"/>
        <v>0</v>
      </c>
      <c r="CM885" s="1117">
        <f t="shared" si="2890"/>
        <v>0</v>
      </c>
      <c r="CN885" s="1116">
        <f t="shared" si="2890"/>
        <v>0</v>
      </c>
      <c r="CO885" s="1116">
        <f t="shared" si="2890"/>
        <v>3.6007827788649707E-4</v>
      </c>
      <c r="CP885" s="1116">
        <f t="shared" si="2890"/>
        <v>1.5753424657534247E-3</v>
      </c>
      <c r="CQ885" s="1116" t="str">
        <f t="shared" si="2890"/>
        <v/>
      </c>
      <c r="CR885" s="1116" t="str">
        <f t="shared" si="2890"/>
        <v/>
      </c>
      <c r="CS885" s="1115" t="str">
        <f t="shared" si="2883"/>
        <v/>
      </c>
      <c r="CT885" s="1146" t="str">
        <f t="shared" si="2810"/>
        <v/>
      </c>
      <c r="CU885" s="1200" t="str">
        <f t="shared" si="2891"/>
        <v/>
      </c>
      <c r="CV885" s="1129" t="str">
        <f t="shared" si="2891"/>
        <v/>
      </c>
      <c r="CW885" s="1130" t="str">
        <f t="shared" si="2891"/>
        <v/>
      </c>
      <c r="CX885" s="1130" t="str">
        <f t="shared" si="2891"/>
        <v/>
      </c>
      <c r="CY885" s="1130">
        <f t="shared" si="2891"/>
        <v>0</v>
      </c>
      <c r="CZ885" s="1130">
        <f t="shared" si="2891"/>
        <v>0</v>
      </c>
      <c r="DA885" s="1130">
        <f t="shared" si="2891"/>
        <v>0</v>
      </c>
      <c r="DB885" s="1131">
        <f t="shared" si="2891"/>
        <v>0</v>
      </c>
      <c r="DC885" s="1131">
        <f t="shared" si="2891"/>
        <v>0</v>
      </c>
      <c r="DD885" s="1131">
        <f t="shared" si="2891"/>
        <v>0</v>
      </c>
      <c r="DE885" s="1130">
        <f t="shared" si="2891"/>
        <v>0</v>
      </c>
      <c r="DF885" s="1130">
        <f t="shared" si="2891"/>
        <v>6.7514677103718197E-4</v>
      </c>
      <c r="DG885" s="1130">
        <f t="shared" si="2891"/>
        <v>2.6187511119017967E-3</v>
      </c>
      <c r="DH885" s="1130" t="str">
        <f t="shared" si="2891"/>
        <v/>
      </c>
      <c r="DI885" s="1130" t="str">
        <f t="shared" si="2891"/>
        <v/>
      </c>
      <c r="DJ885" s="1129" t="str">
        <f t="shared" si="2884"/>
        <v/>
      </c>
      <c r="DK885" s="1200" t="str">
        <f t="shared" si="2812"/>
        <v/>
      </c>
      <c r="DL885" s="428">
        <f t="shared" si="2813"/>
        <v>9</v>
      </c>
      <c r="DM885" s="66">
        <f t="shared" si="2814"/>
        <v>9</v>
      </c>
      <c r="DN885" s="66">
        <f t="shared" si="2815"/>
        <v>9</v>
      </c>
      <c r="DO885" s="66">
        <f t="shared" si="2816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2941">SUM(C639)</f>
        <v>2.0799552697791444E-3</v>
      </c>
      <c r="D886" s="581">
        <f t="shared" si="2941"/>
        <v>1.6177429876060012E-3</v>
      </c>
      <c r="E886" s="581">
        <f t="shared" si="2941"/>
        <v>0</v>
      </c>
      <c r="F886" s="581">
        <f t="shared" si="2941"/>
        <v>0</v>
      </c>
      <c r="G886" s="581">
        <f t="shared" si="2941"/>
        <v>0</v>
      </c>
      <c r="H886" s="581">
        <f t="shared" si="2941"/>
        <v>0</v>
      </c>
      <c r="I886" s="581">
        <f t="shared" si="2941"/>
        <v>0</v>
      </c>
      <c r="J886" s="581">
        <f t="shared" si="2941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2942">SUM(U639)</f>
        <v>0</v>
      </c>
      <c r="V886" s="581">
        <f t="shared" si="2942"/>
        <v>0</v>
      </c>
      <c r="W886" s="581">
        <f t="shared" si="2942"/>
        <v>0</v>
      </c>
      <c r="X886" s="581">
        <f t="shared" si="2942"/>
        <v>0</v>
      </c>
      <c r="Y886" s="581">
        <f t="shared" si="2942"/>
        <v>5.4049016867020782E-4</v>
      </c>
      <c r="Z886" s="581">
        <f t="shared" si="2942"/>
        <v>0</v>
      </c>
      <c r="AA886" s="581">
        <f t="shared" si="2942"/>
        <v>1.0457925636007828E-3</v>
      </c>
      <c r="AB886" s="581">
        <f t="shared" si="2942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2943">SUM(AM639)</f>
        <v>0</v>
      </c>
      <c r="AN886" s="581">
        <f t="shared" si="2943"/>
        <v>0</v>
      </c>
      <c r="AO886" s="581">
        <f t="shared" si="2943"/>
        <v>1.6127201565557733E-2</v>
      </c>
      <c r="AP886" s="581">
        <f t="shared" si="2943"/>
        <v>3.7834311806914547E-3</v>
      </c>
      <c r="AQ886" s="581">
        <f t="shared" si="2943"/>
        <v>1.0734942378777996E-2</v>
      </c>
      <c r="AR886" s="581">
        <f t="shared" si="2943"/>
        <v>0</v>
      </c>
      <c r="AS886" s="581">
        <f t="shared" si="2943"/>
        <v>1.4140574037834312E-2</v>
      </c>
      <c r="AT886" s="581">
        <f t="shared" si="2943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2944">SUM(BE639)</f>
        <v>0.13333985649054142</v>
      </c>
      <c r="BF886" s="581">
        <f t="shared" si="2944"/>
        <v>0</v>
      </c>
      <c r="BG886" s="581">
        <f t="shared" si="2944"/>
        <v>3.4146771037181993E-2</v>
      </c>
      <c r="BH886" s="581">
        <f t="shared" si="2944"/>
        <v>5.8044618395303331E-2</v>
      </c>
      <c r="BI886" s="581">
        <f t="shared" si="2944"/>
        <v>2.0799552697791444E-3</v>
      </c>
      <c r="BJ886" s="581">
        <f t="shared" si="2944"/>
        <v>2.2518808436616654E-2</v>
      </c>
      <c r="BK886" s="581">
        <f t="shared" si="2944"/>
        <v>7.0939334637964771E-2</v>
      </c>
      <c r="BL886" s="581">
        <f t="shared" si="2944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2805"/>
        <v>9.5421808645180183E-4</v>
      </c>
      <c r="CA886" s="398">
        <f t="shared" si="2806"/>
        <v>2.2661181889585571E-4</v>
      </c>
      <c r="CB886" s="398">
        <f t="shared" si="2807"/>
        <v>8.3519186836212272E-3</v>
      </c>
      <c r="CC886" s="465">
        <f t="shared" si="2808"/>
        <v>3.0576043890050038E-2</v>
      </c>
      <c r="CD886" s="1114" t="str">
        <f t="shared" si="2890"/>
        <v/>
      </c>
      <c r="CE886" s="1115" t="str">
        <f t="shared" si="2890"/>
        <v/>
      </c>
      <c r="CF886" s="1116" t="str">
        <f t="shared" si="2890"/>
        <v/>
      </c>
      <c r="CG886" s="1116" t="str">
        <f t="shared" si="2890"/>
        <v/>
      </c>
      <c r="CH886" s="1116">
        <f t="shared" si="2890"/>
        <v>0</v>
      </c>
      <c r="CI886" s="1116">
        <f t="shared" si="2890"/>
        <v>0</v>
      </c>
      <c r="CJ886" s="1116">
        <f t="shared" si="2890"/>
        <v>0</v>
      </c>
      <c r="CK886" s="1117">
        <f t="shared" si="2890"/>
        <v>0</v>
      </c>
      <c r="CL886" s="1117">
        <f t="shared" si="2890"/>
        <v>0</v>
      </c>
      <c r="CM886" s="1117">
        <f t="shared" si="2890"/>
        <v>1.6177429876060012E-3</v>
      </c>
      <c r="CN886" s="1116">
        <f t="shared" si="2890"/>
        <v>2.0799552697791444E-3</v>
      </c>
      <c r="CO886" s="1116">
        <f t="shared" si="2890"/>
        <v>2.9818283477774672E-3</v>
      </c>
      <c r="CP886" s="1116">
        <f t="shared" si="2890"/>
        <v>1.5884148727984347E-2</v>
      </c>
      <c r="CQ886" s="1116" t="str">
        <f t="shared" si="2890"/>
        <v/>
      </c>
      <c r="CR886" s="1116" t="str">
        <f t="shared" si="2890"/>
        <v/>
      </c>
      <c r="CS886" s="1115" t="str">
        <f t="shared" si="2883"/>
        <v/>
      </c>
      <c r="CT886" s="1146" t="str">
        <f t="shared" si="2810"/>
        <v/>
      </c>
      <c r="CU886" s="1200" t="str">
        <f t="shared" si="2891"/>
        <v/>
      </c>
      <c r="CV886" s="1129" t="str">
        <f t="shared" si="2891"/>
        <v/>
      </c>
      <c r="CW886" s="1130" t="str">
        <f t="shared" si="2891"/>
        <v/>
      </c>
      <c r="CX886" s="1130" t="str">
        <f t="shared" si="2891"/>
        <v/>
      </c>
      <c r="CY886" s="1130">
        <f t="shared" si="2891"/>
        <v>0</v>
      </c>
      <c r="CZ886" s="1130">
        <f t="shared" si="2891"/>
        <v>0</v>
      </c>
      <c r="DA886" s="1130">
        <f t="shared" si="2891"/>
        <v>0</v>
      </c>
      <c r="DB886" s="1131">
        <f t="shared" si="2891"/>
        <v>0</v>
      </c>
      <c r="DC886" s="1131">
        <f t="shared" si="2891"/>
        <v>0</v>
      </c>
      <c r="DD886" s="1131">
        <f t="shared" si="2891"/>
        <v>0</v>
      </c>
      <c r="DE886" s="1130">
        <f t="shared" si="2891"/>
        <v>5.4049016867020782E-4</v>
      </c>
      <c r="DF886" s="1130">
        <f t="shared" si="2891"/>
        <v>1.0457925636007828E-3</v>
      </c>
      <c r="DG886" s="1130">
        <f t="shared" si="2891"/>
        <v>1.0227005870841488E-2</v>
      </c>
      <c r="DH886" s="1130" t="str">
        <f t="shared" si="2891"/>
        <v/>
      </c>
      <c r="DI886" s="1130" t="str">
        <f t="shared" si="2891"/>
        <v/>
      </c>
      <c r="DJ886" s="1129" t="str">
        <f t="shared" si="2884"/>
        <v/>
      </c>
      <c r="DK886" s="1200" t="str">
        <f t="shared" si="2812"/>
        <v/>
      </c>
      <c r="DL886" s="428">
        <f t="shared" si="2813"/>
        <v>9</v>
      </c>
      <c r="DM886" s="66">
        <f t="shared" si="2814"/>
        <v>9</v>
      </c>
      <c r="DN886" s="66">
        <f t="shared" si="2815"/>
        <v>9</v>
      </c>
      <c r="DO886" s="66">
        <f t="shared" si="2816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19"/>
      <c r="CE887" s="1156"/>
      <c r="CF887" s="1156"/>
      <c r="CG887" s="1156"/>
      <c r="CH887" s="1156"/>
      <c r="CI887" s="1156"/>
      <c r="CJ887" s="1156"/>
      <c r="CK887" s="1156"/>
      <c r="CL887" s="1156"/>
      <c r="CM887" s="1156"/>
      <c r="CN887" s="1156"/>
      <c r="CO887" s="1156"/>
      <c r="CP887" s="1156"/>
      <c r="CQ887" s="1156"/>
      <c r="CR887" s="1156"/>
      <c r="CS887" s="1156"/>
      <c r="CT887" s="1121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2945">SUM(B666)</f>
        <v>0</v>
      </c>
      <c r="C888" s="581">
        <f t="shared" si="2945"/>
        <v>0</v>
      </c>
      <c r="D888" s="581">
        <f t="shared" si="2945"/>
        <v>0</v>
      </c>
      <c r="E888" s="581">
        <f t="shared" si="2945"/>
        <v>0</v>
      </c>
      <c r="F888" s="581">
        <f t="shared" si="2945"/>
        <v>0</v>
      </c>
      <c r="G888" s="581">
        <f t="shared" si="2945"/>
        <v>0</v>
      </c>
      <c r="H888" s="581">
        <f t="shared" si="2945"/>
        <v>0</v>
      </c>
      <c r="I888" s="581">
        <f t="shared" si="2945"/>
        <v>0</v>
      </c>
      <c r="J888" s="581">
        <f t="shared" si="2945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2946">SUM(T666)</f>
        <v>0</v>
      </c>
      <c r="U888" s="581">
        <f t="shared" si="2946"/>
        <v>0</v>
      </c>
      <c r="V888" s="581">
        <f t="shared" si="2946"/>
        <v>0</v>
      </c>
      <c r="W888" s="581">
        <f t="shared" si="2946"/>
        <v>0</v>
      </c>
      <c r="X888" s="581">
        <f t="shared" si="2946"/>
        <v>0</v>
      </c>
      <c r="Y888" s="581">
        <f t="shared" si="2946"/>
        <v>0</v>
      </c>
      <c r="Z888" s="581">
        <f t="shared" si="2946"/>
        <v>0</v>
      </c>
      <c r="AA888" s="581">
        <f t="shared" si="2946"/>
        <v>0</v>
      </c>
      <c r="AB888" s="581">
        <f t="shared" si="2946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2947">SUM(AL666)</f>
        <v>0</v>
      </c>
      <c r="AM888" s="581">
        <f t="shared" si="2947"/>
        <v>0</v>
      </c>
      <c r="AN888" s="581">
        <f t="shared" si="2947"/>
        <v>0</v>
      </c>
      <c r="AO888" s="581">
        <f t="shared" si="2947"/>
        <v>0</v>
      </c>
      <c r="AP888" s="581">
        <f t="shared" si="2947"/>
        <v>0</v>
      </c>
      <c r="AQ888" s="581">
        <f t="shared" si="2947"/>
        <v>0</v>
      </c>
      <c r="AR888" s="581">
        <f t="shared" si="2947"/>
        <v>0</v>
      </c>
      <c r="AS888" s="581">
        <f t="shared" si="2947"/>
        <v>0</v>
      </c>
      <c r="AT888" s="581">
        <f t="shared" si="2947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2948">SUM(BD666)</f>
        <v>0</v>
      </c>
      <c r="BE888" s="581">
        <f t="shared" si="2948"/>
        <v>0</v>
      </c>
      <c r="BF888" s="581">
        <f t="shared" si="2948"/>
        <v>0</v>
      </c>
      <c r="BG888" s="581">
        <f t="shared" si="2948"/>
        <v>0</v>
      </c>
      <c r="BH888" s="581">
        <f t="shared" si="2948"/>
        <v>0</v>
      </c>
      <c r="BI888" s="581">
        <f t="shared" si="2948"/>
        <v>0</v>
      </c>
      <c r="BJ888" s="581">
        <f t="shared" si="2948"/>
        <v>0</v>
      </c>
      <c r="BK888" s="581">
        <f t="shared" si="2948"/>
        <v>0</v>
      </c>
      <c r="BL888" s="581">
        <f t="shared" si="2948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2949">IF(DL888&lt;3,"",(SUM(B888:R888)-MIN(B888:R888)-MAX(B888:R888))/(DL888-2))</f>
        <v>0</v>
      </c>
      <c r="CA888" s="398">
        <f t="shared" ref="CA888:CA893" si="2950">IF(DM888&lt;3,"",(SUM(T888:AJ888)-MIN(T888:AJ888)-MAX(T888:AJ888))/(DM888-2))</f>
        <v>0</v>
      </c>
      <c r="CB888" s="398">
        <f t="shared" ref="CB888:CB893" si="2951">IF(DN888&lt;3,"",(SUM(AL888:BB888)-MIN(AL888:BB888)-MAX(AL888:BB888))/(DN888-2))</f>
        <v>0</v>
      </c>
      <c r="CC888" s="465">
        <f t="shared" ref="CC888:CC893" si="2952">IF(DO888&lt;3,"",(SUM(BD888:BT888)-MIN(BD888:BT888)-MAX(BD888:BT888))/(DO888-2))</f>
        <v>0</v>
      </c>
      <c r="CD888" s="1114" t="str">
        <f t="shared" ref="CD888:CS888" si="295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5" t="str">
        <f t="shared" si="2953"/>
        <v/>
      </c>
      <c r="CF888" s="1116" t="str">
        <f t="shared" si="2953"/>
        <v/>
      </c>
      <c r="CG888" s="1116" t="str">
        <f t="shared" si="2953"/>
        <v/>
      </c>
      <c r="CH888" s="1116">
        <f t="shared" si="2953"/>
        <v>0</v>
      </c>
      <c r="CI888" s="1116">
        <f t="shared" si="2953"/>
        <v>0</v>
      </c>
      <c r="CJ888" s="1116">
        <f t="shared" si="2953"/>
        <v>0</v>
      </c>
      <c r="CK888" s="1117">
        <f t="shared" si="2953"/>
        <v>0</v>
      </c>
      <c r="CL888" s="1117">
        <f t="shared" si="2953"/>
        <v>0</v>
      </c>
      <c r="CM888" s="1117">
        <f t="shared" si="2953"/>
        <v>0</v>
      </c>
      <c r="CN888" s="1116">
        <f t="shared" si="2953"/>
        <v>0</v>
      </c>
      <c r="CO888" s="1116">
        <f t="shared" si="2953"/>
        <v>0</v>
      </c>
      <c r="CP888" s="1116">
        <f t="shared" si="2953"/>
        <v>0</v>
      </c>
      <c r="CQ888" s="1116" t="str">
        <f t="shared" si="2953"/>
        <v/>
      </c>
      <c r="CR888" s="1116" t="str">
        <f t="shared" si="2953"/>
        <v/>
      </c>
      <c r="CS888" s="1115" t="str">
        <f t="shared" si="2953"/>
        <v/>
      </c>
      <c r="CT888" s="1118" t="str">
        <f t="shared" ref="CE888:CT893" si="295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95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95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95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95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95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96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96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96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96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96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96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96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96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96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96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97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97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2972">COUNT(B888:R888)</f>
        <v>9</v>
      </c>
      <c r="DM888" s="66">
        <f t="shared" ref="DM888:DM893" si="2973">COUNT(T888:AJ888)</f>
        <v>9</v>
      </c>
      <c r="DN888" s="66">
        <f t="shared" ref="DN888:DN893" si="2974">COUNT(AL888:BB888)</f>
        <v>9</v>
      </c>
      <c r="DO888" s="66">
        <f t="shared" ref="DO888:DO893" si="2975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2976">SUM(B669)</f>
        <v>0</v>
      </c>
      <c r="C889" s="581">
        <f t="shared" si="2976"/>
        <v>0</v>
      </c>
      <c r="D889" s="581">
        <f t="shared" si="2976"/>
        <v>0</v>
      </c>
      <c r="E889" s="581">
        <f t="shared" si="2976"/>
        <v>0</v>
      </c>
      <c r="F889" s="581">
        <f t="shared" si="2976"/>
        <v>0</v>
      </c>
      <c r="G889" s="581">
        <f t="shared" si="2976"/>
        <v>0</v>
      </c>
      <c r="H889" s="581">
        <f t="shared" si="2976"/>
        <v>0</v>
      </c>
      <c r="I889" s="581">
        <f t="shared" si="2976"/>
        <v>0</v>
      </c>
      <c r="J889" s="581">
        <f t="shared" si="2976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2977">SUM(T669)</f>
        <v>0</v>
      </c>
      <c r="U889" s="581">
        <f t="shared" si="2977"/>
        <v>0</v>
      </c>
      <c r="V889" s="581">
        <f t="shared" si="2977"/>
        <v>0</v>
      </c>
      <c r="W889" s="581">
        <f t="shared" si="2977"/>
        <v>0</v>
      </c>
      <c r="X889" s="581">
        <f t="shared" si="2977"/>
        <v>0</v>
      </c>
      <c r="Y889" s="581">
        <f t="shared" si="2977"/>
        <v>0</v>
      </c>
      <c r="Z889" s="581">
        <f t="shared" si="2977"/>
        <v>0</v>
      </c>
      <c r="AA889" s="581">
        <f t="shared" si="2977"/>
        <v>0</v>
      </c>
      <c r="AB889" s="581">
        <f t="shared" si="2977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2978">SUM(AL669)</f>
        <v>0</v>
      </c>
      <c r="AM889" s="581">
        <f t="shared" si="2978"/>
        <v>0</v>
      </c>
      <c r="AN889" s="581">
        <f t="shared" si="2978"/>
        <v>0</v>
      </c>
      <c r="AO889" s="581">
        <f t="shared" si="2978"/>
        <v>0</v>
      </c>
      <c r="AP889" s="581">
        <f t="shared" si="2978"/>
        <v>0</v>
      </c>
      <c r="AQ889" s="581">
        <f t="shared" si="2978"/>
        <v>0</v>
      </c>
      <c r="AR889" s="581">
        <f t="shared" si="2978"/>
        <v>0</v>
      </c>
      <c r="AS889" s="581">
        <f t="shared" si="2978"/>
        <v>0</v>
      </c>
      <c r="AT889" s="581">
        <f t="shared" si="2978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2979">SUM(BD669)</f>
        <v>0</v>
      </c>
      <c r="BE889" s="581">
        <f t="shared" si="2979"/>
        <v>0</v>
      </c>
      <c r="BF889" s="581">
        <f t="shared" si="2979"/>
        <v>0</v>
      </c>
      <c r="BG889" s="581">
        <f t="shared" si="2979"/>
        <v>0</v>
      </c>
      <c r="BH889" s="581">
        <f t="shared" si="2979"/>
        <v>0</v>
      </c>
      <c r="BI889" s="581">
        <f t="shared" si="2979"/>
        <v>0</v>
      </c>
      <c r="BJ889" s="581">
        <f t="shared" si="2979"/>
        <v>0</v>
      </c>
      <c r="BK889" s="581">
        <f t="shared" si="2979"/>
        <v>0</v>
      </c>
      <c r="BL889" s="581">
        <f t="shared" si="2979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2949"/>
        <v>0</v>
      </c>
      <c r="CA889" s="398">
        <f t="shared" si="2950"/>
        <v>0</v>
      </c>
      <c r="CB889" s="398">
        <f t="shared" si="2951"/>
        <v>0</v>
      </c>
      <c r="CC889" s="465">
        <f t="shared" si="2952"/>
        <v>0</v>
      </c>
      <c r="CD889" s="1114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5" t="str">
        <f t="shared" si="2954"/>
        <v/>
      </c>
      <c r="CF889" s="1116" t="str">
        <f t="shared" si="2954"/>
        <v/>
      </c>
      <c r="CG889" s="1116" t="str">
        <f t="shared" si="2954"/>
        <v/>
      </c>
      <c r="CH889" s="1116">
        <f t="shared" si="2954"/>
        <v>0</v>
      </c>
      <c r="CI889" s="1116">
        <f t="shared" si="2954"/>
        <v>0</v>
      </c>
      <c r="CJ889" s="1116">
        <f t="shared" si="2954"/>
        <v>0</v>
      </c>
      <c r="CK889" s="1117">
        <f t="shared" si="2954"/>
        <v>0</v>
      </c>
      <c r="CL889" s="1117">
        <f t="shared" si="2954"/>
        <v>0</v>
      </c>
      <c r="CM889" s="1117">
        <f t="shared" si="2954"/>
        <v>0</v>
      </c>
      <c r="CN889" s="1116">
        <f t="shared" si="2954"/>
        <v>0</v>
      </c>
      <c r="CO889" s="1116">
        <f t="shared" si="2954"/>
        <v>0</v>
      </c>
      <c r="CP889" s="1116">
        <f t="shared" si="2954"/>
        <v>0</v>
      </c>
      <c r="CQ889" s="1116" t="str">
        <f t="shared" si="2954"/>
        <v/>
      </c>
      <c r="CR889" s="1116" t="str">
        <f t="shared" si="2954"/>
        <v/>
      </c>
      <c r="CS889" s="1115" t="str">
        <f t="shared" si="2954"/>
        <v/>
      </c>
      <c r="CT889" s="1118" t="str">
        <f t="shared" si="2954"/>
        <v/>
      </c>
      <c r="CU889" s="312" t="str">
        <f t="shared" si="2955"/>
        <v/>
      </c>
      <c r="CV889" s="313" t="str">
        <f t="shared" si="2956"/>
        <v/>
      </c>
      <c r="CW889" s="314" t="str">
        <f t="shared" si="2957"/>
        <v/>
      </c>
      <c r="CX889" s="314" t="str">
        <f t="shared" si="2958"/>
        <v/>
      </c>
      <c r="CY889" s="314">
        <f t="shared" si="2959"/>
        <v>0</v>
      </c>
      <c r="CZ889" s="314">
        <f t="shared" si="2960"/>
        <v>0</v>
      </c>
      <c r="DA889" s="314">
        <f t="shared" si="2961"/>
        <v>0</v>
      </c>
      <c r="DB889" s="315">
        <f t="shared" si="2962"/>
        <v>0</v>
      </c>
      <c r="DC889" s="315">
        <f t="shared" si="2963"/>
        <v>0</v>
      </c>
      <c r="DD889" s="315">
        <f t="shared" si="2964"/>
        <v>0</v>
      </c>
      <c r="DE889" s="314">
        <f t="shared" si="2965"/>
        <v>0</v>
      </c>
      <c r="DF889" s="314">
        <f t="shared" si="2966"/>
        <v>0</v>
      </c>
      <c r="DG889" s="314">
        <f t="shared" si="2967"/>
        <v>0</v>
      </c>
      <c r="DH889" s="314" t="str">
        <f t="shared" si="2968"/>
        <v/>
      </c>
      <c r="DI889" s="314" t="str">
        <f t="shared" si="2969"/>
        <v/>
      </c>
      <c r="DJ889" s="313" t="str">
        <f t="shared" si="2970"/>
        <v/>
      </c>
      <c r="DK889" s="312" t="str">
        <f t="shared" si="2971"/>
        <v/>
      </c>
      <c r="DL889" s="428">
        <f t="shared" si="2972"/>
        <v>9</v>
      </c>
      <c r="DM889" s="66">
        <f t="shared" si="2973"/>
        <v>9</v>
      </c>
      <c r="DN889" s="66">
        <f t="shared" si="2974"/>
        <v>9</v>
      </c>
      <c r="DO889" s="66">
        <f t="shared" si="2975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2980">SUM(B672)</f>
        <v>0</v>
      </c>
      <c r="C890" s="581">
        <f t="shared" si="2980"/>
        <v>0</v>
      </c>
      <c r="D890" s="581">
        <f t="shared" si="2980"/>
        <v>0</v>
      </c>
      <c r="E890" s="581">
        <f t="shared" si="2980"/>
        <v>0</v>
      </c>
      <c r="F890" s="581">
        <f t="shared" si="2980"/>
        <v>0</v>
      </c>
      <c r="G890" s="581">
        <f t="shared" si="2980"/>
        <v>0</v>
      </c>
      <c r="H890" s="581">
        <f t="shared" si="2980"/>
        <v>0</v>
      </c>
      <c r="I890" s="581">
        <f t="shared" si="2980"/>
        <v>0</v>
      </c>
      <c r="J890" s="581">
        <f t="shared" si="2980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2981">SUM(T672)</f>
        <v>0</v>
      </c>
      <c r="U890" s="581">
        <f t="shared" si="2981"/>
        <v>0</v>
      </c>
      <c r="V890" s="581">
        <f t="shared" si="2981"/>
        <v>0</v>
      </c>
      <c r="W890" s="581">
        <f t="shared" si="2981"/>
        <v>0</v>
      </c>
      <c r="X890" s="581">
        <f t="shared" si="2981"/>
        <v>0</v>
      </c>
      <c r="Y890" s="581">
        <f t="shared" si="2981"/>
        <v>0</v>
      </c>
      <c r="Z890" s="581">
        <f t="shared" si="2981"/>
        <v>0</v>
      </c>
      <c r="AA890" s="581">
        <f t="shared" si="2981"/>
        <v>0</v>
      </c>
      <c r="AB890" s="581">
        <f t="shared" si="2981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2982">SUM(AL672)</f>
        <v>0</v>
      </c>
      <c r="AM890" s="581">
        <f t="shared" si="2982"/>
        <v>0</v>
      </c>
      <c r="AN890" s="581">
        <f t="shared" si="2982"/>
        <v>0</v>
      </c>
      <c r="AO890" s="581">
        <f t="shared" si="2982"/>
        <v>0</v>
      </c>
      <c r="AP890" s="581">
        <f t="shared" si="2982"/>
        <v>0</v>
      </c>
      <c r="AQ890" s="581">
        <f t="shared" si="2982"/>
        <v>0</v>
      </c>
      <c r="AR890" s="581">
        <f t="shared" si="2982"/>
        <v>0</v>
      </c>
      <c r="AS890" s="581">
        <f t="shared" si="2982"/>
        <v>0</v>
      </c>
      <c r="AT890" s="581">
        <f t="shared" si="2982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2983">SUM(BD672)</f>
        <v>0</v>
      </c>
      <c r="BE890" s="581">
        <f t="shared" si="2983"/>
        <v>0</v>
      </c>
      <c r="BF890" s="581">
        <f t="shared" si="2983"/>
        <v>0</v>
      </c>
      <c r="BG890" s="581">
        <f t="shared" si="2983"/>
        <v>0</v>
      </c>
      <c r="BH890" s="581">
        <f t="shared" si="2983"/>
        <v>0</v>
      </c>
      <c r="BI890" s="581">
        <f t="shared" si="2983"/>
        <v>0</v>
      </c>
      <c r="BJ890" s="581">
        <f t="shared" si="2983"/>
        <v>0</v>
      </c>
      <c r="BK890" s="581">
        <f t="shared" si="2983"/>
        <v>0</v>
      </c>
      <c r="BL890" s="581">
        <f t="shared" si="2983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2949"/>
        <v>0</v>
      </c>
      <c r="CA890" s="398">
        <f t="shared" si="2950"/>
        <v>0</v>
      </c>
      <c r="CB890" s="398">
        <f t="shared" si="2951"/>
        <v>0</v>
      </c>
      <c r="CC890" s="465">
        <f t="shared" si="2952"/>
        <v>0</v>
      </c>
      <c r="CD890" s="1114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5" t="str">
        <f t="shared" si="2954"/>
        <v/>
      </c>
      <c r="CF890" s="1116" t="str">
        <f t="shared" si="2954"/>
        <v/>
      </c>
      <c r="CG890" s="1116" t="str">
        <f t="shared" si="2954"/>
        <v/>
      </c>
      <c r="CH890" s="1116">
        <f t="shared" si="2954"/>
        <v>0</v>
      </c>
      <c r="CI890" s="1116">
        <f t="shared" si="2954"/>
        <v>0</v>
      </c>
      <c r="CJ890" s="1116">
        <f t="shared" si="2954"/>
        <v>0</v>
      </c>
      <c r="CK890" s="1117">
        <f t="shared" si="2954"/>
        <v>0</v>
      </c>
      <c r="CL890" s="1117">
        <f t="shared" si="2954"/>
        <v>0</v>
      </c>
      <c r="CM890" s="1117">
        <f t="shared" si="2954"/>
        <v>0</v>
      </c>
      <c r="CN890" s="1116">
        <f t="shared" si="2954"/>
        <v>0</v>
      </c>
      <c r="CO890" s="1116">
        <f t="shared" si="2954"/>
        <v>0</v>
      </c>
      <c r="CP890" s="1116">
        <f t="shared" si="2954"/>
        <v>0</v>
      </c>
      <c r="CQ890" s="1116" t="str">
        <f t="shared" si="2954"/>
        <v/>
      </c>
      <c r="CR890" s="1116" t="str">
        <f t="shared" si="2954"/>
        <v/>
      </c>
      <c r="CS890" s="1115" t="str">
        <f t="shared" si="2954"/>
        <v/>
      </c>
      <c r="CT890" s="1118" t="str">
        <f t="shared" si="2954"/>
        <v/>
      </c>
      <c r="CU890" s="312" t="str">
        <f t="shared" si="2955"/>
        <v/>
      </c>
      <c r="CV890" s="313" t="str">
        <f t="shared" si="2956"/>
        <v/>
      </c>
      <c r="CW890" s="314" t="str">
        <f t="shared" si="2957"/>
        <v/>
      </c>
      <c r="CX890" s="314" t="str">
        <f t="shared" si="2958"/>
        <v/>
      </c>
      <c r="CY890" s="314">
        <f t="shared" si="2959"/>
        <v>0</v>
      </c>
      <c r="CZ890" s="314">
        <f t="shared" si="2960"/>
        <v>0</v>
      </c>
      <c r="DA890" s="314">
        <f t="shared" si="2961"/>
        <v>0</v>
      </c>
      <c r="DB890" s="315">
        <f t="shared" si="2962"/>
        <v>0</v>
      </c>
      <c r="DC890" s="315">
        <f t="shared" si="2963"/>
        <v>0</v>
      </c>
      <c r="DD890" s="315">
        <f t="shared" si="2964"/>
        <v>0</v>
      </c>
      <c r="DE890" s="314">
        <f t="shared" si="2965"/>
        <v>0</v>
      </c>
      <c r="DF890" s="314">
        <f t="shared" si="2966"/>
        <v>0</v>
      </c>
      <c r="DG890" s="314">
        <f t="shared" si="2967"/>
        <v>0</v>
      </c>
      <c r="DH890" s="314" t="str">
        <f t="shared" si="2968"/>
        <v/>
      </c>
      <c r="DI890" s="314" t="str">
        <f t="shared" si="2969"/>
        <v/>
      </c>
      <c r="DJ890" s="313" t="str">
        <f t="shared" si="2970"/>
        <v/>
      </c>
      <c r="DK890" s="312" t="str">
        <f t="shared" si="2971"/>
        <v/>
      </c>
      <c r="DL890" s="428">
        <f t="shared" si="2972"/>
        <v>9</v>
      </c>
      <c r="DM890" s="66">
        <f t="shared" si="2973"/>
        <v>9</v>
      </c>
      <c r="DN890" s="66">
        <f t="shared" si="2974"/>
        <v>9</v>
      </c>
      <c r="DO890" s="66">
        <f t="shared" si="2975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2984">SUM(B675)</f>
        <v>0</v>
      </c>
      <c r="C891" s="581">
        <f t="shared" si="2984"/>
        <v>0</v>
      </c>
      <c r="D891" s="581">
        <f t="shared" si="2984"/>
        <v>0</v>
      </c>
      <c r="E891" s="581">
        <f t="shared" si="2984"/>
        <v>0</v>
      </c>
      <c r="F891" s="581">
        <f t="shared" si="2984"/>
        <v>0</v>
      </c>
      <c r="G891" s="581">
        <f t="shared" si="2984"/>
        <v>0</v>
      </c>
      <c r="H891" s="581">
        <f t="shared" si="2984"/>
        <v>0</v>
      </c>
      <c r="I891" s="581">
        <f t="shared" si="2984"/>
        <v>0</v>
      </c>
      <c r="J891" s="581">
        <f t="shared" si="2984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2985">SUM(T675)</f>
        <v>0</v>
      </c>
      <c r="U891" s="581">
        <f t="shared" si="2985"/>
        <v>0</v>
      </c>
      <c r="V891" s="581">
        <f t="shared" si="2985"/>
        <v>0</v>
      </c>
      <c r="W891" s="581">
        <f t="shared" si="2985"/>
        <v>0</v>
      </c>
      <c r="X891" s="581">
        <f t="shared" si="2985"/>
        <v>0</v>
      </c>
      <c r="Y891" s="581">
        <f t="shared" si="2985"/>
        <v>0</v>
      </c>
      <c r="Z891" s="581">
        <f t="shared" si="2985"/>
        <v>0</v>
      </c>
      <c r="AA891" s="581">
        <f t="shared" si="2985"/>
        <v>0</v>
      </c>
      <c r="AB891" s="581">
        <f t="shared" si="2985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2986">SUM(AL675)</f>
        <v>0</v>
      </c>
      <c r="AM891" s="581">
        <f t="shared" si="2986"/>
        <v>0</v>
      </c>
      <c r="AN891" s="581">
        <f t="shared" si="2986"/>
        <v>0</v>
      </c>
      <c r="AO891" s="581">
        <f t="shared" si="2986"/>
        <v>0</v>
      </c>
      <c r="AP891" s="581">
        <f t="shared" si="2986"/>
        <v>0</v>
      </c>
      <c r="AQ891" s="581">
        <f t="shared" si="2986"/>
        <v>0</v>
      </c>
      <c r="AR891" s="581">
        <f t="shared" si="2986"/>
        <v>0</v>
      </c>
      <c r="AS891" s="581">
        <f t="shared" si="2986"/>
        <v>0</v>
      </c>
      <c r="AT891" s="581">
        <f t="shared" si="2986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2987">SUM(BD675)</f>
        <v>0</v>
      </c>
      <c r="BE891" s="581">
        <f t="shared" si="2987"/>
        <v>0</v>
      </c>
      <c r="BF891" s="581">
        <f t="shared" si="2987"/>
        <v>0</v>
      </c>
      <c r="BG891" s="581">
        <f t="shared" si="2987"/>
        <v>0</v>
      </c>
      <c r="BH891" s="581">
        <f t="shared" si="2987"/>
        <v>0</v>
      </c>
      <c r="BI891" s="581">
        <f t="shared" si="2987"/>
        <v>0</v>
      </c>
      <c r="BJ891" s="581">
        <f t="shared" si="2987"/>
        <v>0</v>
      </c>
      <c r="BK891" s="581">
        <f t="shared" si="2987"/>
        <v>0</v>
      </c>
      <c r="BL891" s="581">
        <f t="shared" si="2987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2949"/>
        <v>0</v>
      </c>
      <c r="CA891" s="398">
        <f t="shared" si="2950"/>
        <v>0</v>
      </c>
      <c r="CB891" s="398">
        <f t="shared" si="2951"/>
        <v>0</v>
      </c>
      <c r="CC891" s="465">
        <f t="shared" si="2952"/>
        <v>0</v>
      </c>
      <c r="CD891" s="1114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5" t="str">
        <f t="shared" si="2954"/>
        <v/>
      </c>
      <c r="CF891" s="1116" t="str">
        <f t="shared" si="2954"/>
        <v/>
      </c>
      <c r="CG891" s="1116" t="str">
        <f t="shared" si="2954"/>
        <v/>
      </c>
      <c r="CH891" s="1116">
        <f t="shared" si="2954"/>
        <v>0</v>
      </c>
      <c r="CI891" s="1116">
        <f t="shared" si="2954"/>
        <v>0</v>
      </c>
      <c r="CJ891" s="1116">
        <f t="shared" si="2954"/>
        <v>0</v>
      </c>
      <c r="CK891" s="1117">
        <f t="shared" si="2954"/>
        <v>0</v>
      </c>
      <c r="CL891" s="1117">
        <f t="shared" si="2954"/>
        <v>0</v>
      </c>
      <c r="CM891" s="1117">
        <f t="shared" si="2954"/>
        <v>0</v>
      </c>
      <c r="CN891" s="1116">
        <f t="shared" si="2954"/>
        <v>0</v>
      </c>
      <c r="CO891" s="1116">
        <f t="shared" si="2954"/>
        <v>0</v>
      </c>
      <c r="CP891" s="1116">
        <f t="shared" si="2954"/>
        <v>0</v>
      </c>
      <c r="CQ891" s="1116" t="str">
        <f t="shared" si="2954"/>
        <v/>
      </c>
      <c r="CR891" s="1116" t="str">
        <f t="shared" si="2954"/>
        <v/>
      </c>
      <c r="CS891" s="1115" t="str">
        <f t="shared" si="2954"/>
        <v/>
      </c>
      <c r="CT891" s="1118" t="str">
        <f t="shared" si="2954"/>
        <v/>
      </c>
      <c r="CU891" s="312" t="str">
        <f t="shared" si="2955"/>
        <v/>
      </c>
      <c r="CV891" s="313" t="str">
        <f t="shared" si="2956"/>
        <v/>
      </c>
      <c r="CW891" s="314" t="str">
        <f t="shared" si="2957"/>
        <v/>
      </c>
      <c r="CX891" s="314" t="str">
        <f t="shared" si="2958"/>
        <v/>
      </c>
      <c r="CY891" s="314">
        <f t="shared" si="2959"/>
        <v>0</v>
      </c>
      <c r="CZ891" s="314">
        <f t="shared" si="2960"/>
        <v>0</v>
      </c>
      <c r="DA891" s="314">
        <f t="shared" si="2961"/>
        <v>0</v>
      </c>
      <c r="DB891" s="315">
        <f t="shared" si="2962"/>
        <v>0</v>
      </c>
      <c r="DC891" s="315">
        <f t="shared" si="2963"/>
        <v>0</v>
      </c>
      <c r="DD891" s="315">
        <f t="shared" si="2964"/>
        <v>0</v>
      </c>
      <c r="DE891" s="314">
        <f t="shared" si="2965"/>
        <v>0</v>
      </c>
      <c r="DF891" s="314">
        <f t="shared" si="2966"/>
        <v>0</v>
      </c>
      <c r="DG891" s="314">
        <f t="shared" si="2967"/>
        <v>0</v>
      </c>
      <c r="DH891" s="314" t="str">
        <f t="shared" si="2968"/>
        <v/>
      </c>
      <c r="DI891" s="314" t="str">
        <f t="shared" si="2969"/>
        <v/>
      </c>
      <c r="DJ891" s="313" t="str">
        <f t="shared" si="2970"/>
        <v/>
      </c>
      <c r="DK891" s="312" t="str">
        <f t="shared" si="2971"/>
        <v/>
      </c>
      <c r="DL891" s="428">
        <f t="shared" si="2972"/>
        <v>9</v>
      </c>
      <c r="DM891" s="66">
        <f t="shared" si="2973"/>
        <v>9</v>
      </c>
      <c r="DN891" s="66">
        <f t="shared" si="2974"/>
        <v>9</v>
      </c>
      <c r="DO891" s="66">
        <f t="shared" si="2975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2988">SUM(B680)</f>
        <v>0</v>
      </c>
      <c r="C892" s="581">
        <f t="shared" si="2988"/>
        <v>0</v>
      </c>
      <c r="D892" s="581">
        <f t="shared" si="2988"/>
        <v>0</v>
      </c>
      <c r="E892" s="581">
        <f t="shared" si="2988"/>
        <v>0</v>
      </c>
      <c r="F892" s="581">
        <f t="shared" si="2988"/>
        <v>0</v>
      </c>
      <c r="G892" s="581">
        <f t="shared" si="2988"/>
        <v>0</v>
      </c>
      <c r="H892" s="581">
        <f t="shared" si="2988"/>
        <v>0</v>
      </c>
      <c r="I892" s="581">
        <f t="shared" si="2988"/>
        <v>0</v>
      </c>
      <c r="J892" s="581">
        <f t="shared" si="2988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2989">SUM(T680)</f>
        <v>0</v>
      </c>
      <c r="U892" s="581">
        <f t="shared" si="2989"/>
        <v>0</v>
      </c>
      <c r="V892" s="581">
        <f t="shared" si="2989"/>
        <v>0</v>
      </c>
      <c r="W892" s="581">
        <f t="shared" si="2989"/>
        <v>0</v>
      </c>
      <c r="X892" s="581">
        <f t="shared" si="2989"/>
        <v>0</v>
      </c>
      <c r="Y892" s="581">
        <f t="shared" si="2989"/>
        <v>0</v>
      </c>
      <c r="Z892" s="581">
        <f t="shared" si="2989"/>
        <v>0</v>
      </c>
      <c r="AA892" s="581">
        <f t="shared" si="2989"/>
        <v>0</v>
      </c>
      <c r="AB892" s="581">
        <f t="shared" si="2989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2990">SUM(AL680)</f>
        <v>0</v>
      </c>
      <c r="AM892" s="581">
        <f t="shared" si="2990"/>
        <v>0</v>
      </c>
      <c r="AN892" s="581">
        <f t="shared" si="2990"/>
        <v>0</v>
      </c>
      <c r="AO892" s="581">
        <f t="shared" si="2990"/>
        <v>0</v>
      </c>
      <c r="AP892" s="581">
        <f t="shared" si="2990"/>
        <v>0</v>
      </c>
      <c r="AQ892" s="581">
        <f t="shared" si="2990"/>
        <v>0</v>
      </c>
      <c r="AR892" s="581">
        <f t="shared" si="2990"/>
        <v>0</v>
      </c>
      <c r="AS892" s="581">
        <f t="shared" si="2990"/>
        <v>0</v>
      </c>
      <c r="AT892" s="581">
        <f t="shared" si="2990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2991">SUM(BD680)</f>
        <v>0</v>
      </c>
      <c r="BE892" s="581">
        <f t="shared" si="2991"/>
        <v>0</v>
      </c>
      <c r="BF892" s="581">
        <f t="shared" si="2991"/>
        <v>0</v>
      </c>
      <c r="BG892" s="581">
        <f t="shared" si="2991"/>
        <v>0</v>
      </c>
      <c r="BH892" s="581">
        <f t="shared" si="2991"/>
        <v>0</v>
      </c>
      <c r="BI892" s="581">
        <f t="shared" si="2991"/>
        <v>0</v>
      </c>
      <c r="BJ892" s="581">
        <f t="shared" si="2991"/>
        <v>0</v>
      </c>
      <c r="BK892" s="581">
        <f t="shared" si="2991"/>
        <v>0</v>
      </c>
      <c r="BL892" s="581">
        <f t="shared" si="2991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2949"/>
        <v>0</v>
      </c>
      <c r="CA892" s="398">
        <f t="shared" si="2950"/>
        <v>0</v>
      </c>
      <c r="CB892" s="398">
        <f t="shared" si="2951"/>
        <v>0</v>
      </c>
      <c r="CC892" s="465">
        <f t="shared" si="2952"/>
        <v>0</v>
      </c>
      <c r="CD892" s="1114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5" t="str">
        <f t="shared" si="2954"/>
        <v/>
      </c>
      <c r="CF892" s="1116" t="str">
        <f t="shared" si="2954"/>
        <v/>
      </c>
      <c r="CG892" s="1116" t="str">
        <f t="shared" si="2954"/>
        <v/>
      </c>
      <c r="CH892" s="1116">
        <f t="shared" si="2954"/>
        <v>0</v>
      </c>
      <c r="CI892" s="1116">
        <f t="shared" si="2954"/>
        <v>0</v>
      </c>
      <c r="CJ892" s="1116">
        <f t="shared" si="2954"/>
        <v>0</v>
      </c>
      <c r="CK892" s="1117">
        <f t="shared" si="2954"/>
        <v>0</v>
      </c>
      <c r="CL892" s="1117">
        <f t="shared" si="2954"/>
        <v>0</v>
      </c>
      <c r="CM892" s="1117">
        <f t="shared" si="2954"/>
        <v>0</v>
      </c>
      <c r="CN892" s="1116">
        <f t="shared" si="2954"/>
        <v>0</v>
      </c>
      <c r="CO892" s="1116">
        <f t="shared" si="2954"/>
        <v>0</v>
      </c>
      <c r="CP892" s="1116">
        <f t="shared" si="2954"/>
        <v>0</v>
      </c>
      <c r="CQ892" s="1116" t="str">
        <f t="shared" si="2954"/>
        <v/>
      </c>
      <c r="CR892" s="1116" t="str">
        <f t="shared" si="2954"/>
        <v/>
      </c>
      <c r="CS892" s="1115" t="str">
        <f t="shared" si="2954"/>
        <v/>
      </c>
      <c r="CT892" s="1118" t="str">
        <f t="shared" si="2954"/>
        <v/>
      </c>
      <c r="CU892" s="312" t="str">
        <f t="shared" si="2955"/>
        <v/>
      </c>
      <c r="CV892" s="313" t="str">
        <f t="shared" si="2956"/>
        <v/>
      </c>
      <c r="CW892" s="314" t="str">
        <f t="shared" si="2957"/>
        <v/>
      </c>
      <c r="CX892" s="314" t="str">
        <f t="shared" si="2958"/>
        <v/>
      </c>
      <c r="CY892" s="314">
        <f t="shared" si="2959"/>
        <v>0</v>
      </c>
      <c r="CZ892" s="314">
        <f t="shared" si="2960"/>
        <v>0</v>
      </c>
      <c r="DA892" s="314">
        <f t="shared" si="2961"/>
        <v>0</v>
      </c>
      <c r="DB892" s="315">
        <f t="shared" si="2962"/>
        <v>0</v>
      </c>
      <c r="DC892" s="315">
        <f t="shared" si="2963"/>
        <v>0</v>
      </c>
      <c r="DD892" s="315">
        <f t="shared" si="2964"/>
        <v>0</v>
      </c>
      <c r="DE892" s="314">
        <f t="shared" si="2965"/>
        <v>0</v>
      </c>
      <c r="DF892" s="314">
        <f t="shared" si="2966"/>
        <v>0</v>
      </c>
      <c r="DG892" s="314">
        <f t="shared" si="2967"/>
        <v>0</v>
      </c>
      <c r="DH892" s="314" t="str">
        <f t="shared" si="2968"/>
        <v/>
      </c>
      <c r="DI892" s="314" t="str">
        <f t="shared" si="2969"/>
        <v/>
      </c>
      <c r="DJ892" s="313" t="str">
        <f t="shared" si="2970"/>
        <v/>
      </c>
      <c r="DK892" s="312" t="str">
        <f t="shared" si="2971"/>
        <v/>
      </c>
      <c r="DL892" s="428">
        <f t="shared" si="2972"/>
        <v>9</v>
      </c>
      <c r="DM892" s="66">
        <f t="shared" si="2973"/>
        <v>9</v>
      </c>
      <c r="DN892" s="66">
        <f t="shared" si="2974"/>
        <v>9</v>
      </c>
      <c r="DO892" s="66">
        <f t="shared" si="2975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2992">SUM(B685)</f>
        <v>0</v>
      </c>
      <c r="C893" s="581">
        <f t="shared" si="2992"/>
        <v>0</v>
      </c>
      <c r="D893" s="581">
        <f t="shared" si="2992"/>
        <v>0</v>
      </c>
      <c r="E893" s="581">
        <f t="shared" si="2992"/>
        <v>0</v>
      </c>
      <c r="F893" s="581">
        <f t="shared" si="2992"/>
        <v>0</v>
      </c>
      <c r="G893" s="581">
        <f t="shared" si="2992"/>
        <v>0</v>
      </c>
      <c r="H893" s="581">
        <f t="shared" si="2992"/>
        <v>0</v>
      </c>
      <c r="I893" s="581">
        <f t="shared" si="2992"/>
        <v>0</v>
      </c>
      <c r="J893" s="581">
        <f t="shared" si="2992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2993">SUM(T685)</f>
        <v>0</v>
      </c>
      <c r="U893" s="581">
        <f t="shared" si="2993"/>
        <v>0</v>
      </c>
      <c r="V893" s="581">
        <f t="shared" si="2993"/>
        <v>0</v>
      </c>
      <c r="W893" s="581">
        <f t="shared" si="2993"/>
        <v>0</v>
      </c>
      <c r="X893" s="581">
        <f t="shared" si="2993"/>
        <v>0</v>
      </c>
      <c r="Y893" s="581">
        <f t="shared" si="2993"/>
        <v>0</v>
      </c>
      <c r="Z893" s="581">
        <f t="shared" si="2993"/>
        <v>0</v>
      </c>
      <c r="AA893" s="581">
        <f t="shared" si="2993"/>
        <v>0</v>
      </c>
      <c r="AB893" s="581">
        <f t="shared" si="2993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2994">SUM(AL685)</f>
        <v>0</v>
      </c>
      <c r="AM893" s="581">
        <f t="shared" si="2994"/>
        <v>0</v>
      </c>
      <c r="AN893" s="581">
        <f t="shared" si="2994"/>
        <v>0</v>
      </c>
      <c r="AO893" s="581">
        <f t="shared" si="2994"/>
        <v>0</v>
      </c>
      <c r="AP893" s="581">
        <f t="shared" si="2994"/>
        <v>0</v>
      </c>
      <c r="AQ893" s="581">
        <f t="shared" si="2994"/>
        <v>0</v>
      </c>
      <c r="AR893" s="581">
        <f t="shared" si="2994"/>
        <v>0</v>
      </c>
      <c r="AS893" s="581">
        <f t="shared" si="2994"/>
        <v>0</v>
      </c>
      <c r="AT893" s="581">
        <f t="shared" si="2994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2995">SUM(BD685)</f>
        <v>0</v>
      </c>
      <c r="BE893" s="581">
        <f t="shared" si="2995"/>
        <v>0</v>
      </c>
      <c r="BF893" s="581">
        <f t="shared" si="2995"/>
        <v>0</v>
      </c>
      <c r="BG893" s="581">
        <f t="shared" si="2995"/>
        <v>0</v>
      </c>
      <c r="BH893" s="581">
        <f t="shared" si="2995"/>
        <v>0</v>
      </c>
      <c r="BI893" s="581">
        <f t="shared" si="2995"/>
        <v>0</v>
      </c>
      <c r="BJ893" s="581">
        <f t="shared" si="2995"/>
        <v>0</v>
      </c>
      <c r="BK893" s="581">
        <f t="shared" si="2995"/>
        <v>0</v>
      </c>
      <c r="BL893" s="581">
        <f t="shared" si="2995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2949"/>
        <v>0</v>
      </c>
      <c r="CA893" s="398">
        <f t="shared" si="2950"/>
        <v>0</v>
      </c>
      <c r="CB893" s="398">
        <f t="shared" si="2951"/>
        <v>0</v>
      </c>
      <c r="CC893" s="465">
        <f t="shared" si="2952"/>
        <v>0</v>
      </c>
      <c r="CD893" s="1114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5" t="str">
        <f t="shared" si="2954"/>
        <v/>
      </c>
      <c r="CF893" s="1116" t="str">
        <f t="shared" si="2954"/>
        <v/>
      </c>
      <c r="CG893" s="1116" t="str">
        <f t="shared" si="2954"/>
        <v/>
      </c>
      <c r="CH893" s="1116">
        <f t="shared" si="2954"/>
        <v>0</v>
      </c>
      <c r="CI893" s="1116">
        <f t="shared" si="2954"/>
        <v>0</v>
      </c>
      <c r="CJ893" s="1116">
        <f t="shared" si="2954"/>
        <v>0</v>
      </c>
      <c r="CK893" s="1117">
        <f t="shared" si="2954"/>
        <v>0</v>
      </c>
      <c r="CL893" s="1117">
        <f t="shared" si="2954"/>
        <v>0</v>
      </c>
      <c r="CM893" s="1117">
        <f t="shared" si="2954"/>
        <v>0</v>
      </c>
      <c r="CN893" s="1116">
        <f t="shared" si="2954"/>
        <v>0</v>
      </c>
      <c r="CO893" s="1116">
        <f t="shared" si="2954"/>
        <v>0</v>
      </c>
      <c r="CP893" s="1116">
        <f t="shared" si="2954"/>
        <v>0</v>
      </c>
      <c r="CQ893" s="1116" t="str">
        <f t="shared" si="2954"/>
        <v/>
      </c>
      <c r="CR893" s="1116" t="str">
        <f t="shared" si="2954"/>
        <v/>
      </c>
      <c r="CS893" s="1115" t="str">
        <f t="shared" si="2954"/>
        <v/>
      </c>
      <c r="CT893" s="1118" t="str">
        <f t="shared" si="2954"/>
        <v/>
      </c>
      <c r="CU893" s="312" t="str">
        <f t="shared" si="2955"/>
        <v/>
      </c>
      <c r="CV893" s="313" t="str">
        <f t="shared" si="2956"/>
        <v/>
      </c>
      <c r="CW893" s="314" t="str">
        <f t="shared" si="2957"/>
        <v/>
      </c>
      <c r="CX893" s="314" t="str">
        <f t="shared" si="2958"/>
        <v/>
      </c>
      <c r="CY893" s="314">
        <f t="shared" si="2959"/>
        <v>0</v>
      </c>
      <c r="CZ893" s="314">
        <f t="shared" si="2960"/>
        <v>0</v>
      </c>
      <c r="DA893" s="314">
        <f t="shared" si="2961"/>
        <v>0</v>
      </c>
      <c r="DB893" s="315">
        <f t="shared" si="2962"/>
        <v>0</v>
      </c>
      <c r="DC893" s="315">
        <f t="shared" si="2963"/>
        <v>0</v>
      </c>
      <c r="DD893" s="315">
        <f t="shared" si="2964"/>
        <v>0</v>
      </c>
      <c r="DE893" s="314">
        <f t="shared" si="2965"/>
        <v>0</v>
      </c>
      <c r="DF893" s="314">
        <f t="shared" si="2966"/>
        <v>0</v>
      </c>
      <c r="DG893" s="314">
        <f t="shared" si="2967"/>
        <v>0</v>
      </c>
      <c r="DH893" s="314" t="str">
        <f t="shared" si="2968"/>
        <v/>
      </c>
      <c r="DI893" s="314" t="str">
        <f t="shared" si="2969"/>
        <v/>
      </c>
      <c r="DJ893" s="313" t="str">
        <f t="shared" si="2970"/>
        <v/>
      </c>
      <c r="DK893" s="312" t="str">
        <f t="shared" si="2971"/>
        <v/>
      </c>
      <c r="DL893" s="428">
        <f t="shared" si="2972"/>
        <v>9</v>
      </c>
      <c r="DM893" s="66">
        <f t="shared" si="2973"/>
        <v>9</v>
      </c>
      <c r="DN893" s="66">
        <f t="shared" si="2974"/>
        <v>9</v>
      </c>
      <c r="DO893" s="66">
        <f t="shared" si="2975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19"/>
      <c r="CE894" s="1156"/>
      <c r="CF894" s="1156"/>
      <c r="CG894" s="1156"/>
      <c r="CH894" s="1156"/>
      <c r="CI894" s="1156"/>
      <c r="CJ894" s="1156"/>
      <c r="CK894" s="1156"/>
      <c r="CL894" s="1156"/>
      <c r="CM894" s="1156"/>
      <c r="CN894" s="1156"/>
      <c r="CO894" s="1156"/>
      <c r="CP894" s="1156"/>
      <c r="CQ894" s="1156"/>
      <c r="CR894" s="1156"/>
      <c r="CS894" s="1156"/>
      <c r="CT894" s="1121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2996">SUM(B690)</f>
        <v>0</v>
      </c>
      <c r="C895" s="581">
        <f t="shared" si="2996"/>
        <v>0</v>
      </c>
      <c r="D895" s="581">
        <f t="shared" si="2996"/>
        <v>0</v>
      </c>
      <c r="E895" s="581">
        <f t="shared" si="2996"/>
        <v>0</v>
      </c>
      <c r="F895" s="581">
        <f t="shared" si="2996"/>
        <v>0</v>
      </c>
      <c r="G895" s="581">
        <f t="shared" si="2996"/>
        <v>0</v>
      </c>
      <c r="H895" s="581">
        <f t="shared" si="2996"/>
        <v>0</v>
      </c>
      <c r="I895" s="581">
        <f t="shared" si="2996"/>
        <v>0</v>
      </c>
      <c r="J895" s="581">
        <f t="shared" si="2996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2997">SUM(T690)</f>
        <v>0</v>
      </c>
      <c r="U895" s="581">
        <f t="shared" si="2997"/>
        <v>0</v>
      </c>
      <c r="V895" s="581">
        <f t="shared" si="2997"/>
        <v>0</v>
      </c>
      <c r="W895" s="581">
        <f t="shared" si="2997"/>
        <v>0</v>
      </c>
      <c r="X895" s="581">
        <f t="shared" si="2997"/>
        <v>0</v>
      </c>
      <c r="Y895" s="581">
        <f t="shared" si="2997"/>
        <v>0</v>
      </c>
      <c r="Z895" s="581">
        <f t="shared" si="2997"/>
        <v>0</v>
      </c>
      <c r="AA895" s="581">
        <f t="shared" si="2997"/>
        <v>0</v>
      </c>
      <c r="AB895" s="581">
        <f t="shared" si="2997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2998">SUM(AL690)</f>
        <v>0</v>
      </c>
      <c r="AM895" s="581">
        <f t="shared" si="2998"/>
        <v>0</v>
      </c>
      <c r="AN895" s="581">
        <f t="shared" si="2998"/>
        <v>0</v>
      </c>
      <c r="AO895" s="581">
        <f t="shared" si="2998"/>
        <v>0</v>
      </c>
      <c r="AP895" s="581">
        <f t="shared" si="2998"/>
        <v>0</v>
      </c>
      <c r="AQ895" s="581">
        <f t="shared" si="2998"/>
        <v>0</v>
      </c>
      <c r="AR895" s="581">
        <f t="shared" si="2998"/>
        <v>0</v>
      </c>
      <c r="AS895" s="581">
        <f t="shared" si="2998"/>
        <v>0</v>
      </c>
      <c r="AT895" s="581">
        <f t="shared" si="2998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2999">SUM(BD690)</f>
        <v>0</v>
      </c>
      <c r="BE895" s="581">
        <f t="shared" si="2999"/>
        <v>0</v>
      </c>
      <c r="BF895" s="581">
        <f t="shared" si="2999"/>
        <v>0</v>
      </c>
      <c r="BG895" s="581">
        <f t="shared" si="2999"/>
        <v>0</v>
      </c>
      <c r="BH895" s="581">
        <f t="shared" si="2999"/>
        <v>0</v>
      </c>
      <c r="BI895" s="581">
        <f t="shared" si="2999"/>
        <v>0</v>
      </c>
      <c r="BJ895" s="581">
        <f t="shared" si="2999"/>
        <v>0</v>
      </c>
      <c r="BK895" s="581">
        <f t="shared" si="2999"/>
        <v>0</v>
      </c>
      <c r="BL895" s="581">
        <f t="shared" si="2999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4" t="str">
        <f t="shared" ref="CD895:CS895" si="300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5" t="str">
        <f t="shared" si="3000"/>
        <v/>
      </c>
      <c r="CF895" s="1116" t="str">
        <f t="shared" si="3000"/>
        <v/>
      </c>
      <c r="CG895" s="1116" t="str">
        <f t="shared" si="3000"/>
        <v/>
      </c>
      <c r="CH895" s="1116">
        <f t="shared" si="3000"/>
        <v>0</v>
      </c>
      <c r="CI895" s="1116">
        <f t="shared" si="3000"/>
        <v>0</v>
      </c>
      <c r="CJ895" s="1116">
        <f t="shared" si="3000"/>
        <v>0</v>
      </c>
      <c r="CK895" s="1117">
        <f t="shared" si="3000"/>
        <v>0</v>
      </c>
      <c r="CL895" s="1117">
        <f t="shared" si="3000"/>
        <v>0</v>
      </c>
      <c r="CM895" s="1117">
        <f t="shared" si="3000"/>
        <v>0</v>
      </c>
      <c r="CN895" s="1116">
        <f t="shared" si="3000"/>
        <v>0</v>
      </c>
      <c r="CO895" s="1116">
        <f t="shared" si="3000"/>
        <v>0</v>
      </c>
      <c r="CP895" s="1116">
        <f t="shared" si="3000"/>
        <v>0</v>
      </c>
      <c r="CQ895" s="1116" t="str">
        <f t="shared" si="3000"/>
        <v/>
      </c>
      <c r="CR895" s="1116" t="str">
        <f t="shared" si="3000"/>
        <v/>
      </c>
      <c r="CS895" s="1115" t="str">
        <f t="shared" si="3000"/>
        <v/>
      </c>
      <c r="CT895" s="1118" t="str">
        <f t="shared" ref="CE895:CT897" si="300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300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3002"/>
        <v/>
      </c>
      <c r="CW895" s="314" t="str">
        <f t="shared" si="3002"/>
        <v/>
      </c>
      <c r="CX895" s="314" t="str">
        <f t="shared" si="3002"/>
        <v/>
      </c>
      <c r="CY895" s="314">
        <f t="shared" si="3002"/>
        <v>0</v>
      </c>
      <c r="CZ895" s="314">
        <f t="shared" si="3002"/>
        <v>0</v>
      </c>
      <c r="DA895" s="314">
        <f t="shared" si="3002"/>
        <v>0</v>
      </c>
      <c r="DB895" s="315">
        <f t="shared" si="3002"/>
        <v>0</v>
      </c>
      <c r="DC895" s="315">
        <f t="shared" si="3002"/>
        <v>0</v>
      </c>
      <c r="DD895" s="315">
        <f t="shared" si="3002"/>
        <v>0</v>
      </c>
      <c r="DE895" s="314">
        <f t="shared" ref="DE895:DK897" si="300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003"/>
        <v>0</v>
      </c>
      <c r="DG895" s="314">
        <f t="shared" si="3003"/>
        <v>0</v>
      </c>
      <c r="DH895" s="314" t="str">
        <f t="shared" si="3003"/>
        <v/>
      </c>
      <c r="DI895" s="314" t="str">
        <f t="shared" si="3003"/>
        <v/>
      </c>
      <c r="DJ895" s="313" t="str">
        <f t="shared" si="3003"/>
        <v/>
      </c>
      <c r="DK895" s="312" t="str">
        <f t="shared" si="3003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3004">SUM(B695)</f>
        <v>0</v>
      </c>
      <c r="C896" s="581">
        <f t="shared" si="3004"/>
        <v>0</v>
      </c>
      <c r="D896" s="581">
        <f t="shared" si="3004"/>
        <v>0</v>
      </c>
      <c r="E896" s="581">
        <f t="shared" si="3004"/>
        <v>0</v>
      </c>
      <c r="F896" s="581">
        <f t="shared" si="3004"/>
        <v>0</v>
      </c>
      <c r="G896" s="581">
        <f t="shared" si="3004"/>
        <v>0</v>
      </c>
      <c r="H896" s="581">
        <f t="shared" si="3004"/>
        <v>0</v>
      </c>
      <c r="I896" s="581">
        <f t="shared" si="3004"/>
        <v>0</v>
      </c>
      <c r="J896" s="581">
        <f t="shared" si="3004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3005">SUM(T695)</f>
        <v>0</v>
      </c>
      <c r="U896" s="581">
        <f t="shared" si="3005"/>
        <v>0</v>
      </c>
      <c r="V896" s="581">
        <f t="shared" si="3005"/>
        <v>0</v>
      </c>
      <c r="W896" s="581">
        <f t="shared" si="3005"/>
        <v>0</v>
      </c>
      <c r="X896" s="581">
        <f t="shared" si="3005"/>
        <v>0</v>
      </c>
      <c r="Y896" s="581">
        <f t="shared" si="3005"/>
        <v>0</v>
      </c>
      <c r="Z896" s="581">
        <f t="shared" si="3005"/>
        <v>0</v>
      </c>
      <c r="AA896" s="581">
        <f t="shared" si="3005"/>
        <v>0</v>
      </c>
      <c r="AB896" s="581">
        <f t="shared" si="3005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3006">SUM(AL695)</f>
        <v>0</v>
      </c>
      <c r="AM896" s="581">
        <f t="shared" si="3006"/>
        <v>0</v>
      </c>
      <c r="AN896" s="581">
        <f t="shared" si="3006"/>
        <v>0</v>
      </c>
      <c r="AO896" s="581">
        <f t="shared" si="3006"/>
        <v>0</v>
      </c>
      <c r="AP896" s="581">
        <f t="shared" si="3006"/>
        <v>0</v>
      </c>
      <c r="AQ896" s="581">
        <f t="shared" si="3006"/>
        <v>0</v>
      </c>
      <c r="AR896" s="581">
        <f t="shared" si="3006"/>
        <v>0</v>
      </c>
      <c r="AS896" s="581">
        <f t="shared" si="3006"/>
        <v>0</v>
      </c>
      <c r="AT896" s="581">
        <f t="shared" si="3006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3007">SUM(BD695)</f>
        <v>0</v>
      </c>
      <c r="BE896" s="581">
        <f t="shared" si="3007"/>
        <v>0</v>
      </c>
      <c r="BF896" s="581">
        <f t="shared" si="3007"/>
        <v>0</v>
      </c>
      <c r="BG896" s="581">
        <f t="shared" si="3007"/>
        <v>0</v>
      </c>
      <c r="BH896" s="581">
        <f t="shared" si="3007"/>
        <v>0</v>
      </c>
      <c r="BI896" s="581">
        <f t="shared" si="3007"/>
        <v>0</v>
      </c>
      <c r="BJ896" s="581">
        <f t="shared" si="3007"/>
        <v>0</v>
      </c>
      <c r="BK896" s="581">
        <f t="shared" si="3007"/>
        <v>0</v>
      </c>
      <c r="BL896" s="581">
        <f t="shared" si="3007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4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5" t="str">
        <f t="shared" si="3001"/>
        <v/>
      </c>
      <c r="CF896" s="1116" t="str">
        <f t="shared" si="3001"/>
        <v/>
      </c>
      <c r="CG896" s="1116" t="str">
        <f t="shared" si="3001"/>
        <v/>
      </c>
      <c r="CH896" s="1116">
        <f t="shared" si="3001"/>
        <v>0</v>
      </c>
      <c r="CI896" s="1116">
        <f t="shared" si="3001"/>
        <v>0</v>
      </c>
      <c r="CJ896" s="1116">
        <f t="shared" si="3001"/>
        <v>0</v>
      </c>
      <c r="CK896" s="1117">
        <f t="shared" si="3001"/>
        <v>0</v>
      </c>
      <c r="CL896" s="1117">
        <f t="shared" si="3001"/>
        <v>0</v>
      </c>
      <c r="CM896" s="1117">
        <f t="shared" si="3001"/>
        <v>0</v>
      </c>
      <c r="CN896" s="1116">
        <f t="shared" si="3001"/>
        <v>0</v>
      </c>
      <c r="CO896" s="1116">
        <f t="shared" si="3001"/>
        <v>0</v>
      </c>
      <c r="CP896" s="1116">
        <f t="shared" si="3001"/>
        <v>0</v>
      </c>
      <c r="CQ896" s="1116" t="str">
        <f t="shared" si="3001"/>
        <v/>
      </c>
      <c r="CR896" s="1116" t="str">
        <f t="shared" si="3001"/>
        <v/>
      </c>
      <c r="CS896" s="1115" t="str">
        <f t="shared" si="3001"/>
        <v/>
      </c>
      <c r="CT896" s="1118" t="str">
        <f t="shared" si="3001"/>
        <v/>
      </c>
      <c r="CU896" s="312" t="str">
        <f t="shared" si="3002"/>
        <v/>
      </c>
      <c r="CV896" s="313" t="str">
        <f t="shared" si="3002"/>
        <v/>
      </c>
      <c r="CW896" s="314" t="str">
        <f t="shared" si="3002"/>
        <v/>
      </c>
      <c r="CX896" s="314" t="str">
        <f t="shared" si="3002"/>
        <v/>
      </c>
      <c r="CY896" s="314">
        <f t="shared" si="3002"/>
        <v>0</v>
      </c>
      <c r="CZ896" s="314">
        <f t="shared" si="3002"/>
        <v>0</v>
      </c>
      <c r="DA896" s="314">
        <f t="shared" si="3002"/>
        <v>0</v>
      </c>
      <c r="DB896" s="315">
        <f t="shared" si="3002"/>
        <v>0</v>
      </c>
      <c r="DC896" s="315">
        <f t="shared" si="3002"/>
        <v>0</v>
      </c>
      <c r="DD896" s="315">
        <f t="shared" si="3002"/>
        <v>0</v>
      </c>
      <c r="DE896" s="314">
        <f t="shared" si="3003"/>
        <v>0</v>
      </c>
      <c r="DF896" s="314">
        <f t="shared" si="3003"/>
        <v>0</v>
      </c>
      <c r="DG896" s="314">
        <f t="shared" si="3003"/>
        <v>0</v>
      </c>
      <c r="DH896" s="314" t="str">
        <f t="shared" si="3003"/>
        <v/>
      </c>
      <c r="DI896" s="314" t="str">
        <f t="shared" si="3003"/>
        <v/>
      </c>
      <c r="DJ896" s="313" t="str">
        <f t="shared" si="3003"/>
        <v/>
      </c>
      <c r="DK896" s="312" t="str">
        <f t="shared" si="3003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3008">SUM(B700)</f>
        <v>0</v>
      </c>
      <c r="C897" s="581">
        <f t="shared" si="3008"/>
        <v>0</v>
      </c>
      <c r="D897" s="581">
        <f t="shared" si="3008"/>
        <v>0</v>
      </c>
      <c r="E897" s="581">
        <f t="shared" si="3008"/>
        <v>0</v>
      </c>
      <c r="F897" s="581">
        <f t="shared" si="3008"/>
        <v>0</v>
      </c>
      <c r="G897" s="581">
        <f t="shared" si="3008"/>
        <v>0</v>
      </c>
      <c r="H897" s="581">
        <f t="shared" si="3008"/>
        <v>0</v>
      </c>
      <c r="I897" s="581">
        <f t="shared" si="3008"/>
        <v>0</v>
      </c>
      <c r="J897" s="581">
        <f t="shared" si="3008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3009">SUM(T700)</f>
        <v>0</v>
      </c>
      <c r="U897" s="581">
        <f t="shared" si="3009"/>
        <v>0</v>
      </c>
      <c r="V897" s="581">
        <f t="shared" si="3009"/>
        <v>0</v>
      </c>
      <c r="W897" s="581">
        <f t="shared" si="3009"/>
        <v>0</v>
      </c>
      <c r="X897" s="581">
        <f t="shared" si="3009"/>
        <v>0</v>
      </c>
      <c r="Y897" s="581">
        <f t="shared" si="3009"/>
        <v>0</v>
      </c>
      <c r="Z897" s="581">
        <f t="shared" si="3009"/>
        <v>0</v>
      </c>
      <c r="AA897" s="581">
        <f t="shared" si="3009"/>
        <v>0</v>
      </c>
      <c r="AB897" s="581">
        <f t="shared" si="3009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3010">SUM(AL700)</f>
        <v>0</v>
      </c>
      <c r="AM897" s="581">
        <f t="shared" si="3010"/>
        <v>0</v>
      </c>
      <c r="AN897" s="581">
        <f t="shared" si="3010"/>
        <v>0</v>
      </c>
      <c r="AO897" s="581">
        <f t="shared" si="3010"/>
        <v>0</v>
      </c>
      <c r="AP897" s="581">
        <f t="shared" si="3010"/>
        <v>0</v>
      </c>
      <c r="AQ897" s="581">
        <f t="shared" si="3010"/>
        <v>0</v>
      </c>
      <c r="AR897" s="581">
        <f t="shared" si="3010"/>
        <v>0</v>
      </c>
      <c r="AS897" s="581">
        <f t="shared" si="3010"/>
        <v>0</v>
      </c>
      <c r="AT897" s="581">
        <f t="shared" si="3010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3011">SUM(BD700)</f>
        <v>0</v>
      </c>
      <c r="BE897" s="581">
        <f t="shared" si="3011"/>
        <v>0</v>
      </c>
      <c r="BF897" s="581">
        <f t="shared" si="3011"/>
        <v>0</v>
      </c>
      <c r="BG897" s="581">
        <f t="shared" si="3011"/>
        <v>0</v>
      </c>
      <c r="BH897" s="581">
        <f t="shared" si="3011"/>
        <v>0</v>
      </c>
      <c r="BI897" s="581">
        <f t="shared" si="3011"/>
        <v>0</v>
      </c>
      <c r="BJ897" s="581">
        <f t="shared" si="3011"/>
        <v>0</v>
      </c>
      <c r="BK897" s="581">
        <f t="shared" si="3011"/>
        <v>0</v>
      </c>
      <c r="BL897" s="581">
        <f t="shared" si="3011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4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5" t="str">
        <f t="shared" si="3001"/>
        <v/>
      </c>
      <c r="CF897" s="1116" t="str">
        <f t="shared" si="3001"/>
        <v/>
      </c>
      <c r="CG897" s="1116" t="str">
        <f t="shared" si="3001"/>
        <v/>
      </c>
      <c r="CH897" s="1116">
        <f t="shared" si="3001"/>
        <v>0</v>
      </c>
      <c r="CI897" s="1116">
        <f t="shared" si="3001"/>
        <v>0</v>
      </c>
      <c r="CJ897" s="1116">
        <f t="shared" si="3001"/>
        <v>0</v>
      </c>
      <c r="CK897" s="1117">
        <f t="shared" si="3001"/>
        <v>0</v>
      </c>
      <c r="CL897" s="1117">
        <f t="shared" si="3001"/>
        <v>0</v>
      </c>
      <c r="CM897" s="1117">
        <f t="shared" si="3001"/>
        <v>0</v>
      </c>
      <c r="CN897" s="1116">
        <f t="shared" si="3001"/>
        <v>0</v>
      </c>
      <c r="CO897" s="1116">
        <f t="shared" si="3001"/>
        <v>0</v>
      </c>
      <c r="CP897" s="1116">
        <f t="shared" si="3001"/>
        <v>0</v>
      </c>
      <c r="CQ897" s="1116" t="str">
        <f t="shared" si="3001"/>
        <v/>
      </c>
      <c r="CR897" s="1116" t="str">
        <f t="shared" si="3001"/>
        <v/>
      </c>
      <c r="CS897" s="1115" t="str">
        <f t="shared" si="3001"/>
        <v/>
      </c>
      <c r="CT897" s="1118" t="str">
        <f t="shared" si="3001"/>
        <v/>
      </c>
      <c r="CU897" s="312" t="str">
        <f t="shared" si="3002"/>
        <v/>
      </c>
      <c r="CV897" s="313" t="str">
        <f t="shared" si="3002"/>
        <v/>
      </c>
      <c r="CW897" s="314" t="str">
        <f t="shared" si="3002"/>
        <v/>
      </c>
      <c r="CX897" s="314" t="str">
        <f t="shared" si="3002"/>
        <v/>
      </c>
      <c r="CY897" s="314">
        <f t="shared" si="3002"/>
        <v>0</v>
      </c>
      <c r="CZ897" s="314">
        <f t="shared" si="3002"/>
        <v>0</v>
      </c>
      <c r="DA897" s="314">
        <f t="shared" si="3002"/>
        <v>0</v>
      </c>
      <c r="DB897" s="315">
        <f t="shared" si="3002"/>
        <v>0</v>
      </c>
      <c r="DC897" s="315">
        <f t="shared" si="3002"/>
        <v>0</v>
      </c>
      <c r="DD897" s="315">
        <f t="shared" si="3002"/>
        <v>0</v>
      </c>
      <c r="DE897" s="314">
        <f t="shared" si="3003"/>
        <v>0</v>
      </c>
      <c r="DF897" s="314">
        <f t="shared" si="3003"/>
        <v>0</v>
      </c>
      <c r="DG897" s="314">
        <f t="shared" si="3003"/>
        <v>0</v>
      </c>
      <c r="DH897" s="314" t="str">
        <f t="shared" si="3003"/>
        <v/>
      </c>
      <c r="DI897" s="314" t="str">
        <f t="shared" si="3003"/>
        <v/>
      </c>
      <c r="DJ897" s="313" t="str">
        <f t="shared" si="3003"/>
        <v/>
      </c>
      <c r="DK897" s="312" t="str">
        <f t="shared" si="3003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19"/>
      <c r="CE898" s="1120"/>
      <c r="CF898" s="1120"/>
      <c r="CG898" s="1120"/>
      <c r="CH898" s="1120"/>
      <c r="CI898" s="1120"/>
      <c r="CJ898" s="1120"/>
      <c r="CK898" s="1120"/>
      <c r="CL898" s="1120"/>
      <c r="CM898" s="1120"/>
      <c r="CN898" s="1120"/>
      <c r="CO898" s="1120"/>
      <c r="CP898" s="1120"/>
      <c r="CQ898" s="1120"/>
      <c r="CR898" s="1120"/>
      <c r="CS898" s="1120"/>
      <c r="CT898" s="1121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3012">SUM(B819:B898)</f>
        <v>0.91933783431180705</v>
      </c>
      <c r="C899" s="581">
        <f t="shared" si="3012"/>
        <v>0.89685374149659869</v>
      </c>
      <c r="D899" s="581">
        <f t="shared" si="3012"/>
        <v>0.94030169602087421</v>
      </c>
      <c r="E899" s="581">
        <f t="shared" si="3012"/>
        <v>0.91523429006305734</v>
      </c>
      <c r="F899" s="581">
        <f t="shared" si="3012"/>
        <v>0.8972184170471843</v>
      </c>
      <c r="G899" s="581">
        <f t="shared" si="3012"/>
        <v>0.96698793215916501</v>
      </c>
      <c r="H899" s="581">
        <f t="shared" si="3012"/>
        <v>1.0203886714503154</v>
      </c>
      <c r="I899" s="581">
        <f t="shared" si="3012"/>
        <v>0.97188193085453356</v>
      </c>
      <c r="J899" s="581">
        <f t="shared" si="3012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3013">SUM(T819:T898)</f>
        <v>1.074454664057404</v>
      </c>
      <c r="U899" s="581">
        <f t="shared" si="3013"/>
        <v>1.0583918934946333</v>
      </c>
      <c r="V899" s="581">
        <f t="shared" si="3013"/>
        <v>1.0321711241574256</v>
      </c>
      <c r="W899" s="581">
        <f t="shared" si="3013"/>
        <v>1.0721884540117417</v>
      </c>
      <c r="X899" s="581">
        <f t="shared" si="3013"/>
        <v>1.0590503913894329</v>
      </c>
      <c r="Y899" s="581">
        <f t="shared" si="3013"/>
        <v>1.0717447115832635</v>
      </c>
      <c r="Z899" s="581">
        <f t="shared" si="3013"/>
        <v>1.0672146118721459</v>
      </c>
      <c r="AA899" s="581">
        <f t="shared" si="3013"/>
        <v>1.0353582517938678</v>
      </c>
      <c r="AB899" s="581">
        <f t="shared" si="3013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3014">SUM(AL819:AL898)</f>
        <v>1.089714849077863</v>
      </c>
      <c r="AM899" s="581">
        <f t="shared" si="3014"/>
        <v>1.096865296803653</v>
      </c>
      <c r="AN899" s="581">
        <f t="shared" si="3014"/>
        <v>1.1122916666666665</v>
      </c>
      <c r="AO899" s="581">
        <f t="shared" si="3014"/>
        <v>1.1316640574037835</v>
      </c>
      <c r="AP899" s="581">
        <f t="shared" si="3014"/>
        <v>1.1012884322678846</v>
      </c>
      <c r="AQ899" s="581">
        <f t="shared" si="3014"/>
        <v>1.0972614698847574</v>
      </c>
      <c r="AR899" s="581">
        <f t="shared" si="3014"/>
        <v>1.0917710371819962</v>
      </c>
      <c r="AS899" s="581">
        <f t="shared" si="3014"/>
        <v>1.1060050554468364</v>
      </c>
      <c r="AT899" s="581">
        <f t="shared" si="3014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3015">SUM(BJ819:BJ898)</f>
        <v>1.1860803435529461</v>
      </c>
      <c r="BK899" s="581">
        <f t="shared" si="3015"/>
        <v>1.1722039356381821</v>
      </c>
      <c r="BL899" s="581">
        <f t="shared" si="3015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19"/>
      <c r="CE899" s="1120"/>
      <c r="CF899" s="1120"/>
      <c r="CG899" s="1120"/>
      <c r="CH899" s="1120"/>
      <c r="CI899" s="1120"/>
      <c r="CJ899" s="1120"/>
      <c r="CK899" s="1120"/>
      <c r="CL899" s="1120"/>
      <c r="CM899" s="1120"/>
      <c r="CN899" s="1120"/>
      <c r="CO899" s="1120"/>
      <c r="CP899" s="1120"/>
      <c r="CQ899" s="1120"/>
      <c r="CR899" s="1120"/>
      <c r="CS899" s="1120"/>
      <c r="CT899" s="1121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19"/>
      <c r="CE900" s="1120"/>
      <c r="CF900" s="1120"/>
      <c r="CG900" s="1120"/>
      <c r="CH900" s="1120"/>
      <c r="CI900" s="1120"/>
      <c r="CJ900" s="1120"/>
      <c r="CK900" s="1120"/>
      <c r="CL900" s="1120"/>
      <c r="CM900" s="1120"/>
      <c r="CN900" s="1120"/>
      <c r="CO900" s="1120"/>
      <c r="CP900" s="1120"/>
      <c r="CQ900" s="1120"/>
      <c r="CR900" s="1120"/>
      <c r="CS900" s="1120"/>
      <c r="CT900" s="1121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19"/>
      <c r="CE901" s="1120"/>
      <c r="CF901" s="1120"/>
      <c r="CG901" s="1120"/>
      <c r="CH901" s="1120"/>
      <c r="CI901" s="1120"/>
      <c r="CJ901" s="1120"/>
      <c r="CK901" s="1120"/>
      <c r="CL901" s="1120"/>
      <c r="CM901" s="1120"/>
      <c r="CN901" s="1120"/>
      <c r="CO901" s="1120"/>
      <c r="CP901" s="1120"/>
      <c r="CQ901" s="1120"/>
      <c r="CR901" s="1120"/>
      <c r="CS901" s="1120"/>
      <c r="CT901" s="1121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19"/>
      <c r="CE902" s="1120"/>
      <c r="CF902" s="1120"/>
      <c r="CG902" s="1120"/>
      <c r="CH902" s="1120"/>
      <c r="CI902" s="1120"/>
      <c r="CJ902" s="1120"/>
      <c r="CK902" s="1120"/>
      <c r="CL902" s="1120"/>
      <c r="CM902" s="1120"/>
      <c r="CN902" s="1120"/>
      <c r="CO902" s="1120"/>
      <c r="CP902" s="1120"/>
      <c r="CQ902" s="1120"/>
      <c r="CR902" s="1120"/>
      <c r="CS902" s="1120"/>
      <c r="CT902" s="1121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>SUM(B72)</f>
        <v>0</v>
      </c>
      <c r="C903" s="570">
        <f>SUM(C72)</f>
        <v>0</v>
      </c>
      <c r="D903" s="570">
        <f>SUM(D72)</f>
        <v>0</v>
      </c>
      <c r="E903" s="570">
        <f>SUM(E72)</f>
        <v>0</v>
      </c>
      <c r="F903" s="570">
        <f>SUM(F72)</f>
        <v>0</v>
      </c>
      <c r="G903" s="570">
        <f>SUM(G72)</f>
        <v>0</v>
      </c>
      <c r="H903" s="570">
        <f>SUM(H72)</f>
        <v>0</v>
      </c>
      <c r="I903" s="570">
        <f>SUM(I72)</f>
        <v>0</v>
      </c>
      <c r="J903" s="570">
        <f>SUM(J72)</f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>SUM(T72)</f>
        <v>0</v>
      </c>
      <c r="U903" s="570">
        <f>SUM(U72)</f>
        <v>0</v>
      </c>
      <c r="V903" s="570">
        <f>SUM(V72)</f>
        <v>0</v>
      </c>
      <c r="W903" s="570">
        <f>SUM(W72)</f>
        <v>0</v>
      </c>
      <c r="X903" s="570">
        <f>SUM(X72)</f>
        <v>0</v>
      </c>
      <c r="Y903" s="570">
        <f>SUM(Y72)</f>
        <v>0</v>
      </c>
      <c r="Z903" s="570">
        <f>SUM(Z72)</f>
        <v>0</v>
      </c>
      <c r="AA903" s="570">
        <f>SUM(AA72)</f>
        <v>0</v>
      </c>
      <c r="AB903" s="570">
        <f>SUM(AB72)</f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>SUM(AL72)</f>
        <v>0</v>
      </c>
      <c r="AM903" s="570">
        <f>SUM(AM72)</f>
        <v>0</v>
      </c>
      <c r="AN903" s="570">
        <f>SUM(AN72)</f>
        <v>0</v>
      </c>
      <c r="AO903" s="570">
        <f>SUM(AO72)</f>
        <v>0</v>
      </c>
      <c r="AP903" s="570">
        <f>SUM(AP72)</f>
        <v>0</v>
      </c>
      <c r="AQ903" s="570">
        <f>SUM(AQ72)</f>
        <v>0</v>
      </c>
      <c r="AR903" s="570">
        <f>SUM(AR72)</f>
        <v>0</v>
      </c>
      <c r="AS903" s="570">
        <f>SUM(AS72)</f>
        <v>0</v>
      </c>
      <c r="AT903" s="570">
        <f>SUM(AT72)</f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>SUM(BD72)</f>
        <v>0</v>
      </c>
      <c r="BE903" s="570">
        <f>SUM(BE72)</f>
        <v>0</v>
      </c>
      <c r="BF903" s="570">
        <f>SUM(BF72)</f>
        <v>0</v>
      </c>
      <c r="BG903" s="570">
        <f>SUM(BG72)</f>
        <v>0</v>
      </c>
      <c r="BH903" s="570">
        <f>SUM(BH72)</f>
        <v>0</v>
      </c>
      <c r="BI903" s="570">
        <f>SUM(BI72)</f>
        <v>0</v>
      </c>
      <c r="BJ903" s="570">
        <f>SUM(BJ72)</f>
        <v>0</v>
      </c>
      <c r="BK903" s="570">
        <f>SUM(BK72)</f>
        <v>0</v>
      </c>
      <c r="BL903" s="570">
        <f>SUM(BL72)</f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3016">IF(DL903&lt;3,"",(SUM(B903:R903)-MIN(B903:R903)-MAX(B903:R903))/(DL903-2))</f>
        <v>0</v>
      </c>
      <c r="CA903" s="373">
        <f t="shared" ref="CA903:CA917" si="3017">IF(DM903&lt;3,"",(SUM(T903:AJ903)-MIN(T903:AJ903)-MAX(T903:AJ903))/(DM903-2))</f>
        <v>0</v>
      </c>
      <c r="CB903" s="373">
        <f t="shared" ref="CB903:CB917" si="3018">IF(DN903&lt;3,"",(SUM(AL903:BB903)-MIN(AL903:BB903)-MAX(AL903:BB903))/(DN903-2))</f>
        <v>0</v>
      </c>
      <c r="CC903" s="373">
        <f t="shared" ref="CC903:CC917" si="3019">IF(DO903&lt;3,"",(SUM(BD903:BT903)-MIN(BD903:BT903)-MAX(BD903:BT903))/(DO903-2))</f>
        <v>0</v>
      </c>
      <c r="CD903" s="1109" t="str">
        <f t="shared" ref="CD903:CS903" si="30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0" t="str">
        <f t="shared" si="3020"/>
        <v/>
      </c>
      <c r="CF903" s="1111" t="str">
        <f t="shared" si="3020"/>
        <v/>
      </c>
      <c r="CG903" s="1111" t="str">
        <f t="shared" si="3020"/>
        <v/>
      </c>
      <c r="CH903" s="1111">
        <f t="shared" si="3020"/>
        <v>0</v>
      </c>
      <c r="CI903" s="1111">
        <f t="shared" si="3020"/>
        <v>0</v>
      </c>
      <c r="CJ903" s="1111">
        <f t="shared" si="3020"/>
        <v>0</v>
      </c>
      <c r="CK903" s="1112">
        <f t="shared" si="3020"/>
        <v>0</v>
      </c>
      <c r="CL903" s="1112">
        <f t="shared" si="3020"/>
        <v>0</v>
      </c>
      <c r="CM903" s="1112">
        <f t="shared" si="3020"/>
        <v>0</v>
      </c>
      <c r="CN903" s="1111">
        <f t="shared" si="3020"/>
        <v>0</v>
      </c>
      <c r="CO903" s="1111">
        <f t="shared" si="3020"/>
        <v>0</v>
      </c>
      <c r="CP903" s="1111">
        <f t="shared" si="3020"/>
        <v>0</v>
      </c>
      <c r="CQ903" s="1111" t="str">
        <f t="shared" si="3020"/>
        <v/>
      </c>
      <c r="CR903" s="1111" t="str">
        <f t="shared" si="3020"/>
        <v/>
      </c>
      <c r="CS903" s="1110" t="str">
        <f t="shared" si="3020"/>
        <v/>
      </c>
      <c r="CT903" s="1113" t="str">
        <f t="shared" ref="CE903:CT917" si="30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30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30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30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30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30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0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0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0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0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0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0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0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0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30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30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30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30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3039">COUNT(B903:R903)</f>
        <v>9</v>
      </c>
      <c r="DM903" s="66">
        <f t="shared" ref="DM903:DM917" si="3040">COUNT(T903:AJ903)</f>
        <v>9</v>
      </c>
      <c r="DN903" s="66">
        <f t="shared" ref="DN903:DN917" si="3041">COUNT(AL903:BB903)</f>
        <v>9</v>
      </c>
      <c r="DO903" s="66">
        <f t="shared" ref="DO903:DO917" si="3042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>SUM(B80)</f>
        <v>0</v>
      </c>
      <c r="C904" s="570">
        <f>SUM(C80)</f>
        <v>0</v>
      </c>
      <c r="D904" s="570">
        <f>SUM(D80)</f>
        <v>0</v>
      </c>
      <c r="E904" s="570">
        <f>SUM(E80)</f>
        <v>0</v>
      </c>
      <c r="F904" s="570">
        <f>SUM(F80)</f>
        <v>0</v>
      </c>
      <c r="G904" s="570">
        <f>SUM(G80)</f>
        <v>0</v>
      </c>
      <c r="H904" s="570">
        <f>SUM(H80)</f>
        <v>0</v>
      </c>
      <c r="I904" s="570">
        <f>SUM(I80)</f>
        <v>0</v>
      </c>
      <c r="J904" s="570">
        <f>SUM(J80)</f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>SUM(T80)</f>
        <v>0</v>
      </c>
      <c r="U904" s="570">
        <f>SUM(U80)</f>
        <v>0</v>
      </c>
      <c r="V904" s="570">
        <f>SUM(V80)</f>
        <v>0</v>
      </c>
      <c r="W904" s="570">
        <f>SUM(W80)</f>
        <v>0</v>
      </c>
      <c r="X904" s="570">
        <f>SUM(X80)</f>
        <v>0</v>
      </c>
      <c r="Y904" s="570">
        <f>SUM(Y80)</f>
        <v>0</v>
      </c>
      <c r="Z904" s="570">
        <f>SUM(Z80)</f>
        <v>0</v>
      </c>
      <c r="AA904" s="570">
        <f>SUM(AA80)</f>
        <v>0</v>
      </c>
      <c r="AB904" s="570">
        <f>SUM(AB80)</f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>SUM(AL80)</f>
        <v>0</v>
      </c>
      <c r="AM904" s="570">
        <f>SUM(AM80)</f>
        <v>0</v>
      </c>
      <c r="AN904" s="570">
        <f>SUM(AN80)</f>
        <v>0</v>
      </c>
      <c r="AO904" s="570">
        <f>SUM(AO80)</f>
        <v>0</v>
      </c>
      <c r="AP904" s="570">
        <f>SUM(AP80)</f>
        <v>0</v>
      </c>
      <c r="AQ904" s="570">
        <f>SUM(AQ80)</f>
        <v>0</v>
      </c>
      <c r="AR904" s="570">
        <f>SUM(AR80)</f>
        <v>0</v>
      </c>
      <c r="AS904" s="570">
        <f>SUM(AS80)</f>
        <v>0</v>
      </c>
      <c r="AT904" s="570">
        <f>SUM(AT80)</f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>SUM(BD80)</f>
        <v>0</v>
      </c>
      <c r="BE904" s="570">
        <f>SUM(BE80)</f>
        <v>0</v>
      </c>
      <c r="BF904" s="570">
        <f>SUM(BF80)</f>
        <v>0</v>
      </c>
      <c r="BG904" s="570">
        <f>SUM(BG80)</f>
        <v>0</v>
      </c>
      <c r="BH904" s="570">
        <f>SUM(BH80)</f>
        <v>0</v>
      </c>
      <c r="BI904" s="570">
        <f>SUM(BI80)</f>
        <v>0</v>
      </c>
      <c r="BJ904" s="570">
        <f>SUM(BJ80)</f>
        <v>0</v>
      </c>
      <c r="BK904" s="570">
        <f>SUM(BK80)</f>
        <v>0</v>
      </c>
      <c r="BL904" s="570">
        <f>SUM(BL80)</f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3016"/>
        <v>0</v>
      </c>
      <c r="CA904" s="373">
        <f t="shared" si="3017"/>
        <v>0</v>
      </c>
      <c r="CB904" s="373">
        <f t="shared" si="3018"/>
        <v>0</v>
      </c>
      <c r="CC904" s="373">
        <f t="shared" si="3019"/>
        <v>0</v>
      </c>
      <c r="CD904" s="1109" t="str">
        <f t="shared" ref="CD904:CD917" si="304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0" t="str">
        <f t="shared" si="3021"/>
        <v/>
      </c>
      <c r="CF904" s="1111" t="str">
        <f t="shared" si="3021"/>
        <v/>
      </c>
      <c r="CG904" s="1111" t="str">
        <f t="shared" si="3021"/>
        <v/>
      </c>
      <c r="CH904" s="1111">
        <f t="shared" si="3021"/>
        <v>0</v>
      </c>
      <c r="CI904" s="1111">
        <f t="shared" si="3021"/>
        <v>0</v>
      </c>
      <c r="CJ904" s="1111">
        <f t="shared" si="3021"/>
        <v>0</v>
      </c>
      <c r="CK904" s="1112">
        <f t="shared" si="3021"/>
        <v>0</v>
      </c>
      <c r="CL904" s="1112">
        <f t="shared" si="3021"/>
        <v>0</v>
      </c>
      <c r="CM904" s="1112">
        <f t="shared" si="3021"/>
        <v>0</v>
      </c>
      <c r="CN904" s="1111">
        <f t="shared" si="3021"/>
        <v>0</v>
      </c>
      <c r="CO904" s="1111">
        <f t="shared" si="3021"/>
        <v>0</v>
      </c>
      <c r="CP904" s="1111">
        <f t="shared" si="3021"/>
        <v>0</v>
      </c>
      <c r="CQ904" s="1111" t="str">
        <f t="shared" si="3021"/>
        <v/>
      </c>
      <c r="CR904" s="1111" t="str">
        <f t="shared" si="3021"/>
        <v/>
      </c>
      <c r="CS904" s="1110" t="str">
        <f t="shared" si="3021"/>
        <v/>
      </c>
      <c r="CT904" s="1113" t="str">
        <f t="shared" si="3021"/>
        <v/>
      </c>
      <c r="CU904" s="324" t="str">
        <f t="shared" si="3022"/>
        <v/>
      </c>
      <c r="CV904" s="325" t="str">
        <f t="shared" si="3023"/>
        <v/>
      </c>
      <c r="CW904" s="326" t="str">
        <f t="shared" si="3024"/>
        <v/>
      </c>
      <c r="CX904" s="326" t="str">
        <f t="shared" si="3025"/>
        <v/>
      </c>
      <c r="CY904" s="326">
        <f t="shared" si="3026"/>
        <v>0</v>
      </c>
      <c r="CZ904" s="326">
        <f t="shared" si="3027"/>
        <v>0</v>
      </c>
      <c r="DA904" s="326">
        <f t="shared" si="3028"/>
        <v>0</v>
      </c>
      <c r="DB904" s="327">
        <f t="shared" si="3029"/>
        <v>0</v>
      </c>
      <c r="DC904" s="327">
        <f t="shared" si="3030"/>
        <v>0</v>
      </c>
      <c r="DD904" s="327">
        <f t="shared" si="3031"/>
        <v>0</v>
      </c>
      <c r="DE904" s="326">
        <f t="shared" si="3032"/>
        <v>0</v>
      </c>
      <c r="DF904" s="326">
        <f t="shared" si="3033"/>
        <v>0</v>
      </c>
      <c r="DG904" s="326">
        <f t="shared" si="3034"/>
        <v>0</v>
      </c>
      <c r="DH904" s="326" t="str">
        <f t="shared" si="3035"/>
        <v/>
      </c>
      <c r="DI904" s="326" t="str">
        <f t="shared" si="3036"/>
        <v/>
      </c>
      <c r="DJ904" s="325" t="str">
        <f t="shared" si="3037"/>
        <v/>
      </c>
      <c r="DK904" s="324" t="str">
        <f t="shared" si="3038"/>
        <v/>
      </c>
      <c r="DL904" s="428">
        <f t="shared" si="3039"/>
        <v>9</v>
      </c>
      <c r="DM904" s="66">
        <f t="shared" si="3040"/>
        <v>9</v>
      </c>
      <c r="DN904" s="66">
        <f t="shared" si="3041"/>
        <v>9</v>
      </c>
      <c r="DO904" s="66">
        <f t="shared" si="3042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>SUM(B88)</f>
        <v>0</v>
      </c>
      <c r="C905" s="570">
        <f>SUM(C88)</f>
        <v>0</v>
      </c>
      <c r="D905" s="570">
        <f>SUM(D88)</f>
        <v>0</v>
      </c>
      <c r="E905" s="570">
        <f>SUM(E88)</f>
        <v>0</v>
      </c>
      <c r="F905" s="570">
        <f>SUM(F88)</f>
        <v>0</v>
      </c>
      <c r="G905" s="570">
        <f>SUM(G88)</f>
        <v>0</v>
      </c>
      <c r="H905" s="570">
        <f>SUM(H88)</f>
        <v>0</v>
      </c>
      <c r="I905" s="570">
        <f>SUM(I88)</f>
        <v>0</v>
      </c>
      <c r="J905" s="570">
        <f>SUM(J88)</f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>SUM(T88)</f>
        <v>0</v>
      </c>
      <c r="U905" s="570">
        <f>SUM(U88)</f>
        <v>0</v>
      </c>
      <c r="V905" s="570">
        <f>SUM(V88)</f>
        <v>0</v>
      </c>
      <c r="W905" s="570">
        <f>SUM(W88)</f>
        <v>0</v>
      </c>
      <c r="X905" s="570">
        <f>SUM(X88)</f>
        <v>0</v>
      </c>
      <c r="Y905" s="570">
        <f>SUM(Y88)</f>
        <v>0</v>
      </c>
      <c r="Z905" s="570">
        <f>SUM(Z88)</f>
        <v>0</v>
      </c>
      <c r="AA905" s="570">
        <f>SUM(AA88)</f>
        <v>0</v>
      </c>
      <c r="AB905" s="570">
        <f>SUM(AB88)</f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>SUM(AL88)</f>
        <v>0</v>
      </c>
      <c r="AM905" s="570">
        <f>SUM(AM88)</f>
        <v>0</v>
      </c>
      <c r="AN905" s="570">
        <f>SUM(AN88)</f>
        <v>0</v>
      </c>
      <c r="AO905" s="570">
        <f>SUM(AO88)</f>
        <v>0</v>
      </c>
      <c r="AP905" s="570">
        <f>SUM(AP88)</f>
        <v>0</v>
      </c>
      <c r="AQ905" s="570">
        <f>SUM(AQ88)</f>
        <v>0</v>
      </c>
      <c r="AR905" s="570">
        <f>SUM(AR88)</f>
        <v>0</v>
      </c>
      <c r="AS905" s="570">
        <f>SUM(AS88)</f>
        <v>0</v>
      </c>
      <c r="AT905" s="570">
        <f>SUM(AT88)</f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>SUM(BD88)</f>
        <v>0</v>
      </c>
      <c r="BE905" s="570">
        <f>SUM(BE88)</f>
        <v>0</v>
      </c>
      <c r="BF905" s="570">
        <f>SUM(BF88)</f>
        <v>0</v>
      </c>
      <c r="BG905" s="570">
        <f>SUM(BG88)</f>
        <v>0</v>
      </c>
      <c r="BH905" s="570">
        <f>SUM(BH88)</f>
        <v>0</v>
      </c>
      <c r="BI905" s="570">
        <f>SUM(BI88)</f>
        <v>0</v>
      </c>
      <c r="BJ905" s="570">
        <f>SUM(BJ88)</f>
        <v>0</v>
      </c>
      <c r="BK905" s="570">
        <f>SUM(BK88)</f>
        <v>0</v>
      </c>
      <c r="BL905" s="570">
        <f>SUM(BL88)</f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3016"/>
        <v>0</v>
      </c>
      <c r="CA905" s="373">
        <f t="shared" si="3017"/>
        <v>0</v>
      </c>
      <c r="CB905" s="373">
        <f t="shared" si="3018"/>
        <v>0</v>
      </c>
      <c r="CC905" s="373">
        <f t="shared" si="3019"/>
        <v>0</v>
      </c>
      <c r="CD905" s="1109" t="str">
        <f t="shared" si="3043"/>
        <v/>
      </c>
      <c r="CE905" s="1110" t="str">
        <f t="shared" si="3021"/>
        <v/>
      </c>
      <c r="CF905" s="1111" t="str">
        <f t="shared" si="3021"/>
        <v/>
      </c>
      <c r="CG905" s="1111" t="str">
        <f t="shared" si="3021"/>
        <v/>
      </c>
      <c r="CH905" s="1111">
        <f t="shared" si="3021"/>
        <v>0</v>
      </c>
      <c r="CI905" s="1111">
        <f t="shared" si="3021"/>
        <v>0</v>
      </c>
      <c r="CJ905" s="1111">
        <f t="shared" si="3021"/>
        <v>0</v>
      </c>
      <c r="CK905" s="1112">
        <f t="shared" si="3021"/>
        <v>0</v>
      </c>
      <c r="CL905" s="1112">
        <f t="shared" si="3021"/>
        <v>0</v>
      </c>
      <c r="CM905" s="1112">
        <f t="shared" si="3021"/>
        <v>0</v>
      </c>
      <c r="CN905" s="1111">
        <f t="shared" si="3021"/>
        <v>0</v>
      </c>
      <c r="CO905" s="1111">
        <f t="shared" si="3021"/>
        <v>0</v>
      </c>
      <c r="CP905" s="1111">
        <f t="shared" si="3021"/>
        <v>0</v>
      </c>
      <c r="CQ905" s="1111" t="str">
        <f t="shared" si="3021"/>
        <v/>
      </c>
      <c r="CR905" s="1111" t="str">
        <f t="shared" si="3021"/>
        <v/>
      </c>
      <c r="CS905" s="1110" t="str">
        <f t="shared" si="3021"/>
        <v/>
      </c>
      <c r="CT905" s="1113" t="str">
        <f t="shared" si="3021"/>
        <v/>
      </c>
      <c r="CU905" s="324" t="str">
        <f t="shared" si="3022"/>
        <v/>
      </c>
      <c r="CV905" s="325" t="str">
        <f t="shared" si="3023"/>
        <v/>
      </c>
      <c r="CW905" s="326" t="str">
        <f t="shared" si="3024"/>
        <v/>
      </c>
      <c r="CX905" s="326" t="str">
        <f t="shared" si="3025"/>
        <v/>
      </c>
      <c r="CY905" s="326">
        <f t="shared" si="3026"/>
        <v>0</v>
      </c>
      <c r="CZ905" s="326">
        <f t="shared" si="3027"/>
        <v>0</v>
      </c>
      <c r="DA905" s="326">
        <f t="shared" si="3028"/>
        <v>0</v>
      </c>
      <c r="DB905" s="327">
        <f t="shared" si="3029"/>
        <v>0</v>
      </c>
      <c r="DC905" s="327">
        <f t="shared" si="3030"/>
        <v>0</v>
      </c>
      <c r="DD905" s="327">
        <f t="shared" si="3031"/>
        <v>0</v>
      </c>
      <c r="DE905" s="326">
        <f t="shared" si="3032"/>
        <v>0</v>
      </c>
      <c r="DF905" s="326">
        <f t="shared" si="3033"/>
        <v>0</v>
      </c>
      <c r="DG905" s="326">
        <f t="shared" si="3034"/>
        <v>0</v>
      </c>
      <c r="DH905" s="326" t="str">
        <f t="shared" si="3035"/>
        <v/>
      </c>
      <c r="DI905" s="326" t="str">
        <f t="shared" si="3036"/>
        <v/>
      </c>
      <c r="DJ905" s="325" t="str">
        <f t="shared" si="3037"/>
        <v/>
      </c>
      <c r="DK905" s="324" t="str">
        <f t="shared" si="3038"/>
        <v/>
      </c>
      <c r="DL905" s="428">
        <f t="shared" si="3039"/>
        <v>9</v>
      </c>
      <c r="DM905" s="66">
        <f t="shared" si="3040"/>
        <v>9</v>
      </c>
      <c r="DN905" s="66">
        <f t="shared" si="3041"/>
        <v>9</v>
      </c>
      <c r="DO905" s="66">
        <f t="shared" si="3042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>SUM(B99)</f>
        <v>0</v>
      </c>
      <c r="C906" s="570">
        <f>SUM(C99)</f>
        <v>0</v>
      </c>
      <c r="D906" s="570">
        <f>SUM(D99)</f>
        <v>0</v>
      </c>
      <c r="E906" s="570">
        <f>SUM(E99)</f>
        <v>0</v>
      </c>
      <c r="F906" s="570">
        <f>SUM(F99)</f>
        <v>0</v>
      </c>
      <c r="G906" s="570">
        <f>SUM(G99)</f>
        <v>0</v>
      </c>
      <c r="H906" s="570">
        <f>SUM(H99)</f>
        <v>0</v>
      </c>
      <c r="I906" s="570">
        <f>SUM(I99)</f>
        <v>0</v>
      </c>
      <c r="J906" s="570">
        <f>SUM(J99)</f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>SUM(T99)</f>
        <v>0</v>
      </c>
      <c r="U906" s="570">
        <f>SUM(U99)</f>
        <v>0</v>
      </c>
      <c r="V906" s="570">
        <f>SUM(V99)</f>
        <v>0</v>
      </c>
      <c r="W906" s="570">
        <f>SUM(W99)</f>
        <v>0</v>
      </c>
      <c r="X906" s="570">
        <f>SUM(X99)</f>
        <v>0</v>
      </c>
      <c r="Y906" s="570">
        <f>SUM(Y99)</f>
        <v>0</v>
      </c>
      <c r="Z906" s="570">
        <f>SUM(Z99)</f>
        <v>0</v>
      </c>
      <c r="AA906" s="570">
        <f>SUM(AA99)</f>
        <v>0</v>
      </c>
      <c r="AB906" s="570">
        <f>SUM(AB99)</f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>SUM(AL99)</f>
        <v>4500</v>
      </c>
      <c r="AM906" s="570">
        <f>SUM(AM99)</f>
        <v>2000</v>
      </c>
      <c r="AN906" s="570">
        <f>SUM(AN99)</f>
        <v>400</v>
      </c>
      <c r="AO906" s="570">
        <f>SUM(AO99)</f>
        <v>1350</v>
      </c>
      <c r="AP906" s="570">
        <f>SUM(AP99)</f>
        <v>2250</v>
      </c>
      <c r="AQ906" s="570">
        <f>SUM(AQ99)</f>
        <v>2437.5</v>
      </c>
      <c r="AR906" s="570">
        <f>SUM(AR99)</f>
        <v>0</v>
      </c>
      <c r="AS906" s="570">
        <f>SUM(AS99)</f>
        <v>360</v>
      </c>
      <c r="AT906" s="570">
        <f>SUM(AT99)</f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>SUM(BD99)</f>
        <v>1128</v>
      </c>
      <c r="BE906" s="570">
        <f>SUM(BE99)</f>
        <v>240</v>
      </c>
      <c r="BF906" s="570">
        <f>SUM(BF99)</f>
        <v>890</v>
      </c>
      <c r="BG906" s="570">
        <f>SUM(BG99)</f>
        <v>2500</v>
      </c>
      <c r="BH906" s="570">
        <f>SUM(BH99)</f>
        <v>1462.5</v>
      </c>
      <c r="BI906" s="570">
        <f>SUM(BI99)</f>
        <v>0</v>
      </c>
      <c r="BJ906" s="570">
        <f>SUM(BJ99)</f>
        <v>1200</v>
      </c>
      <c r="BK906" s="570">
        <f>SUM(BK99)</f>
        <v>300</v>
      </c>
      <c r="BL906" s="570">
        <f>SUM(BL99)</f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3016"/>
        <v>0</v>
      </c>
      <c r="CA906" s="373">
        <f t="shared" si="3017"/>
        <v>0</v>
      </c>
      <c r="CB906" s="373">
        <f t="shared" si="3018"/>
        <v>1256.7857142857142</v>
      </c>
      <c r="CC906" s="373">
        <f t="shared" si="3019"/>
        <v>960.07142857142856</v>
      </c>
      <c r="CD906" s="1109" t="str">
        <f t="shared" si="3043"/>
        <v/>
      </c>
      <c r="CE906" s="1110" t="str">
        <f t="shared" si="3021"/>
        <v/>
      </c>
      <c r="CF906" s="1111" t="str">
        <f t="shared" si="3021"/>
        <v/>
      </c>
      <c r="CG906" s="1111" t="str">
        <f t="shared" si="3021"/>
        <v/>
      </c>
      <c r="CH906" s="1111">
        <f t="shared" si="3021"/>
        <v>0</v>
      </c>
      <c r="CI906" s="1111">
        <f t="shared" si="3021"/>
        <v>0</v>
      </c>
      <c r="CJ906" s="1111">
        <f t="shared" si="3021"/>
        <v>0</v>
      </c>
      <c r="CK906" s="1112">
        <f t="shared" si="3021"/>
        <v>0</v>
      </c>
      <c r="CL906" s="1112">
        <f t="shared" si="3021"/>
        <v>0</v>
      </c>
      <c r="CM906" s="1112">
        <f t="shared" si="3021"/>
        <v>0</v>
      </c>
      <c r="CN906" s="1111">
        <f t="shared" si="3021"/>
        <v>0</v>
      </c>
      <c r="CO906" s="1111">
        <f t="shared" si="3021"/>
        <v>0</v>
      </c>
      <c r="CP906" s="1111">
        <f t="shared" si="3021"/>
        <v>0</v>
      </c>
      <c r="CQ906" s="1111" t="str">
        <f t="shared" si="3021"/>
        <v/>
      </c>
      <c r="CR906" s="1111" t="str">
        <f t="shared" si="3021"/>
        <v/>
      </c>
      <c r="CS906" s="1110" t="str">
        <f t="shared" si="3021"/>
        <v/>
      </c>
      <c r="CT906" s="1113" t="str">
        <f t="shared" si="3021"/>
        <v/>
      </c>
      <c r="CU906" s="324" t="str">
        <f t="shared" si="3022"/>
        <v/>
      </c>
      <c r="CV906" s="325" t="str">
        <f t="shared" si="3023"/>
        <v/>
      </c>
      <c r="CW906" s="326" t="str">
        <f t="shared" si="3024"/>
        <v/>
      </c>
      <c r="CX906" s="326" t="str">
        <f t="shared" si="3025"/>
        <v/>
      </c>
      <c r="CY906" s="326">
        <f t="shared" si="3026"/>
        <v>0</v>
      </c>
      <c r="CZ906" s="326">
        <f t="shared" si="3027"/>
        <v>0</v>
      </c>
      <c r="DA906" s="326">
        <f t="shared" si="3028"/>
        <v>0</v>
      </c>
      <c r="DB906" s="327">
        <f t="shared" si="3029"/>
        <v>0</v>
      </c>
      <c r="DC906" s="327">
        <f t="shared" si="3030"/>
        <v>0</v>
      </c>
      <c r="DD906" s="327">
        <f t="shared" si="3031"/>
        <v>0</v>
      </c>
      <c r="DE906" s="326">
        <f t="shared" si="3032"/>
        <v>0</v>
      </c>
      <c r="DF906" s="326">
        <f t="shared" si="3033"/>
        <v>0</v>
      </c>
      <c r="DG906" s="326">
        <f t="shared" si="3034"/>
        <v>0</v>
      </c>
      <c r="DH906" s="326" t="str">
        <f t="shared" si="3035"/>
        <v/>
      </c>
      <c r="DI906" s="326" t="str">
        <f t="shared" si="3036"/>
        <v/>
      </c>
      <c r="DJ906" s="325" t="str">
        <f t="shared" si="3037"/>
        <v/>
      </c>
      <c r="DK906" s="324" t="str">
        <f t="shared" si="3038"/>
        <v/>
      </c>
      <c r="DL906" s="428">
        <f t="shared" si="3039"/>
        <v>9</v>
      </c>
      <c r="DM906" s="66">
        <f t="shared" si="3040"/>
        <v>9</v>
      </c>
      <c r="DN906" s="66">
        <f t="shared" si="3041"/>
        <v>9</v>
      </c>
      <c r="DO906" s="66">
        <f t="shared" si="3042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>SUM(B107)</f>
        <v>0</v>
      </c>
      <c r="C907" s="570">
        <f>SUM(C107)</f>
        <v>0</v>
      </c>
      <c r="D907" s="570">
        <f>SUM(D107)</f>
        <v>0</v>
      </c>
      <c r="E907" s="570">
        <f>SUM(E107)</f>
        <v>0</v>
      </c>
      <c r="F907" s="570">
        <f>SUM(F107)</f>
        <v>0</v>
      </c>
      <c r="G907" s="570">
        <f>SUM(G107)</f>
        <v>0</v>
      </c>
      <c r="H907" s="570">
        <f>SUM(H107)</f>
        <v>0</v>
      </c>
      <c r="I907" s="570">
        <f>SUM(I107)</f>
        <v>0</v>
      </c>
      <c r="J907" s="570">
        <f>SUM(J107)</f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>SUM(T107)</f>
        <v>0</v>
      </c>
      <c r="U907" s="570">
        <f>SUM(U107)</f>
        <v>0</v>
      </c>
      <c r="V907" s="570">
        <f>SUM(V107)</f>
        <v>0</v>
      </c>
      <c r="W907" s="570">
        <f>SUM(W107)</f>
        <v>0</v>
      </c>
      <c r="X907" s="570">
        <f>SUM(X107)</f>
        <v>0</v>
      </c>
      <c r="Y907" s="570">
        <f>SUM(Y107)</f>
        <v>0</v>
      </c>
      <c r="Z907" s="570">
        <f>SUM(Z107)</f>
        <v>0</v>
      </c>
      <c r="AA907" s="570">
        <f>SUM(AA107)</f>
        <v>0</v>
      </c>
      <c r="AB907" s="570">
        <f>SUM(AB107)</f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>SUM(AL107)</f>
        <v>0</v>
      </c>
      <c r="AM907" s="570">
        <f>SUM(AM107)</f>
        <v>0</v>
      </c>
      <c r="AN907" s="570">
        <f>SUM(AN107)</f>
        <v>0</v>
      </c>
      <c r="AO907" s="570">
        <f>SUM(AO107)</f>
        <v>0</v>
      </c>
      <c r="AP907" s="570">
        <f>SUM(AP107)</f>
        <v>0</v>
      </c>
      <c r="AQ907" s="570">
        <f>SUM(AQ107)</f>
        <v>0</v>
      </c>
      <c r="AR907" s="570">
        <f>SUM(AR107)</f>
        <v>0</v>
      </c>
      <c r="AS907" s="570">
        <f>SUM(AS107)</f>
        <v>0</v>
      </c>
      <c r="AT907" s="570">
        <f>SUM(AT107)</f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>SUM(BD107)</f>
        <v>0</v>
      </c>
      <c r="BE907" s="570">
        <f>SUM(BE107)</f>
        <v>0</v>
      </c>
      <c r="BF907" s="570">
        <f>SUM(BF107)</f>
        <v>0</v>
      </c>
      <c r="BG907" s="570">
        <f>SUM(BG107)</f>
        <v>0</v>
      </c>
      <c r="BH907" s="570">
        <f>SUM(BH107)</f>
        <v>187.5</v>
      </c>
      <c r="BI907" s="570">
        <f>SUM(BI107)</f>
        <v>0</v>
      </c>
      <c r="BJ907" s="570">
        <f>SUM(BJ107)</f>
        <v>0</v>
      </c>
      <c r="BK907" s="570">
        <f>SUM(BK107)</f>
        <v>0</v>
      </c>
      <c r="BL907" s="570">
        <f>SUM(BL107)</f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3016"/>
        <v>0</v>
      </c>
      <c r="CA907" s="373">
        <f t="shared" si="3017"/>
        <v>0</v>
      </c>
      <c r="CB907" s="373">
        <f t="shared" si="3018"/>
        <v>0</v>
      </c>
      <c r="CC907" s="373">
        <f t="shared" si="3019"/>
        <v>0</v>
      </c>
      <c r="CD907" s="1109" t="str">
        <f t="shared" si="3043"/>
        <v/>
      </c>
      <c r="CE907" s="1110" t="str">
        <f t="shared" si="3021"/>
        <v/>
      </c>
      <c r="CF907" s="1111" t="str">
        <f t="shared" si="3021"/>
        <v/>
      </c>
      <c r="CG907" s="1111" t="str">
        <f t="shared" si="3021"/>
        <v/>
      </c>
      <c r="CH907" s="1111">
        <f t="shared" si="3021"/>
        <v>0</v>
      </c>
      <c r="CI907" s="1111">
        <f t="shared" si="3021"/>
        <v>0</v>
      </c>
      <c r="CJ907" s="1111">
        <f t="shared" si="3021"/>
        <v>0</v>
      </c>
      <c r="CK907" s="1112">
        <f t="shared" si="3021"/>
        <v>0</v>
      </c>
      <c r="CL907" s="1112">
        <f t="shared" si="3021"/>
        <v>0</v>
      </c>
      <c r="CM907" s="1112">
        <f t="shared" si="3021"/>
        <v>0</v>
      </c>
      <c r="CN907" s="1111">
        <f t="shared" si="3021"/>
        <v>0</v>
      </c>
      <c r="CO907" s="1111">
        <f t="shared" si="3021"/>
        <v>0</v>
      </c>
      <c r="CP907" s="1111">
        <f t="shared" si="3021"/>
        <v>0</v>
      </c>
      <c r="CQ907" s="1111" t="str">
        <f t="shared" si="3021"/>
        <v/>
      </c>
      <c r="CR907" s="1111" t="str">
        <f t="shared" si="3021"/>
        <v/>
      </c>
      <c r="CS907" s="1110" t="str">
        <f t="shared" si="3021"/>
        <v/>
      </c>
      <c r="CT907" s="1113" t="str">
        <f t="shared" si="3021"/>
        <v/>
      </c>
      <c r="CU907" s="324" t="str">
        <f t="shared" si="3022"/>
        <v/>
      </c>
      <c r="CV907" s="325" t="str">
        <f t="shared" si="3023"/>
        <v/>
      </c>
      <c r="CW907" s="326" t="str">
        <f t="shared" si="3024"/>
        <v/>
      </c>
      <c r="CX907" s="326" t="str">
        <f t="shared" si="3025"/>
        <v/>
      </c>
      <c r="CY907" s="326">
        <f t="shared" si="3026"/>
        <v>0</v>
      </c>
      <c r="CZ907" s="326">
        <f t="shared" si="3027"/>
        <v>0</v>
      </c>
      <c r="DA907" s="326">
        <f t="shared" si="3028"/>
        <v>0</v>
      </c>
      <c r="DB907" s="327">
        <f t="shared" si="3029"/>
        <v>0</v>
      </c>
      <c r="DC907" s="327">
        <f t="shared" si="3030"/>
        <v>0</v>
      </c>
      <c r="DD907" s="327">
        <f t="shared" si="3031"/>
        <v>0</v>
      </c>
      <c r="DE907" s="326">
        <f t="shared" si="3032"/>
        <v>0</v>
      </c>
      <c r="DF907" s="326">
        <f t="shared" si="3033"/>
        <v>0</v>
      </c>
      <c r="DG907" s="326">
        <f t="shared" si="3034"/>
        <v>0</v>
      </c>
      <c r="DH907" s="326" t="str">
        <f t="shared" si="3035"/>
        <v/>
      </c>
      <c r="DI907" s="326" t="str">
        <f t="shared" si="3036"/>
        <v/>
      </c>
      <c r="DJ907" s="325" t="str">
        <f t="shared" si="3037"/>
        <v/>
      </c>
      <c r="DK907" s="324" t="str">
        <f t="shared" si="3038"/>
        <v/>
      </c>
      <c r="DL907" s="428">
        <f t="shared" si="3039"/>
        <v>9</v>
      </c>
      <c r="DM907" s="66">
        <f t="shared" si="3040"/>
        <v>9</v>
      </c>
      <c r="DN907" s="66">
        <f t="shared" si="3041"/>
        <v>9</v>
      </c>
      <c r="DO907" s="66">
        <f t="shared" si="3042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>SUM(B115)</f>
        <v>0</v>
      </c>
      <c r="C908" s="570">
        <f>SUM(C115)</f>
        <v>0</v>
      </c>
      <c r="D908" s="570">
        <f>SUM(D115)</f>
        <v>0</v>
      </c>
      <c r="E908" s="570">
        <f>SUM(E115)</f>
        <v>0</v>
      </c>
      <c r="F908" s="570">
        <f>SUM(F115)</f>
        <v>0</v>
      </c>
      <c r="G908" s="570">
        <f>SUM(G115)</f>
        <v>0</v>
      </c>
      <c r="H908" s="570">
        <f>SUM(H115)</f>
        <v>0</v>
      </c>
      <c r="I908" s="570">
        <f>SUM(I115)</f>
        <v>0</v>
      </c>
      <c r="J908" s="570">
        <f>SUM(J115)</f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>SUM(T115)</f>
        <v>0</v>
      </c>
      <c r="U908" s="570">
        <f>SUM(U115)</f>
        <v>0</v>
      </c>
      <c r="V908" s="570">
        <f>SUM(V115)</f>
        <v>0</v>
      </c>
      <c r="W908" s="570">
        <f>SUM(W115)</f>
        <v>0</v>
      </c>
      <c r="X908" s="570">
        <f>SUM(X115)</f>
        <v>0</v>
      </c>
      <c r="Y908" s="570">
        <f>SUM(Y115)</f>
        <v>0</v>
      </c>
      <c r="Z908" s="570">
        <f>SUM(Z115)</f>
        <v>0</v>
      </c>
      <c r="AA908" s="570">
        <f>SUM(AA115)</f>
        <v>0</v>
      </c>
      <c r="AB908" s="570">
        <f>SUM(AB115)</f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>SUM(AL115)</f>
        <v>0</v>
      </c>
      <c r="AM908" s="570">
        <f>SUM(AM115)</f>
        <v>0</v>
      </c>
      <c r="AN908" s="570">
        <f>SUM(AN115)</f>
        <v>0</v>
      </c>
      <c r="AO908" s="570">
        <f>SUM(AO115)</f>
        <v>0</v>
      </c>
      <c r="AP908" s="570">
        <f>SUM(AP115)</f>
        <v>0</v>
      </c>
      <c r="AQ908" s="570">
        <f>SUM(AQ115)</f>
        <v>0</v>
      </c>
      <c r="AR908" s="570">
        <f>SUM(AR115)</f>
        <v>0</v>
      </c>
      <c r="AS908" s="570">
        <f>SUM(AS115)</f>
        <v>0</v>
      </c>
      <c r="AT908" s="570">
        <f>SUM(AT115)</f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>SUM(BD115)</f>
        <v>0</v>
      </c>
      <c r="BE908" s="570">
        <f>SUM(BE115)</f>
        <v>0</v>
      </c>
      <c r="BF908" s="570">
        <f>SUM(BF115)</f>
        <v>0</v>
      </c>
      <c r="BG908" s="570">
        <f>SUM(BG115)</f>
        <v>0</v>
      </c>
      <c r="BH908" s="570">
        <f>SUM(BH115)</f>
        <v>0</v>
      </c>
      <c r="BI908" s="570">
        <f>SUM(BI115)</f>
        <v>0</v>
      </c>
      <c r="BJ908" s="570">
        <f>SUM(BJ115)</f>
        <v>0</v>
      </c>
      <c r="BK908" s="570">
        <f>SUM(BK115)</f>
        <v>0</v>
      </c>
      <c r="BL908" s="570">
        <f>SUM(BL115)</f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3016"/>
        <v>0</v>
      </c>
      <c r="CA908" s="373">
        <f t="shared" si="3017"/>
        <v>0</v>
      </c>
      <c r="CB908" s="373">
        <f t="shared" si="3018"/>
        <v>0</v>
      </c>
      <c r="CC908" s="373">
        <f t="shared" si="3019"/>
        <v>0</v>
      </c>
      <c r="CD908" s="1109" t="str">
        <f t="shared" si="3043"/>
        <v/>
      </c>
      <c r="CE908" s="1110" t="str">
        <f t="shared" si="3021"/>
        <v/>
      </c>
      <c r="CF908" s="1111" t="str">
        <f t="shared" si="3021"/>
        <v/>
      </c>
      <c r="CG908" s="1111" t="str">
        <f t="shared" si="3021"/>
        <v/>
      </c>
      <c r="CH908" s="1111">
        <f t="shared" si="3021"/>
        <v>0</v>
      </c>
      <c r="CI908" s="1111">
        <f t="shared" si="3021"/>
        <v>0</v>
      </c>
      <c r="CJ908" s="1111">
        <f t="shared" si="3021"/>
        <v>0</v>
      </c>
      <c r="CK908" s="1112">
        <f t="shared" si="3021"/>
        <v>0</v>
      </c>
      <c r="CL908" s="1112">
        <f t="shared" si="3021"/>
        <v>0</v>
      </c>
      <c r="CM908" s="1112">
        <f t="shared" si="3021"/>
        <v>0</v>
      </c>
      <c r="CN908" s="1111">
        <f t="shared" si="3021"/>
        <v>0</v>
      </c>
      <c r="CO908" s="1111">
        <f t="shared" si="3021"/>
        <v>0</v>
      </c>
      <c r="CP908" s="1111">
        <f t="shared" si="3021"/>
        <v>0</v>
      </c>
      <c r="CQ908" s="1111" t="str">
        <f t="shared" si="3021"/>
        <v/>
      </c>
      <c r="CR908" s="1111" t="str">
        <f t="shared" si="3021"/>
        <v/>
      </c>
      <c r="CS908" s="1110" t="str">
        <f t="shared" si="3021"/>
        <v/>
      </c>
      <c r="CT908" s="1113" t="str">
        <f t="shared" si="3021"/>
        <v/>
      </c>
      <c r="CU908" s="324" t="str">
        <f t="shared" si="3022"/>
        <v/>
      </c>
      <c r="CV908" s="325" t="str">
        <f t="shared" si="3023"/>
        <v/>
      </c>
      <c r="CW908" s="326" t="str">
        <f t="shared" si="3024"/>
        <v/>
      </c>
      <c r="CX908" s="326" t="str">
        <f t="shared" si="3025"/>
        <v/>
      </c>
      <c r="CY908" s="326">
        <f t="shared" si="3026"/>
        <v>0</v>
      </c>
      <c r="CZ908" s="326">
        <f t="shared" si="3027"/>
        <v>0</v>
      </c>
      <c r="DA908" s="326">
        <f t="shared" si="3028"/>
        <v>0</v>
      </c>
      <c r="DB908" s="327">
        <f t="shared" si="3029"/>
        <v>0</v>
      </c>
      <c r="DC908" s="327">
        <f t="shared" si="3030"/>
        <v>0</v>
      </c>
      <c r="DD908" s="327">
        <f t="shared" si="3031"/>
        <v>0</v>
      </c>
      <c r="DE908" s="326">
        <f t="shared" si="3032"/>
        <v>0</v>
      </c>
      <c r="DF908" s="326">
        <f t="shared" si="3033"/>
        <v>0</v>
      </c>
      <c r="DG908" s="326">
        <f t="shared" si="3034"/>
        <v>0</v>
      </c>
      <c r="DH908" s="326" t="str">
        <f t="shared" si="3035"/>
        <v/>
      </c>
      <c r="DI908" s="326" t="str">
        <f t="shared" si="3036"/>
        <v/>
      </c>
      <c r="DJ908" s="325" t="str">
        <f t="shared" si="3037"/>
        <v/>
      </c>
      <c r="DK908" s="324" t="str">
        <f t="shared" si="3038"/>
        <v/>
      </c>
      <c r="DL908" s="428">
        <f t="shared" si="3039"/>
        <v>9</v>
      </c>
      <c r="DM908" s="66">
        <f t="shared" si="3040"/>
        <v>9</v>
      </c>
      <c r="DN908" s="66">
        <f t="shared" si="3041"/>
        <v>9</v>
      </c>
      <c r="DO908" s="66">
        <f t="shared" si="3042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>SUM(B126)</f>
        <v>0</v>
      </c>
      <c r="C909" s="570">
        <f>SUM(C126)</f>
        <v>0</v>
      </c>
      <c r="D909" s="570">
        <f>SUM(D126)</f>
        <v>0</v>
      </c>
      <c r="E909" s="570">
        <f>SUM(E126)</f>
        <v>0</v>
      </c>
      <c r="F909" s="570">
        <f>SUM(F126)</f>
        <v>0</v>
      </c>
      <c r="G909" s="570">
        <f>SUM(G126)</f>
        <v>0</v>
      </c>
      <c r="H909" s="570">
        <f>SUM(H126)</f>
        <v>0</v>
      </c>
      <c r="I909" s="570">
        <f>SUM(I126)</f>
        <v>0</v>
      </c>
      <c r="J909" s="570">
        <f>SUM(J126)</f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>SUM(T126)</f>
        <v>0</v>
      </c>
      <c r="U909" s="570">
        <f>SUM(U126)</f>
        <v>0</v>
      </c>
      <c r="V909" s="570">
        <f>SUM(V126)</f>
        <v>0</v>
      </c>
      <c r="W909" s="570">
        <f>SUM(W126)</f>
        <v>0</v>
      </c>
      <c r="X909" s="570">
        <f>SUM(X126)</f>
        <v>0</v>
      </c>
      <c r="Y909" s="570">
        <f>SUM(Y126)</f>
        <v>0</v>
      </c>
      <c r="Z909" s="570">
        <f>SUM(Z126)</f>
        <v>0</v>
      </c>
      <c r="AA909" s="570">
        <f>SUM(AA126)</f>
        <v>0</v>
      </c>
      <c r="AB909" s="570">
        <f>SUM(AB126)</f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>SUM(AL126)</f>
        <v>0</v>
      </c>
      <c r="AM909" s="570">
        <f>SUM(AM126)</f>
        <v>0</v>
      </c>
      <c r="AN909" s="570">
        <f>SUM(AN126)</f>
        <v>0</v>
      </c>
      <c r="AO909" s="570">
        <f>SUM(AO126)</f>
        <v>0</v>
      </c>
      <c r="AP909" s="570">
        <f>SUM(AP126)</f>
        <v>0</v>
      </c>
      <c r="AQ909" s="570">
        <f>SUM(AQ126)</f>
        <v>0</v>
      </c>
      <c r="AR909" s="570">
        <f>SUM(AR126)</f>
        <v>0</v>
      </c>
      <c r="AS909" s="570">
        <f>SUM(AS126)</f>
        <v>0</v>
      </c>
      <c r="AT909" s="570">
        <f>SUM(AT126)</f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>SUM(BD126)</f>
        <v>0</v>
      </c>
      <c r="BE909" s="570">
        <f>SUM(BE126)</f>
        <v>0</v>
      </c>
      <c r="BF909" s="570">
        <f>SUM(BF126)</f>
        <v>0</v>
      </c>
      <c r="BG909" s="570">
        <f>SUM(BG126)</f>
        <v>0</v>
      </c>
      <c r="BH909" s="570">
        <f>SUM(BH126)</f>
        <v>0</v>
      </c>
      <c r="BI909" s="570">
        <f>SUM(BI126)</f>
        <v>0</v>
      </c>
      <c r="BJ909" s="570">
        <f>SUM(BJ126)</f>
        <v>0</v>
      </c>
      <c r="BK909" s="570">
        <f>SUM(BK126)</f>
        <v>0</v>
      </c>
      <c r="BL909" s="570">
        <f>SUM(BL126)</f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3016"/>
        <v>0</v>
      </c>
      <c r="CA909" s="373">
        <f t="shared" si="3017"/>
        <v>0</v>
      </c>
      <c r="CB909" s="373">
        <f t="shared" si="3018"/>
        <v>0</v>
      </c>
      <c r="CC909" s="373">
        <f t="shared" si="3019"/>
        <v>0</v>
      </c>
      <c r="CD909" s="1109" t="str">
        <f t="shared" si="3043"/>
        <v/>
      </c>
      <c r="CE909" s="1110" t="str">
        <f t="shared" si="3021"/>
        <v/>
      </c>
      <c r="CF909" s="1111" t="str">
        <f t="shared" si="3021"/>
        <v/>
      </c>
      <c r="CG909" s="1111" t="str">
        <f t="shared" si="3021"/>
        <v/>
      </c>
      <c r="CH909" s="1111">
        <f t="shared" si="3021"/>
        <v>0</v>
      </c>
      <c r="CI909" s="1111">
        <f t="shared" si="3021"/>
        <v>0</v>
      </c>
      <c r="CJ909" s="1111">
        <f t="shared" si="3021"/>
        <v>0</v>
      </c>
      <c r="CK909" s="1112">
        <f t="shared" si="3021"/>
        <v>0</v>
      </c>
      <c r="CL909" s="1112">
        <f t="shared" si="3021"/>
        <v>0</v>
      </c>
      <c r="CM909" s="1112">
        <f t="shared" si="3021"/>
        <v>0</v>
      </c>
      <c r="CN909" s="1111">
        <f t="shared" si="3021"/>
        <v>0</v>
      </c>
      <c r="CO909" s="1111">
        <f t="shared" si="3021"/>
        <v>0</v>
      </c>
      <c r="CP909" s="1111">
        <f t="shared" si="3021"/>
        <v>0</v>
      </c>
      <c r="CQ909" s="1111" t="str">
        <f t="shared" si="3021"/>
        <v/>
      </c>
      <c r="CR909" s="1111" t="str">
        <f t="shared" si="3021"/>
        <v/>
      </c>
      <c r="CS909" s="1110" t="str">
        <f t="shared" si="3021"/>
        <v/>
      </c>
      <c r="CT909" s="1113" t="str">
        <f t="shared" si="3021"/>
        <v/>
      </c>
      <c r="CU909" s="324" t="str">
        <f t="shared" si="3022"/>
        <v/>
      </c>
      <c r="CV909" s="325" t="str">
        <f t="shared" si="3023"/>
        <v/>
      </c>
      <c r="CW909" s="326" t="str">
        <f t="shared" si="3024"/>
        <v/>
      </c>
      <c r="CX909" s="326" t="str">
        <f t="shared" si="3025"/>
        <v/>
      </c>
      <c r="CY909" s="326">
        <f t="shared" si="3026"/>
        <v>0</v>
      </c>
      <c r="CZ909" s="326">
        <f t="shared" si="3027"/>
        <v>0</v>
      </c>
      <c r="DA909" s="326">
        <f t="shared" si="3028"/>
        <v>0</v>
      </c>
      <c r="DB909" s="327">
        <f t="shared" si="3029"/>
        <v>0</v>
      </c>
      <c r="DC909" s="327">
        <f t="shared" si="3030"/>
        <v>0</v>
      </c>
      <c r="DD909" s="327">
        <f t="shared" si="3031"/>
        <v>0</v>
      </c>
      <c r="DE909" s="326">
        <f t="shared" si="3032"/>
        <v>0</v>
      </c>
      <c r="DF909" s="326">
        <f t="shared" si="3033"/>
        <v>0</v>
      </c>
      <c r="DG909" s="326">
        <f t="shared" si="3034"/>
        <v>0</v>
      </c>
      <c r="DH909" s="326" t="str">
        <f t="shared" si="3035"/>
        <v/>
      </c>
      <c r="DI909" s="326" t="str">
        <f t="shared" si="3036"/>
        <v/>
      </c>
      <c r="DJ909" s="325" t="str">
        <f t="shared" si="3037"/>
        <v/>
      </c>
      <c r="DK909" s="324" t="str">
        <f t="shared" si="3038"/>
        <v/>
      </c>
      <c r="DL909" s="428">
        <f t="shared" si="3039"/>
        <v>9</v>
      </c>
      <c r="DM909" s="66">
        <f t="shared" si="3040"/>
        <v>9</v>
      </c>
      <c r="DN909" s="66">
        <f t="shared" si="3041"/>
        <v>9</v>
      </c>
      <c r="DO909" s="66">
        <f t="shared" si="3042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>SUM(B135)</f>
        <v>0</v>
      </c>
      <c r="C910" s="570">
        <f>SUM(C135)</f>
        <v>0</v>
      </c>
      <c r="D910" s="570">
        <f>SUM(D135)</f>
        <v>0</v>
      </c>
      <c r="E910" s="570">
        <f>SUM(E135)</f>
        <v>0</v>
      </c>
      <c r="F910" s="570">
        <f>SUM(F135)</f>
        <v>0</v>
      </c>
      <c r="G910" s="570">
        <f>SUM(G135)</f>
        <v>0</v>
      </c>
      <c r="H910" s="570">
        <f>SUM(H135)</f>
        <v>0</v>
      </c>
      <c r="I910" s="570">
        <f>SUM(I135)</f>
        <v>0</v>
      </c>
      <c r="J910" s="570">
        <f>SUM(J135)</f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>SUM(T135)</f>
        <v>0</v>
      </c>
      <c r="U910" s="570">
        <f>SUM(U135)</f>
        <v>0</v>
      </c>
      <c r="V910" s="570">
        <f>SUM(V135)</f>
        <v>0</v>
      </c>
      <c r="W910" s="570">
        <f>SUM(W135)</f>
        <v>0</v>
      </c>
      <c r="X910" s="570">
        <f>SUM(X135)</f>
        <v>0</v>
      </c>
      <c r="Y910" s="570">
        <f>SUM(Y135)</f>
        <v>0</v>
      </c>
      <c r="Z910" s="570">
        <f>SUM(Z135)</f>
        <v>0</v>
      </c>
      <c r="AA910" s="570">
        <f>SUM(AA135)</f>
        <v>0</v>
      </c>
      <c r="AB910" s="570">
        <f>SUM(AB135)</f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>SUM(AL135)</f>
        <v>0</v>
      </c>
      <c r="AM910" s="570">
        <f>SUM(AM135)</f>
        <v>0</v>
      </c>
      <c r="AN910" s="570">
        <f>SUM(AN135)</f>
        <v>0</v>
      </c>
      <c r="AO910" s="570">
        <f>SUM(AO135)</f>
        <v>0</v>
      </c>
      <c r="AP910" s="570">
        <f>SUM(AP135)</f>
        <v>0</v>
      </c>
      <c r="AQ910" s="570">
        <f>SUM(AQ135)</f>
        <v>0</v>
      </c>
      <c r="AR910" s="570">
        <f>SUM(AR135)</f>
        <v>0</v>
      </c>
      <c r="AS910" s="570">
        <f>SUM(AS135)</f>
        <v>0</v>
      </c>
      <c r="AT910" s="570">
        <f>SUM(AT135)</f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>SUM(BD135)</f>
        <v>0</v>
      </c>
      <c r="BE910" s="570">
        <f>SUM(BE135)</f>
        <v>0</v>
      </c>
      <c r="BF910" s="570">
        <f>SUM(BF135)</f>
        <v>0</v>
      </c>
      <c r="BG910" s="570">
        <f>SUM(BG135)</f>
        <v>0</v>
      </c>
      <c r="BH910" s="570">
        <f>SUM(BH135)</f>
        <v>0</v>
      </c>
      <c r="BI910" s="570">
        <f>SUM(BI135)</f>
        <v>0</v>
      </c>
      <c r="BJ910" s="570">
        <f>SUM(BJ135)</f>
        <v>0</v>
      </c>
      <c r="BK910" s="570">
        <f>SUM(BK135)</f>
        <v>0</v>
      </c>
      <c r="BL910" s="570">
        <f>SUM(BL135)</f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3016"/>
        <v>0</v>
      </c>
      <c r="CA910" s="373">
        <f t="shared" si="3017"/>
        <v>0</v>
      </c>
      <c r="CB910" s="373">
        <f t="shared" si="3018"/>
        <v>0</v>
      </c>
      <c r="CC910" s="373">
        <f t="shared" si="3019"/>
        <v>0</v>
      </c>
      <c r="CD910" s="1109" t="str">
        <f t="shared" si="3043"/>
        <v/>
      </c>
      <c r="CE910" s="1110" t="str">
        <f t="shared" si="3021"/>
        <v/>
      </c>
      <c r="CF910" s="1111" t="str">
        <f t="shared" si="3021"/>
        <v/>
      </c>
      <c r="CG910" s="1111" t="str">
        <f t="shared" si="3021"/>
        <v/>
      </c>
      <c r="CH910" s="1111">
        <f t="shared" si="3021"/>
        <v>0</v>
      </c>
      <c r="CI910" s="1111">
        <f t="shared" si="3021"/>
        <v>0</v>
      </c>
      <c r="CJ910" s="1111">
        <f t="shared" si="3021"/>
        <v>0</v>
      </c>
      <c r="CK910" s="1112">
        <f t="shared" si="3021"/>
        <v>0</v>
      </c>
      <c r="CL910" s="1112">
        <f t="shared" si="3021"/>
        <v>0</v>
      </c>
      <c r="CM910" s="1112">
        <f t="shared" si="3021"/>
        <v>0</v>
      </c>
      <c r="CN910" s="1111">
        <f t="shared" si="3021"/>
        <v>0</v>
      </c>
      <c r="CO910" s="1111">
        <f t="shared" si="3021"/>
        <v>0</v>
      </c>
      <c r="CP910" s="1111">
        <f t="shared" si="3021"/>
        <v>0</v>
      </c>
      <c r="CQ910" s="1111" t="str">
        <f t="shared" si="3021"/>
        <v/>
      </c>
      <c r="CR910" s="1111" t="str">
        <f t="shared" si="3021"/>
        <v/>
      </c>
      <c r="CS910" s="1110" t="str">
        <f t="shared" si="3021"/>
        <v/>
      </c>
      <c r="CT910" s="1113" t="str">
        <f t="shared" si="3021"/>
        <v/>
      </c>
      <c r="CU910" s="324" t="str">
        <f t="shared" si="3022"/>
        <v/>
      </c>
      <c r="CV910" s="325" t="str">
        <f t="shared" si="3023"/>
        <v/>
      </c>
      <c r="CW910" s="326" t="str">
        <f t="shared" si="3024"/>
        <v/>
      </c>
      <c r="CX910" s="326" t="str">
        <f t="shared" si="3025"/>
        <v/>
      </c>
      <c r="CY910" s="326">
        <f t="shared" si="3026"/>
        <v>0</v>
      </c>
      <c r="CZ910" s="326">
        <f t="shared" si="3027"/>
        <v>0</v>
      </c>
      <c r="DA910" s="326">
        <f t="shared" si="3028"/>
        <v>0</v>
      </c>
      <c r="DB910" s="327">
        <f t="shared" si="3029"/>
        <v>0</v>
      </c>
      <c r="DC910" s="327">
        <f t="shared" si="3030"/>
        <v>0</v>
      </c>
      <c r="DD910" s="327">
        <f t="shared" si="3031"/>
        <v>0</v>
      </c>
      <c r="DE910" s="326">
        <f t="shared" si="3032"/>
        <v>0</v>
      </c>
      <c r="DF910" s="326">
        <f t="shared" si="3033"/>
        <v>0</v>
      </c>
      <c r="DG910" s="326">
        <f t="shared" si="3034"/>
        <v>0</v>
      </c>
      <c r="DH910" s="326" t="str">
        <f t="shared" si="3035"/>
        <v/>
      </c>
      <c r="DI910" s="326" t="str">
        <f t="shared" si="3036"/>
        <v/>
      </c>
      <c r="DJ910" s="325" t="str">
        <f t="shared" si="3037"/>
        <v/>
      </c>
      <c r="DK910" s="324" t="str">
        <f t="shared" si="3038"/>
        <v/>
      </c>
      <c r="DL910" s="428">
        <f t="shared" si="3039"/>
        <v>9</v>
      </c>
      <c r="DM910" s="66">
        <f t="shared" si="3040"/>
        <v>9</v>
      </c>
      <c r="DN910" s="66">
        <f t="shared" si="3041"/>
        <v>9</v>
      </c>
      <c r="DO910" s="66">
        <f t="shared" si="3042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>SUM(B143)</f>
        <v>0</v>
      </c>
      <c r="C911" s="570">
        <f>SUM(C143)</f>
        <v>0</v>
      </c>
      <c r="D911" s="570">
        <f>SUM(D143)</f>
        <v>0</v>
      </c>
      <c r="E911" s="570">
        <f>SUM(E143)</f>
        <v>0</v>
      </c>
      <c r="F911" s="570">
        <f>SUM(F143)</f>
        <v>0</v>
      </c>
      <c r="G911" s="570">
        <f>SUM(G143)</f>
        <v>0</v>
      </c>
      <c r="H911" s="570">
        <f>SUM(H143)</f>
        <v>0</v>
      </c>
      <c r="I911" s="570">
        <f>SUM(I143)</f>
        <v>0</v>
      </c>
      <c r="J911" s="570">
        <f>SUM(J143)</f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>SUM(T143)</f>
        <v>0</v>
      </c>
      <c r="U911" s="570">
        <f>SUM(U143)</f>
        <v>0</v>
      </c>
      <c r="V911" s="570">
        <f>SUM(V143)</f>
        <v>0</v>
      </c>
      <c r="W911" s="570">
        <f>SUM(W143)</f>
        <v>0</v>
      </c>
      <c r="X911" s="570">
        <f>SUM(X143)</f>
        <v>0</v>
      </c>
      <c r="Y911" s="570">
        <f>SUM(Y143)</f>
        <v>0</v>
      </c>
      <c r="Z911" s="570">
        <f>SUM(Z143)</f>
        <v>0</v>
      </c>
      <c r="AA911" s="570">
        <f>SUM(AA143)</f>
        <v>0</v>
      </c>
      <c r="AB911" s="570">
        <f>SUM(AB143)</f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>SUM(AL143)</f>
        <v>0</v>
      </c>
      <c r="AM911" s="570">
        <f>SUM(AM143)</f>
        <v>0</v>
      </c>
      <c r="AN911" s="570">
        <f>SUM(AN143)</f>
        <v>0</v>
      </c>
      <c r="AO911" s="570">
        <f>SUM(AO143)</f>
        <v>0</v>
      </c>
      <c r="AP911" s="570">
        <f>SUM(AP143)</f>
        <v>0</v>
      </c>
      <c r="AQ911" s="570">
        <f>SUM(AQ143)</f>
        <v>0</v>
      </c>
      <c r="AR911" s="570">
        <f>SUM(AR143)</f>
        <v>0</v>
      </c>
      <c r="AS911" s="570">
        <f>SUM(AS143)</f>
        <v>0</v>
      </c>
      <c r="AT911" s="570">
        <f>SUM(AT143)</f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>SUM(BD143)</f>
        <v>0</v>
      </c>
      <c r="BE911" s="570">
        <f>SUM(BE143)</f>
        <v>0</v>
      </c>
      <c r="BF911" s="570">
        <f>SUM(BF143)</f>
        <v>0</v>
      </c>
      <c r="BG911" s="570">
        <f>SUM(BG143)</f>
        <v>0</v>
      </c>
      <c r="BH911" s="570">
        <f>SUM(BH143)</f>
        <v>0</v>
      </c>
      <c r="BI911" s="570">
        <f>SUM(BI143)</f>
        <v>0</v>
      </c>
      <c r="BJ911" s="570">
        <f>SUM(BJ143)</f>
        <v>0</v>
      </c>
      <c r="BK911" s="570">
        <f>SUM(BK143)</f>
        <v>0</v>
      </c>
      <c r="BL911" s="570">
        <f>SUM(BL143)</f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3016"/>
        <v>0</v>
      </c>
      <c r="CA911" s="373">
        <f t="shared" si="3017"/>
        <v>0</v>
      </c>
      <c r="CB911" s="373">
        <f t="shared" si="3018"/>
        <v>0</v>
      </c>
      <c r="CC911" s="373">
        <f t="shared" si="3019"/>
        <v>0</v>
      </c>
      <c r="CD911" s="1109" t="str">
        <f t="shared" si="3043"/>
        <v/>
      </c>
      <c r="CE911" s="1110" t="str">
        <f t="shared" si="3021"/>
        <v/>
      </c>
      <c r="CF911" s="1111" t="str">
        <f t="shared" si="3021"/>
        <v/>
      </c>
      <c r="CG911" s="1111" t="str">
        <f t="shared" si="3021"/>
        <v/>
      </c>
      <c r="CH911" s="1111">
        <f t="shared" si="3021"/>
        <v>0</v>
      </c>
      <c r="CI911" s="1111">
        <f t="shared" si="3021"/>
        <v>0</v>
      </c>
      <c r="CJ911" s="1111">
        <f t="shared" si="3021"/>
        <v>0</v>
      </c>
      <c r="CK911" s="1112">
        <f t="shared" si="3021"/>
        <v>0</v>
      </c>
      <c r="CL911" s="1112">
        <f t="shared" si="3021"/>
        <v>0</v>
      </c>
      <c r="CM911" s="1112">
        <f t="shared" si="3021"/>
        <v>0</v>
      </c>
      <c r="CN911" s="1111">
        <f t="shared" si="3021"/>
        <v>0</v>
      </c>
      <c r="CO911" s="1111">
        <f t="shared" si="3021"/>
        <v>0</v>
      </c>
      <c r="CP911" s="1111">
        <f t="shared" si="3021"/>
        <v>0</v>
      </c>
      <c r="CQ911" s="1111" t="str">
        <f t="shared" si="3021"/>
        <v/>
      </c>
      <c r="CR911" s="1111" t="str">
        <f t="shared" si="3021"/>
        <v/>
      </c>
      <c r="CS911" s="1110" t="str">
        <f t="shared" si="3021"/>
        <v/>
      </c>
      <c r="CT911" s="1113" t="str">
        <f t="shared" si="3021"/>
        <v/>
      </c>
      <c r="CU911" s="324" t="str">
        <f t="shared" si="3022"/>
        <v/>
      </c>
      <c r="CV911" s="325" t="str">
        <f t="shared" si="3023"/>
        <v/>
      </c>
      <c r="CW911" s="326" t="str">
        <f t="shared" si="3024"/>
        <v/>
      </c>
      <c r="CX911" s="326" t="str">
        <f t="shared" si="3025"/>
        <v/>
      </c>
      <c r="CY911" s="326">
        <f t="shared" si="3026"/>
        <v>0</v>
      </c>
      <c r="CZ911" s="326">
        <f t="shared" si="3027"/>
        <v>0</v>
      </c>
      <c r="DA911" s="326">
        <f t="shared" si="3028"/>
        <v>0</v>
      </c>
      <c r="DB911" s="327">
        <f t="shared" si="3029"/>
        <v>0</v>
      </c>
      <c r="DC911" s="327">
        <f t="shared" si="3030"/>
        <v>0</v>
      </c>
      <c r="DD911" s="327">
        <f t="shared" si="3031"/>
        <v>0</v>
      </c>
      <c r="DE911" s="326">
        <f t="shared" si="3032"/>
        <v>0</v>
      </c>
      <c r="DF911" s="326">
        <f t="shared" si="3033"/>
        <v>0</v>
      </c>
      <c r="DG911" s="326">
        <f t="shared" si="3034"/>
        <v>0</v>
      </c>
      <c r="DH911" s="326" t="str">
        <f t="shared" si="3035"/>
        <v/>
      </c>
      <c r="DI911" s="326" t="str">
        <f t="shared" si="3036"/>
        <v/>
      </c>
      <c r="DJ911" s="325" t="str">
        <f t="shared" si="3037"/>
        <v/>
      </c>
      <c r="DK911" s="324" t="str">
        <f t="shared" si="3038"/>
        <v/>
      </c>
      <c r="DL911" s="428">
        <f t="shared" si="3039"/>
        <v>9</v>
      </c>
      <c r="DM911" s="66">
        <f t="shared" si="3040"/>
        <v>9</v>
      </c>
      <c r="DN911" s="66">
        <f t="shared" si="3041"/>
        <v>9</v>
      </c>
      <c r="DO911" s="66">
        <f t="shared" si="3042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>SUM(B154)</f>
        <v>0</v>
      </c>
      <c r="C912" s="570">
        <f>SUM(C154)</f>
        <v>0</v>
      </c>
      <c r="D912" s="570">
        <f>SUM(D154)</f>
        <v>0</v>
      </c>
      <c r="E912" s="570">
        <f>SUM(E154)</f>
        <v>0</v>
      </c>
      <c r="F912" s="570">
        <f>SUM(F154)</f>
        <v>0</v>
      </c>
      <c r="G912" s="570">
        <f>SUM(G154)</f>
        <v>0</v>
      </c>
      <c r="H912" s="570">
        <f>SUM(H154)</f>
        <v>0</v>
      </c>
      <c r="I912" s="570">
        <f>SUM(I154)</f>
        <v>0</v>
      </c>
      <c r="J912" s="570">
        <f>SUM(J154)</f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>SUM(T154)</f>
        <v>0</v>
      </c>
      <c r="U912" s="570">
        <f>SUM(U154)</f>
        <v>0</v>
      </c>
      <c r="V912" s="570">
        <f>SUM(V154)</f>
        <v>0</v>
      </c>
      <c r="W912" s="570">
        <f>SUM(W154)</f>
        <v>0</v>
      </c>
      <c r="X912" s="570">
        <f>SUM(X154)</f>
        <v>0</v>
      </c>
      <c r="Y912" s="570">
        <f>SUM(Y154)</f>
        <v>0</v>
      </c>
      <c r="Z912" s="570">
        <f>SUM(Z154)</f>
        <v>0</v>
      </c>
      <c r="AA912" s="570">
        <f>SUM(AA154)</f>
        <v>0</v>
      </c>
      <c r="AB912" s="570">
        <f>SUM(AB154)</f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>SUM(AL154)</f>
        <v>0</v>
      </c>
      <c r="AM912" s="570">
        <f>SUM(AM154)</f>
        <v>0</v>
      </c>
      <c r="AN912" s="570">
        <f>SUM(AN154)</f>
        <v>0</v>
      </c>
      <c r="AO912" s="570">
        <f>SUM(AO154)</f>
        <v>0</v>
      </c>
      <c r="AP912" s="570">
        <f>SUM(AP154)</f>
        <v>0</v>
      </c>
      <c r="AQ912" s="570">
        <f>SUM(AQ154)</f>
        <v>0</v>
      </c>
      <c r="AR912" s="570">
        <f>SUM(AR154)</f>
        <v>0</v>
      </c>
      <c r="AS912" s="570">
        <f>SUM(AS154)</f>
        <v>0</v>
      </c>
      <c r="AT912" s="570">
        <f>SUM(AT154)</f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>SUM(BD154)</f>
        <v>0</v>
      </c>
      <c r="BE912" s="570">
        <f>SUM(BE154)</f>
        <v>0</v>
      </c>
      <c r="BF912" s="570">
        <f>SUM(BF154)</f>
        <v>0</v>
      </c>
      <c r="BG912" s="570">
        <f>SUM(BG154)</f>
        <v>0</v>
      </c>
      <c r="BH912" s="570">
        <f>SUM(BH154)</f>
        <v>0</v>
      </c>
      <c r="BI912" s="570">
        <f>SUM(BI154)</f>
        <v>0</v>
      </c>
      <c r="BJ912" s="570">
        <f>SUM(BJ154)</f>
        <v>0</v>
      </c>
      <c r="BK912" s="570">
        <f>SUM(BK154)</f>
        <v>0</v>
      </c>
      <c r="BL912" s="570">
        <f>SUM(BL154)</f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3016"/>
        <v>0</v>
      </c>
      <c r="CA912" s="373">
        <f t="shared" si="3017"/>
        <v>0</v>
      </c>
      <c r="CB912" s="373">
        <f t="shared" si="3018"/>
        <v>0</v>
      </c>
      <c r="CC912" s="373">
        <f t="shared" si="3019"/>
        <v>0</v>
      </c>
      <c r="CD912" s="1109" t="str">
        <f t="shared" si="3043"/>
        <v/>
      </c>
      <c r="CE912" s="1110" t="str">
        <f t="shared" si="3021"/>
        <v/>
      </c>
      <c r="CF912" s="1111" t="str">
        <f t="shared" si="3021"/>
        <v/>
      </c>
      <c r="CG912" s="1111" t="str">
        <f t="shared" si="3021"/>
        <v/>
      </c>
      <c r="CH912" s="1111">
        <f t="shared" si="3021"/>
        <v>0</v>
      </c>
      <c r="CI912" s="1111">
        <f t="shared" si="3021"/>
        <v>0</v>
      </c>
      <c r="CJ912" s="1111">
        <f t="shared" si="3021"/>
        <v>0</v>
      </c>
      <c r="CK912" s="1112">
        <f t="shared" si="3021"/>
        <v>0</v>
      </c>
      <c r="CL912" s="1112">
        <f t="shared" si="3021"/>
        <v>0</v>
      </c>
      <c r="CM912" s="1112">
        <f t="shared" si="3021"/>
        <v>0</v>
      </c>
      <c r="CN912" s="1111">
        <f t="shared" si="3021"/>
        <v>0</v>
      </c>
      <c r="CO912" s="1111">
        <f t="shared" si="3021"/>
        <v>0</v>
      </c>
      <c r="CP912" s="1111">
        <f t="shared" si="3021"/>
        <v>0</v>
      </c>
      <c r="CQ912" s="1111" t="str">
        <f t="shared" si="3021"/>
        <v/>
      </c>
      <c r="CR912" s="1111" t="str">
        <f t="shared" si="3021"/>
        <v/>
      </c>
      <c r="CS912" s="1110" t="str">
        <f t="shared" si="3021"/>
        <v/>
      </c>
      <c r="CT912" s="1113" t="str">
        <f t="shared" si="3021"/>
        <v/>
      </c>
      <c r="CU912" s="324" t="str">
        <f t="shared" si="3022"/>
        <v/>
      </c>
      <c r="CV912" s="325" t="str">
        <f t="shared" si="3023"/>
        <v/>
      </c>
      <c r="CW912" s="326" t="str">
        <f t="shared" si="3024"/>
        <v/>
      </c>
      <c r="CX912" s="326" t="str">
        <f t="shared" si="3025"/>
        <v/>
      </c>
      <c r="CY912" s="326">
        <f t="shared" si="3026"/>
        <v>0</v>
      </c>
      <c r="CZ912" s="326">
        <f t="shared" si="3027"/>
        <v>0</v>
      </c>
      <c r="DA912" s="326">
        <f t="shared" si="3028"/>
        <v>0</v>
      </c>
      <c r="DB912" s="327">
        <f t="shared" si="3029"/>
        <v>0</v>
      </c>
      <c r="DC912" s="327">
        <f t="shared" si="3030"/>
        <v>0</v>
      </c>
      <c r="DD912" s="327">
        <f t="shared" si="3031"/>
        <v>0</v>
      </c>
      <c r="DE912" s="326">
        <f t="shared" si="3032"/>
        <v>0</v>
      </c>
      <c r="DF912" s="326">
        <f t="shared" si="3033"/>
        <v>0</v>
      </c>
      <c r="DG912" s="326">
        <f t="shared" si="3034"/>
        <v>0</v>
      </c>
      <c r="DH912" s="326" t="str">
        <f t="shared" si="3035"/>
        <v/>
      </c>
      <c r="DI912" s="326" t="str">
        <f t="shared" si="3036"/>
        <v/>
      </c>
      <c r="DJ912" s="325" t="str">
        <f t="shared" si="3037"/>
        <v/>
      </c>
      <c r="DK912" s="324" t="str">
        <f t="shared" si="3038"/>
        <v/>
      </c>
      <c r="DL912" s="428">
        <f t="shared" si="3039"/>
        <v>9</v>
      </c>
      <c r="DM912" s="66">
        <f t="shared" si="3040"/>
        <v>9</v>
      </c>
      <c r="DN912" s="66">
        <f t="shared" si="3041"/>
        <v>9</v>
      </c>
      <c r="DO912" s="66">
        <f t="shared" si="3042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>SUM(B163)</f>
        <v>0</v>
      </c>
      <c r="C913" s="570">
        <f>SUM(C163)</f>
        <v>0</v>
      </c>
      <c r="D913" s="570">
        <f>SUM(D163)</f>
        <v>0</v>
      </c>
      <c r="E913" s="570">
        <f>SUM(E163)</f>
        <v>0</v>
      </c>
      <c r="F913" s="570">
        <f>SUM(F163)</f>
        <v>0</v>
      </c>
      <c r="G913" s="570">
        <f>SUM(G163)</f>
        <v>0</v>
      </c>
      <c r="H913" s="570">
        <f>SUM(H163)</f>
        <v>0</v>
      </c>
      <c r="I913" s="570">
        <f>SUM(I163)</f>
        <v>0</v>
      </c>
      <c r="J913" s="570">
        <f>SUM(J163)</f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>SUM(T163)</f>
        <v>0</v>
      </c>
      <c r="U913" s="570">
        <f>SUM(U163)</f>
        <v>0</v>
      </c>
      <c r="V913" s="570">
        <f>SUM(V163)</f>
        <v>0</v>
      </c>
      <c r="W913" s="570">
        <f>SUM(W163)</f>
        <v>0</v>
      </c>
      <c r="X913" s="570">
        <f>SUM(X163)</f>
        <v>0</v>
      </c>
      <c r="Y913" s="570">
        <f>SUM(Y163)</f>
        <v>0</v>
      </c>
      <c r="Z913" s="570">
        <f>SUM(Z163)</f>
        <v>0</v>
      </c>
      <c r="AA913" s="570">
        <f>SUM(AA163)</f>
        <v>0</v>
      </c>
      <c r="AB913" s="570">
        <f>SUM(AB163)</f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>SUM(AL163)</f>
        <v>0</v>
      </c>
      <c r="AM913" s="570">
        <f>SUM(AM163)</f>
        <v>0</v>
      </c>
      <c r="AN913" s="570">
        <f>SUM(AN163)</f>
        <v>0</v>
      </c>
      <c r="AO913" s="570">
        <f>SUM(AO163)</f>
        <v>0</v>
      </c>
      <c r="AP913" s="570">
        <f>SUM(AP163)</f>
        <v>0</v>
      </c>
      <c r="AQ913" s="570">
        <f>SUM(AQ163)</f>
        <v>0</v>
      </c>
      <c r="AR913" s="570">
        <f>SUM(AR163)</f>
        <v>0</v>
      </c>
      <c r="AS913" s="570">
        <f>SUM(AS163)</f>
        <v>0</v>
      </c>
      <c r="AT913" s="570">
        <f>SUM(AT163)</f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>SUM(BD163)</f>
        <v>0</v>
      </c>
      <c r="BE913" s="570">
        <f>SUM(BE163)</f>
        <v>0</v>
      </c>
      <c r="BF913" s="570">
        <f>SUM(BF163)</f>
        <v>0</v>
      </c>
      <c r="BG913" s="570">
        <f>SUM(BG163)</f>
        <v>0</v>
      </c>
      <c r="BH913" s="570">
        <f>SUM(BH163)</f>
        <v>0</v>
      </c>
      <c r="BI913" s="570">
        <f>SUM(BI163)</f>
        <v>0</v>
      </c>
      <c r="BJ913" s="570">
        <f>SUM(BJ163)</f>
        <v>0</v>
      </c>
      <c r="BK913" s="570">
        <f>SUM(BK163)</f>
        <v>0</v>
      </c>
      <c r="BL913" s="570">
        <f>SUM(BL163)</f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3016"/>
        <v>0</v>
      </c>
      <c r="CA913" s="373">
        <f t="shared" si="3017"/>
        <v>0</v>
      </c>
      <c r="CB913" s="373">
        <f t="shared" si="3018"/>
        <v>0</v>
      </c>
      <c r="CC913" s="373">
        <f t="shared" si="3019"/>
        <v>0</v>
      </c>
      <c r="CD913" s="1109" t="str">
        <f t="shared" si="3043"/>
        <v/>
      </c>
      <c r="CE913" s="1110" t="str">
        <f t="shared" si="3021"/>
        <v/>
      </c>
      <c r="CF913" s="1111" t="str">
        <f t="shared" si="3021"/>
        <v/>
      </c>
      <c r="CG913" s="1111" t="str">
        <f t="shared" si="3021"/>
        <v/>
      </c>
      <c r="CH913" s="1111">
        <f t="shared" si="3021"/>
        <v>0</v>
      </c>
      <c r="CI913" s="1111">
        <f t="shared" si="3021"/>
        <v>0</v>
      </c>
      <c r="CJ913" s="1111">
        <f t="shared" si="3021"/>
        <v>0</v>
      </c>
      <c r="CK913" s="1112">
        <f t="shared" si="3021"/>
        <v>0</v>
      </c>
      <c r="CL913" s="1112">
        <f t="shared" si="3021"/>
        <v>0</v>
      </c>
      <c r="CM913" s="1112">
        <f t="shared" si="3021"/>
        <v>0</v>
      </c>
      <c r="CN913" s="1111">
        <f t="shared" si="3021"/>
        <v>0</v>
      </c>
      <c r="CO913" s="1111">
        <f t="shared" si="3021"/>
        <v>0</v>
      </c>
      <c r="CP913" s="1111">
        <f t="shared" si="3021"/>
        <v>0</v>
      </c>
      <c r="CQ913" s="1111" t="str">
        <f t="shared" si="3021"/>
        <v/>
      </c>
      <c r="CR913" s="1111" t="str">
        <f t="shared" si="3021"/>
        <v/>
      </c>
      <c r="CS913" s="1110" t="str">
        <f t="shared" si="3021"/>
        <v/>
      </c>
      <c r="CT913" s="1113" t="str">
        <f t="shared" si="3021"/>
        <v/>
      </c>
      <c r="CU913" s="324" t="str">
        <f t="shared" si="3022"/>
        <v/>
      </c>
      <c r="CV913" s="325" t="str">
        <f t="shared" si="3023"/>
        <v/>
      </c>
      <c r="CW913" s="326" t="str">
        <f t="shared" si="3024"/>
        <v/>
      </c>
      <c r="CX913" s="326" t="str">
        <f t="shared" si="3025"/>
        <v/>
      </c>
      <c r="CY913" s="326">
        <f t="shared" si="3026"/>
        <v>0</v>
      </c>
      <c r="CZ913" s="326">
        <f t="shared" si="3027"/>
        <v>0</v>
      </c>
      <c r="DA913" s="326">
        <f t="shared" si="3028"/>
        <v>0</v>
      </c>
      <c r="DB913" s="327">
        <f t="shared" si="3029"/>
        <v>0</v>
      </c>
      <c r="DC913" s="327">
        <f t="shared" si="3030"/>
        <v>0</v>
      </c>
      <c r="DD913" s="327">
        <f t="shared" si="3031"/>
        <v>0</v>
      </c>
      <c r="DE913" s="326">
        <f t="shared" si="3032"/>
        <v>0</v>
      </c>
      <c r="DF913" s="326">
        <f t="shared" si="3033"/>
        <v>0</v>
      </c>
      <c r="DG913" s="326">
        <f t="shared" si="3034"/>
        <v>0</v>
      </c>
      <c r="DH913" s="326" t="str">
        <f t="shared" si="3035"/>
        <v/>
      </c>
      <c r="DI913" s="326" t="str">
        <f t="shared" si="3036"/>
        <v/>
      </c>
      <c r="DJ913" s="325" t="str">
        <f t="shared" si="3037"/>
        <v/>
      </c>
      <c r="DK913" s="324" t="str">
        <f t="shared" si="3038"/>
        <v/>
      </c>
      <c r="DL913" s="428">
        <f t="shared" si="3039"/>
        <v>9</v>
      </c>
      <c r="DM913" s="66">
        <f t="shared" si="3040"/>
        <v>9</v>
      </c>
      <c r="DN913" s="66">
        <f t="shared" si="3041"/>
        <v>9</v>
      </c>
      <c r="DO913" s="66">
        <f t="shared" si="3042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>SUM(B171)</f>
        <v>0</v>
      </c>
      <c r="C914" s="570">
        <f>SUM(C171)</f>
        <v>0</v>
      </c>
      <c r="D914" s="570">
        <f>SUM(D171)</f>
        <v>0</v>
      </c>
      <c r="E914" s="570">
        <f>SUM(E171)</f>
        <v>0</v>
      </c>
      <c r="F914" s="570">
        <f>SUM(F171)</f>
        <v>0</v>
      </c>
      <c r="G914" s="570">
        <f>SUM(G171)</f>
        <v>0</v>
      </c>
      <c r="H914" s="570">
        <f>SUM(H171)</f>
        <v>0</v>
      </c>
      <c r="I914" s="570">
        <f>SUM(I171)</f>
        <v>0</v>
      </c>
      <c r="J914" s="570">
        <f>SUM(J171)</f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>SUM(T171)</f>
        <v>0</v>
      </c>
      <c r="U914" s="570">
        <f>SUM(U171)</f>
        <v>0</v>
      </c>
      <c r="V914" s="570">
        <f>SUM(V171)</f>
        <v>0</v>
      </c>
      <c r="W914" s="570">
        <f>SUM(W171)</f>
        <v>0</v>
      </c>
      <c r="X914" s="570">
        <f>SUM(X171)</f>
        <v>0</v>
      </c>
      <c r="Y914" s="570">
        <f>SUM(Y171)</f>
        <v>0</v>
      </c>
      <c r="Z914" s="570">
        <f>SUM(Z171)</f>
        <v>0</v>
      </c>
      <c r="AA914" s="570">
        <f>SUM(AA171)</f>
        <v>0</v>
      </c>
      <c r="AB914" s="570">
        <f>SUM(AB171)</f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>SUM(AL171)</f>
        <v>0</v>
      </c>
      <c r="AM914" s="570">
        <f>SUM(AM171)</f>
        <v>0</v>
      </c>
      <c r="AN914" s="570">
        <f>SUM(AN171)</f>
        <v>0</v>
      </c>
      <c r="AO914" s="570">
        <f>SUM(AO171)</f>
        <v>0</v>
      </c>
      <c r="AP914" s="570">
        <f>SUM(AP171)</f>
        <v>0</v>
      </c>
      <c r="AQ914" s="570">
        <f>SUM(AQ171)</f>
        <v>0</v>
      </c>
      <c r="AR914" s="570">
        <f>SUM(AR171)</f>
        <v>0</v>
      </c>
      <c r="AS914" s="570">
        <f>SUM(AS171)</f>
        <v>0</v>
      </c>
      <c r="AT914" s="570">
        <f>SUM(AT171)</f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>SUM(BD171)</f>
        <v>0</v>
      </c>
      <c r="BE914" s="570">
        <f>SUM(BE171)</f>
        <v>0</v>
      </c>
      <c r="BF914" s="570">
        <f>SUM(BF171)</f>
        <v>0</v>
      </c>
      <c r="BG914" s="570">
        <f>SUM(BG171)</f>
        <v>0</v>
      </c>
      <c r="BH914" s="570">
        <f>SUM(BH171)</f>
        <v>0</v>
      </c>
      <c r="BI914" s="570">
        <f>SUM(BI171)</f>
        <v>0</v>
      </c>
      <c r="BJ914" s="570">
        <f>SUM(BJ171)</f>
        <v>0</v>
      </c>
      <c r="BK914" s="570">
        <f>SUM(BK171)</f>
        <v>0</v>
      </c>
      <c r="BL914" s="570">
        <f>SUM(BL171)</f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3016"/>
        <v>0</v>
      </c>
      <c r="CA914" s="373">
        <f t="shared" si="3017"/>
        <v>0</v>
      </c>
      <c r="CB914" s="373">
        <f t="shared" si="3018"/>
        <v>0</v>
      </c>
      <c r="CC914" s="373">
        <f t="shared" si="3019"/>
        <v>0</v>
      </c>
      <c r="CD914" s="1109" t="str">
        <f t="shared" si="3043"/>
        <v/>
      </c>
      <c r="CE914" s="1110" t="str">
        <f t="shared" si="3021"/>
        <v/>
      </c>
      <c r="CF914" s="1111" t="str">
        <f t="shared" si="3021"/>
        <v/>
      </c>
      <c r="CG914" s="1111" t="str">
        <f t="shared" si="3021"/>
        <v/>
      </c>
      <c r="CH914" s="1111">
        <f t="shared" si="3021"/>
        <v>0</v>
      </c>
      <c r="CI914" s="1111">
        <f t="shared" si="3021"/>
        <v>0</v>
      </c>
      <c r="CJ914" s="1111">
        <f t="shared" si="3021"/>
        <v>0</v>
      </c>
      <c r="CK914" s="1112">
        <f t="shared" si="3021"/>
        <v>0</v>
      </c>
      <c r="CL914" s="1112">
        <f t="shared" si="3021"/>
        <v>0</v>
      </c>
      <c r="CM914" s="1112">
        <f t="shared" si="3021"/>
        <v>0</v>
      </c>
      <c r="CN914" s="1111">
        <f t="shared" si="3021"/>
        <v>0</v>
      </c>
      <c r="CO914" s="1111">
        <f t="shared" si="3021"/>
        <v>0</v>
      </c>
      <c r="CP914" s="1111">
        <f t="shared" si="3021"/>
        <v>0</v>
      </c>
      <c r="CQ914" s="1111" t="str">
        <f t="shared" si="3021"/>
        <v/>
      </c>
      <c r="CR914" s="1111" t="str">
        <f t="shared" si="3021"/>
        <v/>
      </c>
      <c r="CS914" s="1110" t="str">
        <f t="shared" si="3021"/>
        <v/>
      </c>
      <c r="CT914" s="1113" t="str">
        <f t="shared" si="3021"/>
        <v/>
      </c>
      <c r="CU914" s="324" t="str">
        <f t="shared" si="3022"/>
        <v/>
      </c>
      <c r="CV914" s="325" t="str">
        <f t="shared" si="3023"/>
        <v/>
      </c>
      <c r="CW914" s="326" t="str">
        <f t="shared" si="3024"/>
        <v/>
      </c>
      <c r="CX914" s="326" t="str">
        <f t="shared" si="3025"/>
        <v/>
      </c>
      <c r="CY914" s="326">
        <f t="shared" si="3026"/>
        <v>0</v>
      </c>
      <c r="CZ914" s="326">
        <f t="shared" si="3027"/>
        <v>0</v>
      </c>
      <c r="DA914" s="326">
        <f t="shared" si="3028"/>
        <v>0</v>
      </c>
      <c r="DB914" s="327">
        <f t="shared" si="3029"/>
        <v>0</v>
      </c>
      <c r="DC914" s="327">
        <f t="shared" si="3030"/>
        <v>0</v>
      </c>
      <c r="DD914" s="327">
        <f t="shared" si="3031"/>
        <v>0</v>
      </c>
      <c r="DE914" s="326">
        <f t="shared" si="3032"/>
        <v>0</v>
      </c>
      <c r="DF914" s="326">
        <f t="shared" si="3033"/>
        <v>0</v>
      </c>
      <c r="DG914" s="326">
        <f t="shared" si="3034"/>
        <v>0</v>
      </c>
      <c r="DH914" s="326" t="str">
        <f t="shared" si="3035"/>
        <v/>
      </c>
      <c r="DI914" s="326" t="str">
        <f t="shared" si="3036"/>
        <v/>
      </c>
      <c r="DJ914" s="325" t="str">
        <f t="shared" si="3037"/>
        <v/>
      </c>
      <c r="DK914" s="324" t="str">
        <f t="shared" si="3038"/>
        <v/>
      </c>
      <c r="DL914" s="428">
        <f t="shared" si="3039"/>
        <v>9</v>
      </c>
      <c r="DM914" s="66">
        <f t="shared" si="3040"/>
        <v>9</v>
      </c>
      <c r="DN914" s="66">
        <f t="shared" si="3041"/>
        <v>9</v>
      </c>
      <c r="DO914" s="66">
        <f t="shared" si="3042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3044">SUM(B219)</f>
        <v>0</v>
      </c>
      <c r="C915" s="570">
        <f t="shared" si="3044"/>
        <v>0</v>
      </c>
      <c r="D915" s="570">
        <f t="shared" si="3044"/>
        <v>0</v>
      </c>
      <c r="E915" s="570">
        <f t="shared" si="3044"/>
        <v>0</v>
      </c>
      <c r="F915" s="570">
        <f t="shared" si="3044"/>
        <v>0</v>
      </c>
      <c r="G915" s="570">
        <f t="shared" si="3044"/>
        <v>0</v>
      </c>
      <c r="H915" s="570">
        <f t="shared" si="3044"/>
        <v>0</v>
      </c>
      <c r="I915" s="570">
        <f t="shared" si="3044"/>
        <v>0</v>
      </c>
      <c r="J915" s="570">
        <f t="shared" si="3044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3045">SUM(T219)</f>
        <v>0</v>
      </c>
      <c r="U915" s="570">
        <f t="shared" si="3045"/>
        <v>0</v>
      </c>
      <c r="V915" s="570">
        <f t="shared" si="3045"/>
        <v>0</v>
      </c>
      <c r="W915" s="570">
        <f t="shared" si="3045"/>
        <v>0</v>
      </c>
      <c r="X915" s="570">
        <f t="shared" si="3045"/>
        <v>0</v>
      </c>
      <c r="Y915" s="570">
        <f t="shared" si="3045"/>
        <v>0</v>
      </c>
      <c r="Z915" s="570">
        <f t="shared" si="3045"/>
        <v>0</v>
      </c>
      <c r="AA915" s="570">
        <f t="shared" si="3045"/>
        <v>0</v>
      </c>
      <c r="AB915" s="570">
        <f t="shared" si="3045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3046">SUM(AL219)</f>
        <v>0</v>
      </c>
      <c r="AM915" s="570">
        <f t="shared" si="3046"/>
        <v>0</v>
      </c>
      <c r="AN915" s="570">
        <f t="shared" si="3046"/>
        <v>0</v>
      </c>
      <c r="AO915" s="570">
        <f t="shared" si="3046"/>
        <v>0</v>
      </c>
      <c r="AP915" s="570">
        <f t="shared" si="3046"/>
        <v>0</v>
      </c>
      <c r="AQ915" s="570">
        <f t="shared" si="3046"/>
        <v>0</v>
      </c>
      <c r="AR915" s="570">
        <f t="shared" si="3046"/>
        <v>0</v>
      </c>
      <c r="AS915" s="570">
        <f t="shared" si="3046"/>
        <v>0</v>
      </c>
      <c r="AT915" s="570">
        <f t="shared" si="3046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3047">SUM(BD219)</f>
        <v>20</v>
      </c>
      <c r="BE915" s="570">
        <f t="shared" si="3047"/>
        <v>0</v>
      </c>
      <c r="BF915" s="570">
        <f t="shared" si="3047"/>
        <v>0</v>
      </c>
      <c r="BG915" s="570">
        <f t="shared" si="3047"/>
        <v>0</v>
      </c>
      <c r="BH915" s="570">
        <f t="shared" si="3047"/>
        <v>0</v>
      </c>
      <c r="BI915" s="570">
        <f t="shared" si="3047"/>
        <v>0</v>
      </c>
      <c r="BJ915" s="570">
        <f t="shared" si="3047"/>
        <v>0</v>
      </c>
      <c r="BK915" s="570">
        <f t="shared" si="3047"/>
        <v>0</v>
      </c>
      <c r="BL915" s="570">
        <f t="shared" si="3047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3016"/>
        <v>0</v>
      </c>
      <c r="CA915" s="373">
        <f t="shared" si="3017"/>
        <v>0</v>
      </c>
      <c r="CB915" s="373">
        <f t="shared" si="3018"/>
        <v>0</v>
      </c>
      <c r="CC915" s="373">
        <f t="shared" si="3019"/>
        <v>0</v>
      </c>
      <c r="CD915" s="1109" t="str">
        <f t="shared" si="3043"/>
        <v/>
      </c>
      <c r="CE915" s="1110" t="str">
        <f t="shared" si="3021"/>
        <v/>
      </c>
      <c r="CF915" s="1111" t="str">
        <f t="shared" si="3021"/>
        <v/>
      </c>
      <c r="CG915" s="1111" t="str">
        <f t="shared" si="3021"/>
        <v/>
      </c>
      <c r="CH915" s="1111">
        <f t="shared" si="3021"/>
        <v>0</v>
      </c>
      <c r="CI915" s="1111">
        <f t="shared" si="3021"/>
        <v>0</v>
      </c>
      <c r="CJ915" s="1111">
        <f t="shared" si="3021"/>
        <v>0</v>
      </c>
      <c r="CK915" s="1112">
        <f t="shared" si="3021"/>
        <v>0</v>
      </c>
      <c r="CL915" s="1112">
        <f t="shared" si="3021"/>
        <v>0</v>
      </c>
      <c r="CM915" s="1112">
        <f t="shared" si="3021"/>
        <v>0</v>
      </c>
      <c r="CN915" s="1111">
        <f t="shared" si="3021"/>
        <v>0</v>
      </c>
      <c r="CO915" s="1111">
        <f t="shared" si="3021"/>
        <v>0</v>
      </c>
      <c r="CP915" s="1111">
        <f t="shared" si="3021"/>
        <v>0</v>
      </c>
      <c r="CQ915" s="1111" t="str">
        <f t="shared" si="3021"/>
        <v/>
      </c>
      <c r="CR915" s="1111" t="str">
        <f t="shared" si="3021"/>
        <v/>
      </c>
      <c r="CS915" s="1110" t="str">
        <f t="shared" si="3021"/>
        <v/>
      </c>
      <c r="CT915" s="1113" t="str">
        <f t="shared" si="3021"/>
        <v/>
      </c>
      <c r="CU915" s="324" t="str">
        <f t="shared" si="3022"/>
        <v/>
      </c>
      <c r="CV915" s="325" t="str">
        <f t="shared" si="3023"/>
        <v/>
      </c>
      <c r="CW915" s="326" t="str">
        <f t="shared" si="3024"/>
        <v/>
      </c>
      <c r="CX915" s="326" t="str">
        <f t="shared" si="3025"/>
        <v/>
      </c>
      <c r="CY915" s="326">
        <f t="shared" si="3026"/>
        <v>0</v>
      </c>
      <c r="CZ915" s="326">
        <f t="shared" si="3027"/>
        <v>0</v>
      </c>
      <c r="DA915" s="326">
        <f t="shared" si="3028"/>
        <v>0</v>
      </c>
      <c r="DB915" s="327">
        <f t="shared" si="3029"/>
        <v>0</v>
      </c>
      <c r="DC915" s="327">
        <f t="shared" si="3030"/>
        <v>0</v>
      </c>
      <c r="DD915" s="327">
        <f t="shared" si="3031"/>
        <v>0</v>
      </c>
      <c r="DE915" s="326">
        <f t="shared" si="3032"/>
        <v>0</v>
      </c>
      <c r="DF915" s="326">
        <f t="shared" si="3033"/>
        <v>0</v>
      </c>
      <c r="DG915" s="326">
        <f t="shared" si="3034"/>
        <v>10</v>
      </c>
      <c r="DH915" s="326" t="str">
        <f t="shared" si="3035"/>
        <v/>
      </c>
      <c r="DI915" s="326" t="str">
        <f t="shared" si="3036"/>
        <v/>
      </c>
      <c r="DJ915" s="325" t="str">
        <f t="shared" si="3037"/>
        <v/>
      </c>
      <c r="DK915" s="324" t="str">
        <f t="shared" si="3038"/>
        <v/>
      </c>
      <c r="DL915" s="428">
        <f t="shared" si="3039"/>
        <v>9</v>
      </c>
      <c r="DM915" s="66">
        <f t="shared" si="3040"/>
        <v>9</v>
      </c>
      <c r="DN915" s="66">
        <f t="shared" si="3041"/>
        <v>9</v>
      </c>
      <c r="DO915" s="66">
        <f t="shared" si="3042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3048">SUM(B222)</f>
        <v>0</v>
      </c>
      <c r="C916" s="570">
        <f t="shared" si="3048"/>
        <v>0</v>
      </c>
      <c r="D916" s="570">
        <f t="shared" si="3048"/>
        <v>0</v>
      </c>
      <c r="E916" s="570">
        <f t="shared" si="3048"/>
        <v>0</v>
      </c>
      <c r="F916" s="570">
        <f t="shared" si="3048"/>
        <v>0</v>
      </c>
      <c r="G916" s="570">
        <f t="shared" si="3048"/>
        <v>0</v>
      </c>
      <c r="H916" s="570">
        <f t="shared" si="3048"/>
        <v>0</v>
      </c>
      <c r="I916" s="570">
        <f t="shared" si="3048"/>
        <v>0</v>
      </c>
      <c r="J916" s="570">
        <f t="shared" si="3048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3049">SUM(T222)</f>
        <v>0</v>
      </c>
      <c r="U916" s="570">
        <f t="shared" si="3049"/>
        <v>0</v>
      </c>
      <c r="V916" s="570">
        <f t="shared" si="3049"/>
        <v>0</v>
      </c>
      <c r="W916" s="570">
        <f t="shared" si="3049"/>
        <v>0</v>
      </c>
      <c r="X916" s="570">
        <f t="shared" si="3049"/>
        <v>0</v>
      </c>
      <c r="Y916" s="570">
        <f t="shared" si="3049"/>
        <v>0</v>
      </c>
      <c r="Z916" s="570">
        <f t="shared" si="3049"/>
        <v>0</v>
      </c>
      <c r="AA916" s="570">
        <f t="shared" si="3049"/>
        <v>0</v>
      </c>
      <c r="AB916" s="570">
        <f t="shared" si="3049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3050">SUM(AL222)</f>
        <v>0</v>
      </c>
      <c r="AM916" s="570">
        <f t="shared" si="3050"/>
        <v>0</v>
      </c>
      <c r="AN916" s="570">
        <f t="shared" si="3050"/>
        <v>0</v>
      </c>
      <c r="AO916" s="570">
        <f t="shared" si="3050"/>
        <v>960</v>
      </c>
      <c r="AP916" s="570">
        <f t="shared" si="3050"/>
        <v>0</v>
      </c>
      <c r="AQ916" s="570">
        <f t="shared" si="3050"/>
        <v>700</v>
      </c>
      <c r="AR916" s="570">
        <f t="shared" si="3050"/>
        <v>0</v>
      </c>
      <c r="AS916" s="570">
        <f t="shared" si="3050"/>
        <v>1650</v>
      </c>
      <c r="AT916" s="570">
        <f t="shared" si="3050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3051">SUM(BD222)</f>
        <v>0</v>
      </c>
      <c r="BE916" s="570">
        <f t="shared" si="3051"/>
        <v>0</v>
      </c>
      <c r="BF916" s="570">
        <f t="shared" si="3051"/>
        <v>0</v>
      </c>
      <c r="BG916" s="570">
        <f t="shared" si="3051"/>
        <v>0</v>
      </c>
      <c r="BH916" s="570">
        <f t="shared" si="3051"/>
        <v>0</v>
      </c>
      <c r="BI916" s="570">
        <f t="shared" si="3051"/>
        <v>0</v>
      </c>
      <c r="BJ916" s="570">
        <f t="shared" si="3051"/>
        <v>1960</v>
      </c>
      <c r="BK916" s="570">
        <f t="shared" si="3051"/>
        <v>2500</v>
      </c>
      <c r="BL916" s="570">
        <f t="shared" si="3051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3016"/>
        <v>0</v>
      </c>
      <c r="CA916" s="373">
        <f t="shared" si="3017"/>
        <v>0</v>
      </c>
      <c r="CB916" s="373">
        <f t="shared" si="3018"/>
        <v>237.14285714285714</v>
      </c>
      <c r="CC916" s="373">
        <f t="shared" si="3019"/>
        <v>280</v>
      </c>
      <c r="CD916" s="1109" t="str">
        <f t="shared" si="3043"/>
        <v/>
      </c>
      <c r="CE916" s="1110" t="str">
        <f t="shared" si="3021"/>
        <v/>
      </c>
      <c r="CF916" s="1111" t="str">
        <f t="shared" si="3021"/>
        <v/>
      </c>
      <c r="CG916" s="1111" t="str">
        <f t="shared" si="3021"/>
        <v/>
      </c>
      <c r="CH916" s="1111">
        <f t="shared" si="3021"/>
        <v>0</v>
      </c>
      <c r="CI916" s="1111">
        <f t="shared" si="3021"/>
        <v>0</v>
      </c>
      <c r="CJ916" s="1111">
        <f t="shared" si="3021"/>
        <v>0</v>
      </c>
      <c r="CK916" s="1112">
        <f t="shared" si="3021"/>
        <v>0</v>
      </c>
      <c r="CL916" s="1112">
        <f t="shared" si="3021"/>
        <v>0</v>
      </c>
      <c r="CM916" s="1112">
        <f t="shared" si="3021"/>
        <v>0</v>
      </c>
      <c r="CN916" s="1111">
        <f t="shared" si="3021"/>
        <v>0</v>
      </c>
      <c r="CO916" s="1111">
        <f t="shared" si="3021"/>
        <v>0</v>
      </c>
      <c r="CP916" s="1111">
        <f t="shared" si="3021"/>
        <v>0</v>
      </c>
      <c r="CQ916" s="1111" t="str">
        <f t="shared" si="3021"/>
        <v/>
      </c>
      <c r="CR916" s="1111" t="str">
        <f t="shared" si="3021"/>
        <v/>
      </c>
      <c r="CS916" s="1110" t="str">
        <f t="shared" si="3021"/>
        <v/>
      </c>
      <c r="CT916" s="1113" t="str">
        <f t="shared" si="3021"/>
        <v/>
      </c>
      <c r="CU916" s="324" t="str">
        <f t="shared" si="3022"/>
        <v/>
      </c>
      <c r="CV916" s="325" t="str">
        <f t="shared" si="3023"/>
        <v/>
      </c>
      <c r="CW916" s="326" t="str">
        <f t="shared" si="3024"/>
        <v/>
      </c>
      <c r="CX916" s="326" t="str">
        <f t="shared" si="3025"/>
        <v/>
      </c>
      <c r="CY916" s="326">
        <f t="shared" si="3026"/>
        <v>0</v>
      </c>
      <c r="CZ916" s="326">
        <f t="shared" si="3027"/>
        <v>0</v>
      </c>
      <c r="DA916" s="326">
        <f t="shared" si="3028"/>
        <v>0</v>
      </c>
      <c r="DB916" s="327">
        <f t="shared" si="3029"/>
        <v>0</v>
      </c>
      <c r="DC916" s="327">
        <f t="shared" si="3030"/>
        <v>0</v>
      </c>
      <c r="DD916" s="327">
        <f t="shared" si="3031"/>
        <v>0</v>
      </c>
      <c r="DE916" s="326">
        <f t="shared" si="3032"/>
        <v>0</v>
      </c>
      <c r="DF916" s="326">
        <f t="shared" si="3033"/>
        <v>0</v>
      </c>
      <c r="DG916" s="326">
        <f t="shared" si="3034"/>
        <v>0</v>
      </c>
      <c r="DH916" s="326" t="str">
        <f t="shared" si="3035"/>
        <v/>
      </c>
      <c r="DI916" s="326" t="str">
        <f t="shared" si="3036"/>
        <v/>
      </c>
      <c r="DJ916" s="325" t="str">
        <f t="shared" si="3037"/>
        <v/>
      </c>
      <c r="DK916" s="324" t="str">
        <f t="shared" si="3038"/>
        <v/>
      </c>
      <c r="DL916" s="428">
        <f t="shared" si="3039"/>
        <v>9</v>
      </c>
      <c r="DM916" s="66">
        <f t="shared" si="3040"/>
        <v>9</v>
      </c>
      <c r="DN916" s="66">
        <f t="shared" si="3041"/>
        <v>9</v>
      </c>
      <c r="DO916" s="66">
        <f t="shared" si="3042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3052">SUM(B225)</f>
        <v>0</v>
      </c>
      <c r="C917" s="570">
        <f t="shared" si="3052"/>
        <v>0</v>
      </c>
      <c r="D917" s="570">
        <f t="shared" si="3052"/>
        <v>0</v>
      </c>
      <c r="E917" s="570">
        <f t="shared" si="3052"/>
        <v>0</v>
      </c>
      <c r="F917" s="570">
        <f t="shared" si="3052"/>
        <v>0</v>
      </c>
      <c r="G917" s="570">
        <f t="shared" si="3052"/>
        <v>0</v>
      </c>
      <c r="H917" s="570">
        <f t="shared" si="3052"/>
        <v>0</v>
      </c>
      <c r="I917" s="570">
        <f t="shared" si="3052"/>
        <v>0</v>
      </c>
      <c r="J917" s="570">
        <f t="shared" si="3052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3053">SUM(T225)</f>
        <v>0</v>
      </c>
      <c r="U917" s="570">
        <f t="shared" si="3053"/>
        <v>0</v>
      </c>
      <c r="V917" s="570">
        <f t="shared" si="3053"/>
        <v>0</v>
      </c>
      <c r="W917" s="570">
        <f t="shared" si="3053"/>
        <v>0</v>
      </c>
      <c r="X917" s="570">
        <f t="shared" si="3053"/>
        <v>0</v>
      </c>
      <c r="Y917" s="570">
        <f t="shared" si="3053"/>
        <v>0</v>
      </c>
      <c r="Z917" s="570">
        <f t="shared" si="3053"/>
        <v>0</v>
      </c>
      <c r="AA917" s="570">
        <f t="shared" si="3053"/>
        <v>0</v>
      </c>
      <c r="AB917" s="570">
        <f t="shared" si="3053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3054">SUM(AL225)</f>
        <v>450</v>
      </c>
      <c r="AM917" s="570">
        <f t="shared" si="3054"/>
        <v>75</v>
      </c>
      <c r="AN917" s="570">
        <f t="shared" si="3054"/>
        <v>170</v>
      </c>
      <c r="AO917" s="570">
        <f t="shared" si="3054"/>
        <v>450</v>
      </c>
      <c r="AP917" s="570">
        <f t="shared" si="3054"/>
        <v>400</v>
      </c>
      <c r="AQ917" s="570">
        <f t="shared" si="3054"/>
        <v>0</v>
      </c>
      <c r="AR917" s="570">
        <f t="shared" si="3054"/>
        <v>0</v>
      </c>
      <c r="AS917" s="570">
        <f t="shared" si="3054"/>
        <v>900</v>
      </c>
      <c r="AT917" s="570">
        <f t="shared" si="3054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3055">SUM(BD225)</f>
        <v>150</v>
      </c>
      <c r="BE917" s="570">
        <f t="shared" si="3055"/>
        <v>0</v>
      </c>
      <c r="BF917" s="570">
        <f t="shared" si="3055"/>
        <v>100</v>
      </c>
      <c r="BG917" s="570">
        <f t="shared" si="3055"/>
        <v>250</v>
      </c>
      <c r="BH917" s="570">
        <f t="shared" si="3055"/>
        <v>0</v>
      </c>
      <c r="BI917" s="570">
        <f t="shared" si="3055"/>
        <v>0</v>
      </c>
      <c r="BJ917" s="570">
        <f t="shared" si="3055"/>
        <v>0</v>
      </c>
      <c r="BK917" s="570">
        <f t="shared" si="3055"/>
        <v>0</v>
      </c>
      <c r="BL917" s="570">
        <f t="shared" si="3055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3016"/>
        <v>0</v>
      </c>
      <c r="CA917" s="373">
        <f t="shared" si="3017"/>
        <v>0</v>
      </c>
      <c r="CB917" s="373">
        <f t="shared" si="3018"/>
        <v>295.71428571428572</v>
      </c>
      <c r="CC917" s="373">
        <f t="shared" si="3019"/>
        <v>71.428571428571431</v>
      </c>
      <c r="CD917" s="1109" t="str">
        <f t="shared" si="3043"/>
        <v/>
      </c>
      <c r="CE917" s="1110" t="str">
        <f t="shared" si="3021"/>
        <v/>
      </c>
      <c r="CF917" s="1111" t="str">
        <f t="shared" si="3021"/>
        <v/>
      </c>
      <c r="CG917" s="1111" t="str">
        <f t="shared" si="3021"/>
        <v/>
      </c>
      <c r="CH917" s="1111">
        <f t="shared" si="3021"/>
        <v>0</v>
      </c>
      <c r="CI917" s="1111">
        <f t="shared" si="3021"/>
        <v>0</v>
      </c>
      <c r="CJ917" s="1111">
        <f t="shared" si="3021"/>
        <v>0</v>
      </c>
      <c r="CK917" s="1112">
        <f t="shared" si="3021"/>
        <v>0</v>
      </c>
      <c r="CL917" s="1112">
        <f t="shared" si="3021"/>
        <v>0</v>
      </c>
      <c r="CM917" s="1112">
        <f t="shared" si="3021"/>
        <v>0</v>
      </c>
      <c r="CN917" s="1111">
        <f t="shared" si="3021"/>
        <v>0</v>
      </c>
      <c r="CO917" s="1111">
        <f t="shared" si="3021"/>
        <v>0</v>
      </c>
      <c r="CP917" s="1111">
        <f t="shared" si="3021"/>
        <v>0</v>
      </c>
      <c r="CQ917" s="1111" t="str">
        <f t="shared" si="3021"/>
        <v/>
      </c>
      <c r="CR917" s="1111" t="str">
        <f t="shared" si="3021"/>
        <v/>
      </c>
      <c r="CS917" s="1110" t="str">
        <f t="shared" si="3021"/>
        <v/>
      </c>
      <c r="CT917" s="1113" t="str">
        <f t="shared" si="3021"/>
        <v/>
      </c>
      <c r="CU917" s="324" t="str">
        <f t="shared" si="3022"/>
        <v/>
      </c>
      <c r="CV917" s="325" t="str">
        <f t="shared" si="3023"/>
        <v/>
      </c>
      <c r="CW917" s="326" t="str">
        <f t="shared" si="3024"/>
        <v/>
      </c>
      <c r="CX917" s="326" t="str">
        <f t="shared" si="3025"/>
        <v/>
      </c>
      <c r="CY917" s="326">
        <f t="shared" si="3026"/>
        <v>0</v>
      </c>
      <c r="CZ917" s="326">
        <f t="shared" si="3027"/>
        <v>0</v>
      </c>
      <c r="DA917" s="326">
        <f t="shared" si="3028"/>
        <v>0</v>
      </c>
      <c r="DB917" s="327">
        <f t="shared" si="3029"/>
        <v>0</v>
      </c>
      <c r="DC917" s="327">
        <f t="shared" si="3030"/>
        <v>0</v>
      </c>
      <c r="DD917" s="327">
        <f t="shared" si="3031"/>
        <v>0</v>
      </c>
      <c r="DE917" s="326">
        <f t="shared" si="3032"/>
        <v>0</v>
      </c>
      <c r="DF917" s="326">
        <f t="shared" si="3033"/>
        <v>0</v>
      </c>
      <c r="DG917" s="326">
        <f t="shared" si="3034"/>
        <v>0</v>
      </c>
      <c r="DH917" s="326" t="str">
        <f t="shared" si="3035"/>
        <v/>
      </c>
      <c r="DI917" s="326" t="str">
        <f t="shared" si="3036"/>
        <v/>
      </c>
      <c r="DJ917" s="325" t="str">
        <f t="shared" si="3037"/>
        <v/>
      </c>
      <c r="DK917" s="324" t="str">
        <f t="shared" si="3038"/>
        <v/>
      </c>
      <c r="DL917" s="428">
        <f t="shared" si="3039"/>
        <v>9</v>
      </c>
      <c r="DM917" s="66">
        <f t="shared" si="3040"/>
        <v>9</v>
      </c>
      <c r="DN917" s="66">
        <f t="shared" si="3041"/>
        <v>9</v>
      </c>
      <c r="DO917" s="66">
        <f t="shared" si="3042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19"/>
      <c r="CE918" s="1120"/>
      <c r="CF918" s="1120"/>
      <c r="CG918" s="1120"/>
      <c r="CH918" s="1120"/>
      <c r="CI918" s="1120"/>
      <c r="CJ918" s="1120"/>
      <c r="CK918" s="1120"/>
      <c r="CL918" s="1120"/>
      <c r="CM918" s="1120"/>
      <c r="CN918" s="1120"/>
      <c r="CO918" s="1120"/>
      <c r="CP918" s="1120"/>
      <c r="CQ918" s="1120"/>
      <c r="CR918" s="1120"/>
      <c r="CS918" s="1120"/>
      <c r="CT918" s="1121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>SUM(B186)</f>
        <v>0</v>
      </c>
      <c r="C919" s="570">
        <f>SUM(C186)</f>
        <v>0</v>
      </c>
      <c r="D919" s="570">
        <f>SUM(D186)</f>
        <v>0</v>
      </c>
      <c r="E919" s="570">
        <f>SUM(E186)</f>
        <v>0</v>
      </c>
      <c r="F919" s="570">
        <f>SUM(F186)</f>
        <v>0</v>
      </c>
      <c r="G919" s="570">
        <f>SUM(G186)</f>
        <v>0</v>
      </c>
      <c r="H919" s="570">
        <f>SUM(H186)</f>
        <v>0</v>
      </c>
      <c r="I919" s="570">
        <f>SUM(I186)</f>
        <v>0</v>
      </c>
      <c r="J919" s="570">
        <f>SUM(J186)</f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>SUM(T186)</f>
        <v>0</v>
      </c>
      <c r="U919" s="570">
        <f>SUM(U186)</f>
        <v>0</v>
      </c>
      <c r="V919" s="570">
        <f>SUM(V186)</f>
        <v>0</v>
      </c>
      <c r="W919" s="570">
        <f>SUM(W186)</f>
        <v>0</v>
      </c>
      <c r="X919" s="570">
        <f>SUM(X186)</f>
        <v>0</v>
      </c>
      <c r="Y919" s="570">
        <f>SUM(Y186)</f>
        <v>0</v>
      </c>
      <c r="Z919" s="570">
        <f>SUM(Z186)</f>
        <v>0</v>
      </c>
      <c r="AA919" s="570">
        <f>SUM(AA186)</f>
        <v>0</v>
      </c>
      <c r="AB919" s="570">
        <f>SUM(AB186)</f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>SUM(AL186)</f>
        <v>2000</v>
      </c>
      <c r="AM919" s="570">
        <f>SUM(AM186)</f>
        <v>2000</v>
      </c>
      <c r="AN919" s="570">
        <f>SUM(AN186)</f>
        <v>1250</v>
      </c>
      <c r="AO919" s="570">
        <f>SUM(AO186)</f>
        <v>900</v>
      </c>
      <c r="AP919" s="570">
        <f>SUM(AP186)</f>
        <v>1250</v>
      </c>
      <c r="AQ919" s="570">
        <f>SUM(AQ186)</f>
        <v>0</v>
      </c>
      <c r="AR919" s="570">
        <f>SUM(AR186)</f>
        <v>0</v>
      </c>
      <c r="AS919" s="570">
        <f>SUM(AS186)</f>
        <v>1000</v>
      </c>
      <c r="AT919" s="570">
        <f>SUM(AT186)</f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>SUM(BD186)</f>
        <v>750</v>
      </c>
      <c r="BE919" s="570">
        <f>SUM(BE186)</f>
        <v>760</v>
      </c>
      <c r="BF919" s="570">
        <f>SUM(BF186)</f>
        <v>1500</v>
      </c>
      <c r="BG919" s="570">
        <f>SUM(BG186)</f>
        <v>1400</v>
      </c>
      <c r="BH919" s="570">
        <f>SUM(BH186)</f>
        <v>1500</v>
      </c>
      <c r="BI919" s="570">
        <f>SUM(BI186)</f>
        <v>300</v>
      </c>
      <c r="BJ919" s="570">
        <f>SUM(BJ186)</f>
        <v>0</v>
      </c>
      <c r="BK919" s="570">
        <f>SUM(BK186)</f>
        <v>2750</v>
      </c>
      <c r="BL919" s="570">
        <f>SUM(BL186)</f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3056">IF(DL919&lt;3,"",(SUM(B919:R919)-MIN(B919:R919)-MAX(B919:R919))/(DL919-2))</f>
        <v>0</v>
      </c>
      <c r="CA919" s="373">
        <f t="shared" ref="CA919:CA928" si="3057">IF(DM919&lt;3,"",(SUM(T919:AJ919)-MIN(T919:AJ919)-MAX(T919:AJ919))/(DM919-2))</f>
        <v>0</v>
      </c>
      <c r="CB919" s="373">
        <f t="shared" ref="CB919:CB928" si="3058">IF(DN919&lt;3,"",(SUM(AL919:BB919)-MIN(AL919:BB919)-MAX(AL919:BB919))/(DN919-2))</f>
        <v>1200</v>
      </c>
      <c r="CC919" s="373">
        <f t="shared" ref="CC919:CC928" si="3059">IF(DO919&lt;3,"",(SUM(BD919:BT919)-MIN(BD919:BT919)-MAX(BD919:BT919))/(DO919-2))</f>
        <v>887.14285714285711</v>
      </c>
      <c r="CD919" s="1109" t="str">
        <f t="shared" ref="CD919:CS919" si="306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0" t="str">
        <f t="shared" si="3060"/>
        <v/>
      </c>
      <c r="CF919" s="1111" t="str">
        <f t="shared" si="3060"/>
        <v/>
      </c>
      <c r="CG919" s="1111" t="str">
        <f t="shared" si="3060"/>
        <v/>
      </c>
      <c r="CH919" s="1111">
        <f t="shared" si="3060"/>
        <v>0</v>
      </c>
      <c r="CI919" s="1111">
        <f t="shared" si="3060"/>
        <v>0</v>
      </c>
      <c r="CJ919" s="1111">
        <f t="shared" si="3060"/>
        <v>0</v>
      </c>
      <c r="CK919" s="1112">
        <f t="shared" si="3060"/>
        <v>0</v>
      </c>
      <c r="CL919" s="1112">
        <f t="shared" si="3060"/>
        <v>0</v>
      </c>
      <c r="CM919" s="1112">
        <f t="shared" si="3060"/>
        <v>0</v>
      </c>
      <c r="CN919" s="1111">
        <f t="shared" si="3060"/>
        <v>0</v>
      </c>
      <c r="CO919" s="1111">
        <f t="shared" si="3060"/>
        <v>0</v>
      </c>
      <c r="CP919" s="1111">
        <f t="shared" si="3060"/>
        <v>0</v>
      </c>
      <c r="CQ919" s="1111" t="str">
        <f t="shared" si="3060"/>
        <v/>
      </c>
      <c r="CR919" s="1111" t="str">
        <f t="shared" si="3060"/>
        <v/>
      </c>
      <c r="CS919" s="1110" t="str">
        <f t="shared" si="3060"/>
        <v/>
      </c>
      <c r="CT919" s="1113" t="str">
        <f t="shared" ref="CE919:CT928" si="306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306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306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306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306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306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06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06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06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07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07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07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07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07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307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307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307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307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3079">COUNT(B919:R919)</f>
        <v>9</v>
      </c>
      <c r="DM919" s="66">
        <f t="shared" ref="DM919:DM928" si="3080">COUNT(T919:AJ919)</f>
        <v>9</v>
      </c>
      <c r="DN919" s="66">
        <f t="shared" ref="DN919:DN928" si="3081">COUNT(AL919:BB919)</f>
        <v>9</v>
      </c>
      <c r="DO919" s="66">
        <f t="shared" ref="DO919:DO928" si="3082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>SUM(B189)</f>
        <v>0</v>
      </c>
      <c r="C920" s="570">
        <f>SUM(C189)</f>
        <v>0</v>
      </c>
      <c r="D920" s="570">
        <f>SUM(D189)</f>
        <v>0</v>
      </c>
      <c r="E920" s="570">
        <f>SUM(E189)</f>
        <v>0</v>
      </c>
      <c r="F920" s="570">
        <f>SUM(F189)</f>
        <v>0</v>
      </c>
      <c r="G920" s="570">
        <f>SUM(G189)</f>
        <v>0</v>
      </c>
      <c r="H920" s="570">
        <f>SUM(H189)</f>
        <v>0</v>
      </c>
      <c r="I920" s="570">
        <f>SUM(I189)</f>
        <v>0</v>
      </c>
      <c r="J920" s="570">
        <f>SUM(J189)</f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>SUM(T189)</f>
        <v>0</v>
      </c>
      <c r="U920" s="570">
        <f>SUM(U189)</f>
        <v>0</v>
      </c>
      <c r="V920" s="570">
        <f>SUM(V189)</f>
        <v>0</v>
      </c>
      <c r="W920" s="570">
        <f>SUM(W189)</f>
        <v>0</v>
      </c>
      <c r="X920" s="570">
        <f>SUM(X189)</f>
        <v>0</v>
      </c>
      <c r="Y920" s="570">
        <f>SUM(Y189)</f>
        <v>0</v>
      </c>
      <c r="Z920" s="570">
        <f>SUM(Z189)</f>
        <v>0</v>
      </c>
      <c r="AA920" s="570">
        <f>SUM(AA189)</f>
        <v>0</v>
      </c>
      <c r="AB920" s="570">
        <f>SUM(AB189)</f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>SUM(AL189)</f>
        <v>0</v>
      </c>
      <c r="AM920" s="570">
        <f>SUM(AM189)</f>
        <v>0</v>
      </c>
      <c r="AN920" s="570">
        <f>SUM(AN189)</f>
        <v>0</v>
      </c>
      <c r="AO920" s="570">
        <f>SUM(AO189)</f>
        <v>0</v>
      </c>
      <c r="AP920" s="570">
        <f>SUM(AP189)</f>
        <v>0</v>
      </c>
      <c r="AQ920" s="570">
        <f>SUM(AQ189)</f>
        <v>0</v>
      </c>
      <c r="AR920" s="570">
        <f>SUM(AR189)</f>
        <v>0</v>
      </c>
      <c r="AS920" s="570">
        <f>SUM(AS189)</f>
        <v>0</v>
      </c>
      <c r="AT920" s="570">
        <f>SUM(AT189)</f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>SUM(BD189)</f>
        <v>0</v>
      </c>
      <c r="BE920" s="570">
        <f>SUM(BE189)</f>
        <v>0</v>
      </c>
      <c r="BF920" s="570">
        <f>SUM(BF189)</f>
        <v>0</v>
      </c>
      <c r="BG920" s="570">
        <f>SUM(BG189)</f>
        <v>0</v>
      </c>
      <c r="BH920" s="570">
        <f>SUM(BH189)</f>
        <v>0</v>
      </c>
      <c r="BI920" s="570">
        <f>SUM(BI189)</f>
        <v>1200</v>
      </c>
      <c r="BJ920" s="570">
        <f>SUM(BJ189)</f>
        <v>0</v>
      </c>
      <c r="BK920" s="570">
        <f>SUM(BK189)</f>
        <v>0</v>
      </c>
      <c r="BL920" s="570">
        <f>SUM(BL189)</f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3056"/>
        <v>0</v>
      </c>
      <c r="CA920" s="373">
        <f t="shared" si="3057"/>
        <v>0</v>
      </c>
      <c r="CB920" s="373">
        <f t="shared" si="3058"/>
        <v>0</v>
      </c>
      <c r="CC920" s="373">
        <f t="shared" si="3059"/>
        <v>0</v>
      </c>
      <c r="CD920" s="1109" t="str">
        <f t="shared" ref="CD920:CD928" si="308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0" t="str">
        <f t="shared" si="3061"/>
        <v/>
      </c>
      <c r="CF920" s="1111" t="str">
        <f t="shared" si="3061"/>
        <v/>
      </c>
      <c r="CG920" s="1111" t="str">
        <f t="shared" si="3061"/>
        <v/>
      </c>
      <c r="CH920" s="1111">
        <f t="shared" si="3061"/>
        <v>0</v>
      </c>
      <c r="CI920" s="1111">
        <f t="shared" si="3061"/>
        <v>0</v>
      </c>
      <c r="CJ920" s="1111">
        <f t="shared" si="3061"/>
        <v>0</v>
      </c>
      <c r="CK920" s="1112">
        <f t="shared" si="3061"/>
        <v>0</v>
      </c>
      <c r="CL920" s="1112">
        <f t="shared" si="3061"/>
        <v>0</v>
      </c>
      <c r="CM920" s="1112">
        <f t="shared" si="3061"/>
        <v>0</v>
      </c>
      <c r="CN920" s="1111">
        <f t="shared" si="3061"/>
        <v>0</v>
      </c>
      <c r="CO920" s="1111">
        <f t="shared" si="3061"/>
        <v>0</v>
      </c>
      <c r="CP920" s="1111">
        <f t="shared" si="3061"/>
        <v>0</v>
      </c>
      <c r="CQ920" s="1111" t="str">
        <f t="shared" si="3061"/>
        <v/>
      </c>
      <c r="CR920" s="1111" t="str">
        <f t="shared" si="3061"/>
        <v/>
      </c>
      <c r="CS920" s="1110" t="str">
        <f t="shared" si="3061"/>
        <v/>
      </c>
      <c r="CT920" s="1113" t="str">
        <f t="shared" si="3061"/>
        <v/>
      </c>
      <c r="CU920" s="324" t="str">
        <f t="shared" si="3062"/>
        <v/>
      </c>
      <c r="CV920" s="325" t="str">
        <f t="shared" si="3063"/>
        <v/>
      </c>
      <c r="CW920" s="326" t="str">
        <f t="shared" si="3064"/>
        <v/>
      </c>
      <c r="CX920" s="326" t="str">
        <f t="shared" si="3065"/>
        <v/>
      </c>
      <c r="CY920" s="326">
        <f t="shared" si="3066"/>
        <v>0</v>
      </c>
      <c r="CZ920" s="326">
        <f t="shared" si="3067"/>
        <v>0</v>
      </c>
      <c r="DA920" s="326">
        <f t="shared" si="3068"/>
        <v>0</v>
      </c>
      <c r="DB920" s="327">
        <f t="shared" si="3069"/>
        <v>0</v>
      </c>
      <c r="DC920" s="327">
        <f t="shared" si="3070"/>
        <v>0</v>
      </c>
      <c r="DD920" s="327">
        <f t="shared" si="3071"/>
        <v>0</v>
      </c>
      <c r="DE920" s="326">
        <f t="shared" si="3072"/>
        <v>0</v>
      </c>
      <c r="DF920" s="326">
        <f t="shared" si="3073"/>
        <v>0</v>
      </c>
      <c r="DG920" s="326">
        <f t="shared" si="3074"/>
        <v>0</v>
      </c>
      <c r="DH920" s="326" t="str">
        <f t="shared" si="3075"/>
        <v/>
      </c>
      <c r="DI920" s="326" t="str">
        <f t="shared" si="3076"/>
        <v/>
      </c>
      <c r="DJ920" s="325" t="str">
        <f t="shared" si="3077"/>
        <v/>
      </c>
      <c r="DK920" s="324" t="str">
        <f t="shared" si="3078"/>
        <v/>
      </c>
      <c r="DL920" s="428">
        <f t="shared" si="3079"/>
        <v>9</v>
      </c>
      <c r="DM920" s="66">
        <f t="shared" si="3080"/>
        <v>9</v>
      </c>
      <c r="DN920" s="66">
        <f t="shared" si="3081"/>
        <v>9</v>
      </c>
      <c r="DO920" s="66">
        <f t="shared" si="3082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3084">SUM(B193)</f>
        <v>0</v>
      </c>
      <c r="C921" s="570">
        <f t="shared" si="3084"/>
        <v>0</v>
      </c>
      <c r="D921" s="570">
        <f t="shared" si="3084"/>
        <v>0</v>
      </c>
      <c r="E921" s="570">
        <f t="shared" si="3084"/>
        <v>0</v>
      </c>
      <c r="F921" s="570">
        <f t="shared" si="3084"/>
        <v>0</v>
      </c>
      <c r="G921" s="570">
        <f t="shared" si="3084"/>
        <v>0</v>
      </c>
      <c r="H921" s="570">
        <f t="shared" si="3084"/>
        <v>0</v>
      </c>
      <c r="I921" s="570">
        <f t="shared" si="3084"/>
        <v>0</v>
      </c>
      <c r="J921" s="570">
        <f t="shared" si="3084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3085">SUM(T193)</f>
        <v>0</v>
      </c>
      <c r="U921" s="570">
        <f t="shared" si="3085"/>
        <v>0</v>
      </c>
      <c r="V921" s="570">
        <f t="shared" si="3085"/>
        <v>0</v>
      </c>
      <c r="W921" s="570">
        <f t="shared" si="3085"/>
        <v>0</v>
      </c>
      <c r="X921" s="570">
        <f t="shared" si="3085"/>
        <v>0</v>
      </c>
      <c r="Y921" s="570">
        <f t="shared" si="3085"/>
        <v>0</v>
      </c>
      <c r="Z921" s="570">
        <f t="shared" si="3085"/>
        <v>0</v>
      </c>
      <c r="AA921" s="570">
        <f t="shared" si="3085"/>
        <v>0</v>
      </c>
      <c r="AB921" s="570">
        <f t="shared" si="3085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3086">SUM(AL193)</f>
        <v>0</v>
      </c>
      <c r="AM921" s="570">
        <f t="shared" si="3086"/>
        <v>0</v>
      </c>
      <c r="AN921" s="570">
        <f t="shared" si="3086"/>
        <v>0</v>
      </c>
      <c r="AO921" s="570">
        <f t="shared" si="3086"/>
        <v>0</v>
      </c>
      <c r="AP921" s="570">
        <f t="shared" si="3086"/>
        <v>0</v>
      </c>
      <c r="AQ921" s="570">
        <f t="shared" si="3086"/>
        <v>0</v>
      </c>
      <c r="AR921" s="570">
        <f t="shared" si="3086"/>
        <v>0</v>
      </c>
      <c r="AS921" s="570">
        <f t="shared" si="3086"/>
        <v>0</v>
      </c>
      <c r="AT921" s="570">
        <f t="shared" si="3086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3087">SUM(BD193)</f>
        <v>0</v>
      </c>
      <c r="BE921" s="570">
        <f t="shared" si="3087"/>
        <v>0</v>
      </c>
      <c r="BF921" s="570">
        <f t="shared" si="3087"/>
        <v>0</v>
      </c>
      <c r="BG921" s="570">
        <f t="shared" si="3087"/>
        <v>0</v>
      </c>
      <c r="BH921" s="570">
        <f t="shared" si="3087"/>
        <v>0</v>
      </c>
      <c r="BI921" s="570">
        <f t="shared" si="3087"/>
        <v>0</v>
      </c>
      <c r="BJ921" s="570">
        <f t="shared" si="3087"/>
        <v>0</v>
      </c>
      <c r="BK921" s="570">
        <f t="shared" si="3087"/>
        <v>0</v>
      </c>
      <c r="BL921" s="570">
        <f t="shared" si="3087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3056"/>
        <v>0</v>
      </c>
      <c r="CA921" s="373">
        <f t="shared" si="3057"/>
        <v>0</v>
      </c>
      <c r="CB921" s="373">
        <f t="shared" si="3058"/>
        <v>0</v>
      </c>
      <c r="CC921" s="373">
        <f t="shared" si="3059"/>
        <v>0</v>
      </c>
      <c r="CD921" s="1109" t="str">
        <f t="shared" si="3083"/>
        <v/>
      </c>
      <c r="CE921" s="1110" t="str">
        <f t="shared" si="3061"/>
        <v/>
      </c>
      <c r="CF921" s="1111" t="str">
        <f t="shared" si="3061"/>
        <v/>
      </c>
      <c r="CG921" s="1111" t="str">
        <f t="shared" si="3061"/>
        <v/>
      </c>
      <c r="CH921" s="1111">
        <f t="shared" si="3061"/>
        <v>0</v>
      </c>
      <c r="CI921" s="1111">
        <f t="shared" si="3061"/>
        <v>0</v>
      </c>
      <c r="CJ921" s="1111">
        <f t="shared" si="3061"/>
        <v>0</v>
      </c>
      <c r="CK921" s="1112">
        <f t="shared" si="3061"/>
        <v>0</v>
      </c>
      <c r="CL921" s="1112">
        <f t="shared" si="3061"/>
        <v>0</v>
      </c>
      <c r="CM921" s="1112">
        <f t="shared" si="3061"/>
        <v>0</v>
      </c>
      <c r="CN921" s="1111">
        <f t="shared" si="3061"/>
        <v>0</v>
      </c>
      <c r="CO921" s="1111">
        <f t="shared" si="3061"/>
        <v>0</v>
      </c>
      <c r="CP921" s="1111">
        <f t="shared" si="3061"/>
        <v>0</v>
      </c>
      <c r="CQ921" s="1111" t="str">
        <f t="shared" si="3061"/>
        <v/>
      </c>
      <c r="CR921" s="1111" t="str">
        <f t="shared" si="3061"/>
        <v/>
      </c>
      <c r="CS921" s="1110" t="str">
        <f t="shared" si="3061"/>
        <v/>
      </c>
      <c r="CT921" s="1113" t="str">
        <f t="shared" si="3061"/>
        <v/>
      </c>
      <c r="CU921" s="324" t="str">
        <f t="shared" si="3062"/>
        <v/>
      </c>
      <c r="CV921" s="325" t="str">
        <f t="shared" si="3063"/>
        <v/>
      </c>
      <c r="CW921" s="326" t="str">
        <f t="shared" si="3064"/>
        <v/>
      </c>
      <c r="CX921" s="326" t="str">
        <f t="shared" si="3065"/>
        <v/>
      </c>
      <c r="CY921" s="326">
        <f t="shared" si="3066"/>
        <v>0</v>
      </c>
      <c r="CZ921" s="326">
        <f t="shared" si="3067"/>
        <v>0</v>
      </c>
      <c r="DA921" s="326">
        <f t="shared" si="3068"/>
        <v>0</v>
      </c>
      <c r="DB921" s="327">
        <f t="shared" si="3069"/>
        <v>0</v>
      </c>
      <c r="DC921" s="327">
        <f t="shared" si="3070"/>
        <v>0</v>
      </c>
      <c r="DD921" s="327">
        <f t="shared" si="3071"/>
        <v>0</v>
      </c>
      <c r="DE921" s="326">
        <f t="shared" si="3072"/>
        <v>0</v>
      </c>
      <c r="DF921" s="326">
        <f t="shared" si="3073"/>
        <v>0</v>
      </c>
      <c r="DG921" s="326">
        <f t="shared" si="3074"/>
        <v>0</v>
      </c>
      <c r="DH921" s="326" t="str">
        <f t="shared" si="3075"/>
        <v/>
      </c>
      <c r="DI921" s="326" t="str">
        <f t="shared" si="3076"/>
        <v/>
      </c>
      <c r="DJ921" s="325" t="str">
        <f t="shared" si="3077"/>
        <v/>
      </c>
      <c r="DK921" s="324" t="str">
        <f t="shared" si="3078"/>
        <v/>
      </c>
      <c r="DL921" s="428">
        <f t="shared" si="3079"/>
        <v>9</v>
      </c>
      <c r="DM921" s="66">
        <f t="shared" si="3080"/>
        <v>9</v>
      </c>
      <c r="DN921" s="66">
        <f t="shared" si="3081"/>
        <v>9</v>
      </c>
      <c r="DO921" s="66">
        <f t="shared" si="3082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3088">SUM(B196)</f>
        <v>0</v>
      </c>
      <c r="C922" s="570">
        <f t="shared" si="3088"/>
        <v>0</v>
      </c>
      <c r="D922" s="570">
        <f t="shared" si="3088"/>
        <v>0</v>
      </c>
      <c r="E922" s="570">
        <f t="shared" si="3088"/>
        <v>0</v>
      </c>
      <c r="F922" s="570">
        <f t="shared" si="3088"/>
        <v>0</v>
      </c>
      <c r="G922" s="570">
        <f t="shared" si="3088"/>
        <v>0</v>
      </c>
      <c r="H922" s="570">
        <f t="shared" si="3088"/>
        <v>0</v>
      </c>
      <c r="I922" s="570">
        <f t="shared" si="3088"/>
        <v>0</v>
      </c>
      <c r="J922" s="570">
        <f t="shared" si="3088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3089">SUM(T196)</f>
        <v>0</v>
      </c>
      <c r="U922" s="570">
        <f t="shared" si="3089"/>
        <v>0</v>
      </c>
      <c r="V922" s="570">
        <f t="shared" si="3089"/>
        <v>0</v>
      </c>
      <c r="W922" s="570">
        <f t="shared" si="3089"/>
        <v>0</v>
      </c>
      <c r="X922" s="570">
        <f t="shared" si="3089"/>
        <v>0</v>
      </c>
      <c r="Y922" s="570">
        <f t="shared" si="3089"/>
        <v>0</v>
      </c>
      <c r="Z922" s="570">
        <f t="shared" si="3089"/>
        <v>0</v>
      </c>
      <c r="AA922" s="570">
        <f t="shared" si="3089"/>
        <v>0</v>
      </c>
      <c r="AB922" s="570">
        <f t="shared" si="3089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3090">SUM(AL196)</f>
        <v>0</v>
      </c>
      <c r="AM922" s="570">
        <f t="shared" si="3090"/>
        <v>0</v>
      </c>
      <c r="AN922" s="570">
        <f t="shared" si="3090"/>
        <v>0</v>
      </c>
      <c r="AO922" s="570">
        <f t="shared" si="3090"/>
        <v>0</v>
      </c>
      <c r="AP922" s="570">
        <f t="shared" si="3090"/>
        <v>0</v>
      </c>
      <c r="AQ922" s="570">
        <f t="shared" si="3090"/>
        <v>0</v>
      </c>
      <c r="AR922" s="570">
        <f t="shared" si="3090"/>
        <v>0</v>
      </c>
      <c r="AS922" s="570">
        <f t="shared" si="3090"/>
        <v>0</v>
      </c>
      <c r="AT922" s="570">
        <f t="shared" si="3090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3091">SUM(BD196)</f>
        <v>0</v>
      </c>
      <c r="BE922" s="570">
        <f t="shared" si="3091"/>
        <v>0</v>
      </c>
      <c r="BF922" s="570">
        <f t="shared" si="3091"/>
        <v>0</v>
      </c>
      <c r="BG922" s="570">
        <f t="shared" si="3091"/>
        <v>0</v>
      </c>
      <c r="BH922" s="570">
        <f t="shared" si="3091"/>
        <v>0</v>
      </c>
      <c r="BI922" s="570">
        <f t="shared" si="3091"/>
        <v>0</v>
      </c>
      <c r="BJ922" s="570">
        <f t="shared" si="3091"/>
        <v>0</v>
      </c>
      <c r="BK922" s="570">
        <f t="shared" si="3091"/>
        <v>0</v>
      </c>
      <c r="BL922" s="570">
        <f t="shared" si="3091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3056"/>
        <v>0</v>
      </c>
      <c r="CA922" s="373">
        <f t="shared" si="3057"/>
        <v>0</v>
      </c>
      <c r="CB922" s="373">
        <f t="shared" si="3058"/>
        <v>0</v>
      </c>
      <c r="CC922" s="373">
        <f t="shared" si="3059"/>
        <v>0</v>
      </c>
      <c r="CD922" s="1109" t="str">
        <f t="shared" si="3083"/>
        <v/>
      </c>
      <c r="CE922" s="1110" t="str">
        <f t="shared" si="3061"/>
        <v/>
      </c>
      <c r="CF922" s="1111" t="str">
        <f t="shared" si="3061"/>
        <v/>
      </c>
      <c r="CG922" s="1111" t="str">
        <f t="shared" si="3061"/>
        <v/>
      </c>
      <c r="CH922" s="1111">
        <f t="shared" si="3061"/>
        <v>0</v>
      </c>
      <c r="CI922" s="1111">
        <f t="shared" si="3061"/>
        <v>0</v>
      </c>
      <c r="CJ922" s="1111">
        <f t="shared" si="3061"/>
        <v>0</v>
      </c>
      <c r="CK922" s="1112">
        <f t="shared" si="3061"/>
        <v>0</v>
      </c>
      <c r="CL922" s="1112">
        <f t="shared" si="3061"/>
        <v>0</v>
      </c>
      <c r="CM922" s="1112">
        <f t="shared" si="3061"/>
        <v>0</v>
      </c>
      <c r="CN922" s="1111">
        <f t="shared" si="3061"/>
        <v>0</v>
      </c>
      <c r="CO922" s="1111">
        <f t="shared" si="3061"/>
        <v>0</v>
      </c>
      <c r="CP922" s="1111">
        <f t="shared" si="3061"/>
        <v>0</v>
      </c>
      <c r="CQ922" s="1111" t="str">
        <f t="shared" si="3061"/>
        <v/>
      </c>
      <c r="CR922" s="1111" t="str">
        <f t="shared" si="3061"/>
        <v/>
      </c>
      <c r="CS922" s="1110" t="str">
        <f t="shared" si="3061"/>
        <v/>
      </c>
      <c r="CT922" s="1113" t="str">
        <f t="shared" si="3061"/>
        <v/>
      </c>
      <c r="CU922" s="324" t="str">
        <f t="shared" si="3062"/>
        <v/>
      </c>
      <c r="CV922" s="325" t="str">
        <f t="shared" si="3063"/>
        <v/>
      </c>
      <c r="CW922" s="326" t="str">
        <f t="shared" si="3064"/>
        <v/>
      </c>
      <c r="CX922" s="326" t="str">
        <f t="shared" si="3065"/>
        <v/>
      </c>
      <c r="CY922" s="326">
        <f t="shared" si="3066"/>
        <v>0</v>
      </c>
      <c r="CZ922" s="326">
        <f t="shared" si="3067"/>
        <v>0</v>
      </c>
      <c r="DA922" s="326">
        <f t="shared" si="3068"/>
        <v>0</v>
      </c>
      <c r="DB922" s="327">
        <f t="shared" si="3069"/>
        <v>0</v>
      </c>
      <c r="DC922" s="327">
        <f t="shared" si="3070"/>
        <v>0</v>
      </c>
      <c r="DD922" s="327">
        <f t="shared" si="3071"/>
        <v>0</v>
      </c>
      <c r="DE922" s="326">
        <f t="shared" si="3072"/>
        <v>0</v>
      </c>
      <c r="DF922" s="326">
        <f t="shared" si="3073"/>
        <v>0</v>
      </c>
      <c r="DG922" s="326">
        <f t="shared" si="3074"/>
        <v>0</v>
      </c>
      <c r="DH922" s="326" t="str">
        <f t="shared" si="3075"/>
        <v/>
      </c>
      <c r="DI922" s="326" t="str">
        <f t="shared" si="3076"/>
        <v/>
      </c>
      <c r="DJ922" s="325" t="str">
        <f t="shared" si="3077"/>
        <v/>
      </c>
      <c r="DK922" s="324" t="str">
        <f t="shared" si="3078"/>
        <v/>
      </c>
      <c r="DL922" s="428">
        <f t="shared" si="3079"/>
        <v>9</v>
      </c>
      <c r="DM922" s="66">
        <f t="shared" si="3080"/>
        <v>9</v>
      </c>
      <c r="DN922" s="66">
        <f t="shared" si="3081"/>
        <v>9</v>
      </c>
      <c r="DO922" s="66">
        <f t="shared" si="3082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3092">SUM(B199)</f>
        <v>0</v>
      </c>
      <c r="C923" s="570">
        <f t="shared" si="3092"/>
        <v>0</v>
      </c>
      <c r="D923" s="570">
        <f t="shared" si="3092"/>
        <v>0</v>
      </c>
      <c r="E923" s="570">
        <f t="shared" si="3092"/>
        <v>0</v>
      </c>
      <c r="F923" s="570">
        <f t="shared" si="3092"/>
        <v>0</v>
      </c>
      <c r="G923" s="570">
        <f t="shared" si="3092"/>
        <v>0</v>
      </c>
      <c r="H923" s="570">
        <f t="shared" si="3092"/>
        <v>0</v>
      </c>
      <c r="I923" s="570">
        <f t="shared" si="3092"/>
        <v>0</v>
      </c>
      <c r="J923" s="570">
        <f t="shared" si="3092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3093">SUM(T199)</f>
        <v>0</v>
      </c>
      <c r="U923" s="570">
        <f t="shared" si="3093"/>
        <v>0</v>
      </c>
      <c r="V923" s="570">
        <f t="shared" si="3093"/>
        <v>0</v>
      </c>
      <c r="W923" s="570">
        <f t="shared" si="3093"/>
        <v>0</v>
      </c>
      <c r="X923" s="570">
        <f t="shared" si="3093"/>
        <v>0</v>
      </c>
      <c r="Y923" s="570">
        <f t="shared" si="3093"/>
        <v>0</v>
      </c>
      <c r="Z923" s="570">
        <f t="shared" si="3093"/>
        <v>0</v>
      </c>
      <c r="AA923" s="570">
        <f t="shared" si="3093"/>
        <v>0</v>
      </c>
      <c r="AB923" s="570">
        <f t="shared" si="3093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3094">SUM(AL199)</f>
        <v>1500</v>
      </c>
      <c r="AM923" s="570">
        <f t="shared" si="3094"/>
        <v>0</v>
      </c>
      <c r="AN923" s="570">
        <f t="shared" si="3094"/>
        <v>1500</v>
      </c>
      <c r="AO923" s="570">
        <f t="shared" si="3094"/>
        <v>3600</v>
      </c>
      <c r="AP923" s="570">
        <f t="shared" si="3094"/>
        <v>2000</v>
      </c>
      <c r="AQ923" s="570">
        <f t="shared" si="3094"/>
        <v>2400</v>
      </c>
      <c r="AR923" s="570">
        <f t="shared" si="3094"/>
        <v>0</v>
      </c>
      <c r="AS923" s="570">
        <f t="shared" si="3094"/>
        <v>3000</v>
      </c>
      <c r="AT923" s="570">
        <f t="shared" si="3094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3095">SUM(BD199)</f>
        <v>5000</v>
      </c>
      <c r="BE923" s="570">
        <f t="shared" si="3095"/>
        <v>0</v>
      </c>
      <c r="BF923" s="570">
        <f t="shared" si="3095"/>
        <v>6000</v>
      </c>
      <c r="BG923" s="570">
        <f t="shared" si="3095"/>
        <v>6000</v>
      </c>
      <c r="BH923" s="570">
        <f t="shared" si="3095"/>
        <v>6000</v>
      </c>
      <c r="BI923" s="570">
        <f t="shared" si="3095"/>
        <v>1500</v>
      </c>
      <c r="BJ923" s="570">
        <f t="shared" si="3095"/>
        <v>1500</v>
      </c>
      <c r="BK923" s="570">
        <f t="shared" si="3095"/>
        <v>1650</v>
      </c>
      <c r="BL923" s="570">
        <f t="shared" si="3095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3056"/>
        <v>0</v>
      </c>
      <c r="CA923" s="373">
        <f t="shared" si="3057"/>
        <v>0</v>
      </c>
      <c r="CB923" s="373">
        <f t="shared" si="3058"/>
        <v>1742.8571428571429</v>
      </c>
      <c r="CC923" s="373">
        <f t="shared" si="3059"/>
        <v>3521.4285714285716</v>
      </c>
      <c r="CD923" s="1109" t="str">
        <f t="shared" si="3083"/>
        <v/>
      </c>
      <c r="CE923" s="1110" t="str">
        <f t="shared" si="3061"/>
        <v/>
      </c>
      <c r="CF923" s="1111" t="str">
        <f t="shared" si="3061"/>
        <v/>
      </c>
      <c r="CG923" s="1111" t="str">
        <f t="shared" si="3061"/>
        <v/>
      </c>
      <c r="CH923" s="1111">
        <f t="shared" si="3061"/>
        <v>0</v>
      </c>
      <c r="CI923" s="1111">
        <f t="shared" si="3061"/>
        <v>0</v>
      </c>
      <c r="CJ923" s="1111">
        <f t="shared" si="3061"/>
        <v>0</v>
      </c>
      <c r="CK923" s="1112">
        <f t="shared" si="3061"/>
        <v>0</v>
      </c>
      <c r="CL923" s="1112">
        <f t="shared" si="3061"/>
        <v>0</v>
      </c>
      <c r="CM923" s="1112">
        <f t="shared" si="3061"/>
        <v>0</v>
      </c>
      <c r="CN923" s="1111">
        <f t="shared" si="3061"/>
        <v>0</v>
      </c>
      <c r="CO923" s="1111">
        <f t="shared" si="3061"/>
        <v>0</v>
      </c>
      <c r="CP923" s="1111">
        <f t="shared" si="3061"/>
        <v>0</v>
      </c>
      <c r="CQ923" s="1111" t="str">
        <f t="shared" si="3061"/>
        <v/>
      </c>
      <c r="CR923" s="1111" t="str">
        <f t="shared" si="3061"/>
        <v/>
      </c>
      <c r="CS923" s="1110" t="str">
        <f t="shared" si="3061"/>
        <v/>
      </c>
      <c r="CT923" s="1113" t="str">
        <f t="shared" si="3061"/>
        <v/>
      </c>
      <c r="CU923" s="324" t="str">
        <f t="shared" si="3062"/>
        <v/>
      </c>
      <c r="CV923" s="325" t="str">
        <f t="shared" si="3063"/>
        <v/>
      </c>
      <c r="CW923" s="326" t="str">
        <f t="shared" si="3064"/>
        <v/>
      </c>
      <c r="CX923" s="326" t="str">
        <f t="shared" si="3065"/>
        <v/>
      </c>
      <c r="CY923" s="326">
        <f t="shared" si="3066"/>
        <v>0</v>
      </c>
      <c r="CZ923" s="326">
        <f t="shared" si="3067"/>
        <v>0</v>
      </c>
      <c r="DA923" s="326">
        <f t="shared" si="3068"/>
        <v>0</v>
      </c>
      <c r="DB923" s="327">
        <f t="shared" si="3069"/>
        <v>0</v>
      </c>
      <c r="DC923" s="327">
        <f t="shared" si="3070"/>
        <v>0</v>
      </c>
      <c r="DD923" s="327">
        <f t="shared" si="3071"/>
        <v>0</v>
      </c>
      <c r="DE923" s="326">
        <f t="shared" si="3072"/>
        <v>0</v>
      </c>
      <c r="DF923" s="326">
        <f t="shared" si="3073"/>
        <v>0</v>
      </c>
      <c r="DG923" s="326">
        <f t="shared" si="3074"/>
        <v>0</v>
      </c>
      <c r="DH923" s="326" t="str">
        <f t="shared" si="3075"/>
        <v/>
      </c>
      <c r="DI923" s="326" t="str">
        <f t="shared" si="3076"/>
        <v/>
      </c>
      <c r="DJ923" s="325" t="str">
        <f t="shared" si="3077"/>
        <v/>
      </c>
      <c r="DK923" s="324" t="str">
        <f t="shared" si="3078"/>
        <v/>
      </c>
      <c r="DL923" s="428">
        <f t="shared" si="3079"/>
        <v>9</v>
      </c>
      <c r="DM923" s="66">
        <f t="shared" si="3080"/>
        <v>9</v>
      </c>
      <c r="DN923" s="66">
        <f t="shared" si="3081"/>
        <v>9</v>
      </c>
      <c r="DO923" s="66">
        <f t="shared" si="3082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3096">SUM(B203)</f>
        <v>0</v>
      </c>
      <c r="C924" s="570">
        <f t="shared" si="3096"/>
        <v>0</v>
      </c>
      <c r="D924" s="570">
        <f t="shared" si="3096"/>
        <v>0</v>
      </c>
      <c r="E924" s="570">
        <f t="shared" si="3096"/>
        <v>0</v>
      </c>
      <c r="F924" s="570">
        <f t="shared" si="3096"/>
        <v>0</v>
      </c>
      <c r="G924" s="570">
        <f t="shared" si="3096"/>
        <v>0</v>
      </c>
      <c r="H924" s="570">
        <f t="shared" si="3096"/>
        <v>0</v>
      </c>
      <c r="I924" s="570">
        <f t="shared" si="3096"/>
        <v>0</v>
      </c>
      <c r="J924" s="570">
        <f t="shared" si="3096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3097">SUM(T203)</f>
        <v>0</v>
      </c>
      <c r="U924" s="570">
        <f t="shared" si="3097"/>
        <v>0</v>
      </c>
      <c r="V924" s="570">
        <f t="shared" si="3097"/>
        <v>0</v>
      </c>
      <c r="W924" s="570">
        <f t="shared" si="3097"/>
        <v>0</v>
      </c>
      <c r="X924" s="570">
        <f t="shared" si="3097"/>
        <v>0</v>
      </c>
      <c r="Y924" s="570">
        <f t="shared" si="3097"/>
        <v>0</v>
      </c>
      <c r="Z924" s="570">
        <f t="shared" si="3097"/>
        <v>0</v>
      </c>
      <c r="AA924" s="570">
        <f t="shared" si="3097"/>
        <v>0</v>
      </c>
      <c r="AB924" s="570">
        <f t="shared" si="3097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3098">SUM(AL203)</f>
        <v>0</v>
      </c>
      <c r="AM924" s="570">
        <f t="shared" si="3098"/>
        <v>0</v>
      </c>
      <c r="AN924" s="570">
        <f t="shared" si="3098"/>
        <v>0</v>
      </c>
      <c r="AO924" s="570">
        <f t="shared" si="3098"/>
        <v>0</v>
      </c>
      <c r="AP924" s="570">
        <f t="shared" si="3098"/>
        <v>0</v>
      </c>
      <c r="AQ924" s="570">
        <f t="shared" si="3098"/>
        <v>0</v>
      </c>
      <c r="AR924" s="570">
        <f t="shared" si="3098"/>
        <v>0</v>
      </c>
      <c r="AS924" s="570">
        <f t="shared" si="3098"/>
        <v>0</v>
      </c>
      <c r="AT924" s="570">
        <f t="shared" si="3098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3099">SUM(BD203)</f>
        <v>0</v>
      </c>
      <c r="BE924" s="570">
        <f t="shared" si="3099"/>
        <v>0</v>
      </c>
      <c r="BF924" s="570">
        <f t="shared" si="3099"/>
        <v>0</v>
      </c>
      <c r="BG924" s="570">
        <f t="shared" si="3099"/>
        <v>0</v>
      </c>
      <c r="BH924" s="570">
        <f t="shared" si="3099"/>
        <v>0</v>
      </c>
      <c r="BI924" s="570">
        <f t="shared" si="3099"/>
        <v>0</v>
      </c>
      <c r="BJ924" s="570">
        <f t="shared" si="3099"/>
        <v>0</v>
      </c>
      <c r="BK924" s="570">
        <f t="shared" si="3099"/>
        <v>0</v>
      </c>
      <c r="BL924" s="570">
        <f t="shared" si="3099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3056"/>
        <v>0</v>
      </c>
      <c r="CA924" s="373">
        <f t="shared" si="3057"/>
        <v>0</v>
      </c>
      <c r="CB924" s="373">
        <f t="shared" si="3058"/>
        <v>0</v>
      </c>
      <c r="CC924" s="373">
        <f t="shared" si="3059"/>
        <v>0</v>
      </c>
      <c r="CD924" s="1109" t="str">
        <f t="shared" si="3083"/>
        <v/>
      </c>
      <c r="CE924" s="1110" t="str">
        <f t="shared" si="3061"/>
        <v/>
      </c>
      <c r="CF924" s="1111" t="str">
        <f t="shared" si="3061"/>
        <v/>
      </c>
      <c r="CG924" s="1111" t="str">
        <f t="shared" si="3061"/>
        <v/>
      </c>
      <c r="CH924" s="1111">
        <f t="shared" si="3061"/>
        <v>0</v>
      </c>
      <c r="CI924" s="1111">
        <f t="shared" si="3061"/>
        <v>0</v>
      </c>
      <c r="CJ924" s="1111">
        <f t="shared" si="3061"/>
        <v>0</v>
      </c>
      <c r="CK924" s="1112">
        <f t="shared" si="3061"/>
        <v>0</v>
      </c>
      <c r="CL924" s="1112">
        <f t="shared" si="3061"/>
        <v>0</v>
      </c>
      <c r="CM924" s="1112">
        <f t="shared" si="3061"/>
        <v>0</v>
      </c>
      <c r="CN924" s="1111">
        <f t="shared" si="3061"/>
        <v>0</v>
      </c>
      <c r="CO924" s="1111">
        <f t="shared" si="3061"/>
        <v>0</v>
      </c>
      <c r="CP924" s="1111">
        <f t="shared" si="3061"/>
        <v>0</v>
      </c>
      <c r="CQ924" s="1111" t="str">
        <f t="shared" si="3061"/>
        <v/>
      </c>
      <c r="CR924" s="1111" t="str">
        <f t="shared" si="3061"/>
        <v/>
      </c>
      <c r="CS924" s="1110" t="str">
        <f t="shared" si="3061"/>
        <v/>
      </c>
      <c r="CT924" s="1113" t="str">
        <f t="shared" si="3061"/>
        <v/>
      </c>
      <c r="CU924" s="324" t="str">
        <f t="shared" si="3062"/>
        <v/>
      </c>
      <c r="CV924" s="325" t="str">
        <f t="shared" si="3063"/>
        <v/>
      </c>
      <c r="CW924" s="326" t="str">
        <f t="shared" si="3064"/>
        <v/>
      </c>
      <c r="CX924" s="326" t="str">
        <f t="shared" si="3065"/>
        <v/>
      </c>
      <c r="CY924" s="326">
        <f t="shared" si="3066"/>
        <v>0</v>
      </c>
      <c r="CZ924" s="326">
        <f t="shared" si="3067"/>
        <v>0</v>
      </c>
      <c r="DA924" s="326">
        <f t="shared" si="3068"/>
        <v>0</v>
      </c>
      <c r="DB924" s="327">
        <f t="shared" si="3069"/>
        <v>0</v>
      </c>
      <c r="DC924" s="327">
        <f t="shared" si="3070"/>
        <v>0</v>
      </c>
      <c r="DD924" s="327">
        <f t="shared" si="3071"/>
        <v>0</v>
      </c>
      <c r="DE924" s="326">
        <f t="shared" si="3072"/>
        <v>0</v>
      </c>
      <c r="DF924" s="326">
        <f t="shared" si="3073"/>
        <v>0</v>
      </c>
      <c r="DG924" s="326">
        <f t="shared" si="3074"/>
        <v>0</v>
      </c>
      <c r="DH924" s="326" t="str">
        <f t="shared" si="3075"/>
        <v/>
      </c>
      <c r="DI924" s="326" t="str">
        <f t="shared" si="3076"/>
        <v/>
      </c>
      <c r="DJ924" s="325" t="str">
        <f t="shared" si="3077"/>
        <v/>
      </c>
      <c r="DK924" s="324" t="str">
        <f t="shared" si="3078"/>
        <v/>
      </c>
      <c r="DL924" s="428">
        <f t="shared" si="3079"/>
        <v>9</v>
      </c>
      <c r="DM924" s="66">
        <f t="shared" si="3080"/>
        <v>9</v>
      </c>
      <c r="DN924" s="66">
        <f t="shared" si="3081"/>
        <v>9</v>
      </c>
      <c r="DO924" s="66">
        <f t="shared" si="3082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3100">SUM(B206)</f>
        <v>0</v>
      </c>
      <c r="C925" s="570">
        <f t="shared" si="3100"/>
        <v>0</v>
      </c>
      <c r="D925" s="570">
        <f t="shared" si="3100"/>
        <v>0</v>
      </c>
      <c r="E925" s="570">
        <f t="shared" si="3100"/>
        <v>0</v>
      </c>
      <c r="F925" s="570">
        <f t="shared" si="3100"/>
        <v>0</v>
      </c>
      <c r="G925" s="570">
        <f t="shared" si="3100"/>
        <v>0</v>
      </c>
      <c r="H925" s="570">
        <f t="shared" si="3100"/>
        <v>0</v>
      </c>
      <c r="I925" s="570">
        <f t="shared" si="3100"/>
        <v>0</v>
      </c>
      <c r="J925" s="570">
        <f t="shared" si="3100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3101">SUM(T206)</f>
        <v>0</v>
      </c>
      <c r="U925" s="570">
        <f t="shared" si="3101"/>
        <v>150</v>
      </c>
      <c r="V925" s="570">
        <f t="shared" si="3101"/>
        <v>0</v>
      </c>
      <c r="W925" s="570">
        <f t="shared" si="3101"/>
        <v>150</v>
      </c>
      <c r="X925" s="570">
        <f t="shared" si="3101"/>
        <v>0</v>
      </c>
      <c r="Y925" s="570">
        <f t="shared" si="3101"/>
        <v>150</v>
      </c>
      <c r="Z925" s="570">
        <f t="shared" si="3101"/>
        <v>0</v>
      </c>
      <c r="AA925" s="570">
        <f t="shared" si="3101"/>
        <v>0</v>
      </c>
      <c r="AB925" s="570">
        <f t="shared" si="3101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3102">SUM(AL206)</f>
        <v>150</v>
      </c>
      <c r="AM925" s="570">
        <f t="shared" si="3102"/>
        <v>300</v>
      </c>
      <c r="AN925" s="570">
        <f t="shared" si="3102"/>
        <v>150</v>
      </c>
      <c r="AO925" s="570">
        <f t="shared" si="3102"/>
        <v>450</v>
      </c>
      <c r="AP925" s="570">
        <f t="shared" si="3102"/>
        <v>750</v>
      </c>
      <c r="AQ925" s="570">
        <f t="shared" si="3102"/>
        <v>150</v>
      </c>
      <c r="AR925" s="570">
        <f t="shared" si="3102"/>
        <v>300</v>
      </c>
      <c r="AS925" s="570">
        <f t="shared" si="3102"/>
        <v>750</v>
      </c>
      <c r="AT925" s="570">
        <f t="shared" si="3102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3103">SUM(BD206)</f>
        <v>450</v>
      </c>
      <c r="BE925" s="570">
        <f t="shared" si="3103"/>
        <v>0</v>
      </c>
      <c r="BF925" s="570">
        <f t="shared" si="3103"/>
        <v>600</v>
      </c>
      <c r="BG925" s="570">
        <f t="shared" si="3103"/>
        <v>350</v>
      </c>
      <c r="BH925" s="570">
        <f t="shared" si="3103"/>
        <v>0</v>
      </c>
      <c r="BI925" s="570">
        <f t="shared" si="3103"/>
        <v>150</v>
      </c>
      <c r="BJ925" s="570">
        <f t="shared" si="3103"/>
        <v>5000</v>
      </c>
      <c r="BK925" s="570">
        <f t="shared" si="3103"/>
        <v>300</v>
      </c>
      <c r="BL925" s="570">
        <f t="shared" si="3103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3056"/>
        <v>0</v>
      </c>
      <c r="CA925" s="373">
        <f t="shared" si="3057"/>
        <v>42.857142857142854</v>
      </c>
      <c r="CB925" s="373">
        <f t="shared" si="3058"/>
        <v>407.14285714285717</v>
      </c>
      <c r="CC925" s="373">
        <f t="shared" si="3059"/>
        <v>328.57142857142856</v>
      </c>
      <c r="CD925" s="1109" t="str">
        <f t="shared" si="3083"/>
        <v/>
      </c>
      <c r="CE925" s="1110" t="str">
        <f t="shared" si="3061"/>
        <v/>
      </c>
      <c r="CF925" s="1111" t="str">
        <f t="shared" si="3061"/>
        <v/>
      </c>
      <c r="CG925" s="1111" t="str">
        <f t="shared" si="3061"/>
        <v/>
      </c>
      <c r="CH925" s="1111">
        <f t="shared" si="3061"/>
        <v>0</v>
      </c>
      <c r="CI925" s="1111">
        <f t="shared" si="3061"/>
        <v>0</v>
      </c>
      <c r="CJ925" s="1111">
        <f t="shared" si="3061"/>
        <v>0</v>
      </c>
      <c r="CK925" s="1112">
        <f t="shared" si="3061"/>
        <v>0</v>
      </c>
      <c r="CL925" s="1112">
        <f t="shared" si="3061"/>
        <v>0</v>
      </c>
      <c r="CM925" s="1112">
        <f t="shared" si="3061"/>
        <v>0</v>
      </c>
      <c r="CN925" s="1111">
        <f t="shared" si="3061"/>
        <v>0</v>
      </c>
      <c r="CO925" s="1111">
        <f t="shared" si="3061"/>
        <v>0</v>
      </c>
      <c r="CP925" s="1111">
        <f t="shared" si="3061"/>
        <v>0</v>
      </c>
      <c r="CQ925" s="1111" t="str">
        <f t="shared" si="3061"/>
        <v/>
      </c>
      <c r="CR925" s="1111" t="str">
        <f t="shared" si="3061"/>
        <v/>
      </c>
      <c r="CS925" s="1110" t="str">
        <f t="shared" si="3061"/>
        <v/>
      </c>
      <c r="CT925" s="1113" t="str">
        <f t="shared" si="3061"/>
        <v/>
      </c>
      <c r="CU925" s="324" t="str">
        <f t="shared" si="3062"/>
        <v/>
      </c>
      <c r="CV925" s="325" t="str">
        <f t="shared" si="3063"/>
        <v/>
      </c>
      <c r="CW925" s="326" t="str">
        <f t="shared" si="3064"/>
        <v/>
      </c>
      <c r="CX925" s="326" t="str">
        <f t="shared" si="3065"/>
        <v/>
      </c>
      <c r="CY925" s="326">
        <f t="shared" si="3066"/>
        <v>0</v>
      </c>
      <c r="CZ925" s="326">
        <f t="shared" si="3067"/>
        <v>0</v>
      </c>
      <c r="DA925" s="326">
        <f t="shared" si="3068"/>
        <v>0</v>
      </c>
      <c r="DB925" s="327">
        <f t="shared" si="3069"/>
        <v>0</v>
      </c>
      <c r="DC925" s="327">
        <f t="shared" si="3070"/>
        <v>0</v>
      </c>
      <c r="DD925" s="327">
        <f t="shared" si="3071"/>
        <v>0</v>
      </c>
      <c r="DE925" s="326">
        <f t="shared" si="3072"/>
        <v>150</v>
      </c>
      <c r="DF925" s="326">
        <f t="shared" si="3073"/>
        <v>150</v>
      </c>
      <c r="DG925" s="326">
        <f t="shared" si="3074"/>
        <v>150</v>
      </c>
      <c r="DH925" s="326" t="str">
        <f t="shared" si="3075"/>
        <v/>
      </c>
      <c r="DI925" s="326" t="str">
        <f t="shared" si="3076"/>
        <v/>
      </c>
      <c r="DJ925" s="325" t="str">
        <f t="shared" si="3077"/>
        <v/>
      </c>
      <c r="DK925" s="324" t="str">
        <f t="shared" si="3078"/>
        <v/>
      </c>
      <c r="DL925" s="428">
        <f t="shared" si="3079"/>
        <v>9</v>
      </c>
      <c r="DM925" s="66">
        <f t="shared" si="3080"/>
        <v>9</v>
      </c>
      <c r="DN925" s="66">
        <f t="shared" si="3081"/>
        <v>9</v>
      </c>
      <c r="DO925" s="66">
        <f t="shared" si="3082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3104">SUM(B209)</f>
        <v>0</v>
      </c>
      <c r="C926" s="570">
        <f t="shared" si="3104"/>
        <v>0</v>
      </c>
      <c r="D926" s="570">
        <f t="shared" si="3104"/>
        <v>0</v>
      </c>
      <c r="E926" s="570">
        <f t="shared" si="3104"/>
        <v>0</v>
      </c>
      <c r="F926" s="570">
        <f t="shared" si="3104"/>
        <v>0</v>
      </c>
      <c r="G926" s="570">
        <f t="shared" si="3104"/>
        <v>0</v>
      </c>
      <c r="H926" s="570">
        <f t="shared" si="3104"/>
        <v>0</v>
      </c>
      <c r="I926" s="570">
        <f t="shared" si="3104"/>
        <v>0</v>
      </c>
      <c r="J926" s="570">
        <f t="shared" si="3104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3105">SUM(T209)</f>
        <v>0</v>
      </c>
      <c r="U926" s="570">
        <f t="shared" si="3105"/>
        <v>0</v>
      </c>
      <c r="V926" s="570">
        <f t="shared" si="3105"/>
        <v>0</v>
      </c>
      <c r="W926" s="570">
        <f t="shared" si="3105"/>
        <v>0</v>
      </c>
      <c r="X926" s="570">
        <f t="shared" si="3105"/>
        <v>0</v>
      </c>
      <c r="Y926" s="570">
        <f t="shared" si="3105"/>
        <v>0</v>
      </c>
      <c r="Z926" s="570">
        <f t="shared" si="3105"/>
        <v>0</v>
      </c>
      <c r="AA926" s="570">
        <f t="shared" si="3105"/>
        <v>0</v>
      </c>
      <c r="AB926" s="570">
        <f t="shared" si="3105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3106">SUM(AL209)</f>
        <v>0</v>
      </c>
      <c r="AM926" s="570">
        <f t="shared" si="3106"/>
        <v>0</v>
      </c>
      <c r="AN926" s="570">
        <f t="shared" si="3106"/>
        <v>0</v>
      </c>
      <c r="AO926" s="570">
        <f t="shared" si="3106"/>
        <v>0</v>
      </c>
      <c r="AP926" s="570">
        <f t="shared" si="3106"/>
        <v>0</v>
      </c>
      <c r="AQ926" s="570">
        <f t="shared" si="3106"/>
        <v>0</v>
      </c>
      <c r="AR926" s="570">
        <f t="shared" si="3106"/>
        <v>0</v>
      </c>
      <c r="AS926" s="570">
        <f t="shared" si="3106"/>
        <v>0</v>
      </c>
      <c r="AT926" s="570">
        <f t="shared" si="3106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3107">SUM(BD209)</f>
        <v>0</v>
      </c>
      <c r="BE926" s="570">
        <f t="shared" si="3107"/>
        <v>0</v>
      </c>
      <c r="BF926" s="570">
        <f t="shared" si="3107"/>
        <v>0</v>
      </c>
      <c r="BG926" s="570">
        <f t="shared" si="3107"/>
        <v>0</v>
      </c>
      <c r="BH926" s="570">
        <f t="shared" si="3107"/>
        <v>0</v>
      </c>
      <c r="BI926" s="570">
        <f t="shared" si="3107"/>
        <v>0</v>
      </c>
      <c r="BJ926" s="570">
        <f t="shared" si="3107"/>
        <v>0</v>
      </c>
      <c r="BK926" s="570">
        <f t="shared" si="3107"/>
        <v>0</v>
      </c>
      <c r="BL926" s="570">
        <f t="shared" si="3107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3056"/>
        <v>0</v>
      </c>
      <c r="CA926" s="373">
        <f t="shared" si="3057"/>
        <v>0</v>
      </c>
      <c r="CB926" s="373">
        <f t="shared" si="3058"/>
        <v>0</v>
      </c>
      <c r="CC926" s="373">
        <f t="shared" si="3059"/>
        <v>0</v>
      </c>
      <c r="CD926" s="1109" t="str">
        <f t="shared" si="3083"/>
        <v/>
      </c>
      <c r="CE926" s="1110" t="str">
        <f t="shared" si="3061"/>
        <v/>
      </c>
      <c r="CF926" s="1111" t="str">
        <f t="shared" si="3061"/>
        <v/>
      </c>
      <c r="CG926" s="1111" t="str">
        <f t="shared" si="3061"/>
        <v/>
      </c>
      <c r="CH926" s="1111">
        <f t="shared" si="3061"/>
        <v>0</v>
      </c>
      <c r="CI926" s="1111">
        <f t="shared" si="3061"/>
        <v>0</v>
      </c>
      <c r="CJ926" s="1111">
        <f t="shared" si="3061"/>
        <v>0</v>
      </c>
      <c r="CK926" s="1112">
        <f t="shared" si="3061"/>
        <v>0</v>
      </c>
      <c r="CL926" s="1112">
        <f t="shared" si="3061"/>
        <v>0</v>
      </c>
      <c r="CM926" s="1112">
        <f t="shared" si="3061"/>
        <v>0</v>
      </c>
      <c r="CN926" s="1111">
        <f t="shared" si="3061"/>
        <v>0</v>
      </c>
      <c r="CO926" s="1111">
        <f t="shared" si="3061"/>
        <v>0</v>
      </c>
      <c r="CP926" s="1111">
        <f t="shared" si="3061"/>
        <v>0</v>
      </c>
      <c r="CQ926" s="1111" t="str">
        <f t="shared" si="3061"/>
        <v/>
      </c>
      <c r="CR926" s="1111" t="str">
        <f t="shared" si="3061"/>
        <v/>
      </c>
      <c r="CS926" s="1110" t="str">
        <f t="shared" si="3061"/>
        <v/>
      </c>
      <c r="CT926" s="1113" t="str">
        <f t="shared" si="3061"/>
        <v/>
      </c>
      <c r="CU926" s="324" t="str">
        <f t="shared" si="3062"/>
        <v/>
      </c>
      <c r="CV926" s="325" t="str">
        <f t="shared" si="3063"/>
        <v/>
      </c>
      <c r="CW926" s="326" t="str">
        <f t="shared" si="3064"/>
        <v/>
      </c>
      <c r="CX926" s="326" t="str">
        <f t="shared" si="3065"/>
        <v/>
      </c>
      <c r="CY926" s="326">
        <f t="shared" si="3066"/>
        <v>0</v>
      </c>
      <c r="CZ926" s="326">
        <f t="shared" si="3067"/>
        <v>0</v>
      </c>
      <c r="DA926" s="326">
        <f t="shared" si="3068"/>
        <v>0</v>
      </c>
      <c r="DB926" s="327">
        <f t="shared" si="3069"/>
        <v>0</v>
      </c>
      <c r="DC926" s="327">
        <f t="shared" si="3070"/>
        <v>0</v>
      </c>
      <c r="DD926" s="327">
        <f t="shared" si="3071"/>
        <v>0</v>
      </c>
      <c r="DE926" s="326">
        <f t="shared" si="3072"/>
        <v>0</v>
      </c>
      <c r="DF926" s="326">
        <f t="shared" si="3073"/>
        <v>0</v>
      </c>
      <c r="DG926" s="326">
        <f t="shared" si="3074"/>
        <v>0</v>
      </c>
      <c r="DH926" s="326" t="str">
        <f t="shared" si="3075"/>
        <v/>
      </c>
      <c r="DI926" s="326" t="str">
        <f t="shared" si="3076"/>
        <v/>
      </c>
      <c r="DJ926" s="325" t="str">
        <f t="shared" si="3077"/>
        <v/>
      </c>
      <c r="DK926" s="324" t="str">
        <f t="shared" si="3078"/>
        <v/>
      </c>
      <c r="DL926" s="428">
        <f t="shared" si="3079"/>
        <v>9</v>
      </c>
      <c r="DM926" s="66">
        <f t="shared" si="3080"/>
        <v>9</v>
      </c>
      <c r="DN926" s="66">
        <f t="shared" si="3081"/>
        <v>9</v>
      </c>
      <c r="DO926" s="66">
        <f t="shared" si="3082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3108">SUM(B212)</f>
        <v>0</v>
      </c>
      <c r="C927" s="570">
        <f t="shared" si="3108"/>
        <v>0</v>
      </c>
      <c r="D927" s="570">
        <f t="shared" si="3108"/>
        <v>0</v>
      </c>
      <c r="E927" s="570">
        <f t="shared" si="3108"/>
        <v>0</v>
      </c>
      <c r="F927" s="570">
        <f t="shared" si="3108"/>
        <v>0</v>
      </c>
      <c r="G927" s="570">
        <f t="shared" si="3108"/>
        <v>0</v>
      </c>
      <c r="H927" s="570">
        <f t="shared" si="3108"/>
        <v>0</v>
      </c>
      <c r="I927" s="570">
        <f t="shared" si="3108"/>
        <v>0</v>
      </c>
      <c r="J927" s="570">
        <f t="shared" si="3108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3109">SUM(T212)</f>
        <v>0</v>
      </c>
      <c r="U927" s="570">
        <f t="shared" si="3109"/>
        <v>0</v>
      </c>
      <c r="V927" s="570">
        <f t="shared" si="3109"/>
        <v>0</v>
      </c>
      <c r="W927" s="570">
        <f t="shared" si="3109"/>
        <v>0</v>
      </c>
      <c r="X927" s="570">
        <f t="shared" si="3109"/>
        <v>0</v>
      </c>
      <c r="Y927" s="570">
        <f t="shared" si="3109"/>
        <v>0</v>
      </c>
      <c r="Z927" s="570">
        <f t="shared" si="3109"/>
        <v>0</v>
      </c>
      <c r="AA927" s="570">
        <f t="shared" si="3109"/>
        <v>0</v>
      </c>
      <c r="AB927" s="570">
        <f t="shared" si="3109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3110">SUM(AL212)</f>
        <v>0</v>
      </c>
      <c r="AM927" s="570">
        <f t="shared" si="3110"/>
        <v>0</v>
      </c>
      <c r="AN927" s="570">
        <f t="shared" si="3110"/>
        <v>0</v>
      </c>
      <c r="AO927" s="570">
        <f t="shared" si="3110"/>
        <v>0</v>
      </c>
      <c r="AP927" s="570">
        <f t="shared" si="3110"/>
        <v>0</v>
      </c>
      <c r="AQ927" s="570">
        <f t="shared" si="3110"/>
        <v>0</v>
      </c>
      <c r="AR927" s="570">
        <f t="shared" si="3110"/>
        <v>0</v>
      </c>
      <c r="AS927" s="570">
        <f t="shared" si="3110"/>
        <v>0</v>
      </c>
      <c r="AT927" s="570">
        <f t="shared" si="3110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3111">SUM(BD212)</f>
        <v>0</v>
      </c>
      <c r="BE927" s="570">
        <f t="shared" si="3111"/>
        <v>0</v>
      </c>
      <c r="BF927" s="570">
        <f t="shared" si="3111"/>
        <v>0</v>
      </c>
      <c r="BG927" s="570">
        <f t="shared" si="3111"/>
        <v>0</v>
      </c>
      <c r="BH927" s="570">
        <f t="shared" si="3111"/>
        <v>0</v>
      </c>
      <c r="BI927" s="570">
        <f t="shared" si="3111"/>
        <v>0</v>
      </c>
      <c r="BJ927" s="570">
        <f t="shared" si="3111"/>
        <v>0</v>
      </c>
      <c r="BK927" s="570">
        <f t="shared" si="3111"/>
        <v>0</v>
      </c>
      <c r="BL927" s="570">
        <f t="shared" si="3111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3056"/>
        <v>0</v>
      </c>
      <c r="CA927" s="373">
        <f t="shared" si="3057"/>
        <v>0</v>
      </c>
      <c r="CB927" s="373">
        <f t="shared" si="3058"/>
        <v>0</v>
      </c>
      <c r="CC927" s="373">
        <f t="shared" si="3059"/>
        <v>0</v>
      </c>
      <c r="CD927" s="1109" t="str">
        <f t="shared" si="3083"/>
        <v/>
      </c>
      <c r="CE927" s="1110" t="str">
        <f t="shared" si="3061"/>
        <v/>
      </c>
      <c r="CF927" s="1111" t="str">
        <f t="shared" si="3061"/>
        <v/>
      </c>
      <c r="CG927" s="1111" t="str">
        <f t="shared" si="3061"/>
        <v/>
      </c>
      <c r="CH927" s="1111">
        <f t="shared" si="3061"/>
        <v>0</v>
      </c>
      <c r="CI927" s="1111">
        <f t="shared" si="3061"/>
        <v>0</v>
      </c>
      <c r="CJ927" s="1111">
        <f t="shared" si="3061"/>
        <v>0</v>
      </c>
      <c r="CK927" s="1112">
        <f t="shared" si="3061"/>
        <v>0</v>
      </c>
      <c r="CL927" s="1112">
        <f t="shared" si="3061"/>
        <v>0</v>
      </c>
      <c r="CM927" s="1112">
        <f t="shared" si="3061"/>
        <v>0</v>
      </c>
      <c r="CN927" s="1111">
        <f t="shared" si="3061"/>
        <v>0</v>
      </c>
      <c r="CO927" s="1111">
        <f t="shared" si="3061"/>
        <v>0</v>
      </c>
      <c r="CP927" s="1111">
        <f t="shared" si="3061"/>
        <v>0</v>
      </c>
      <c r="CQ927" s="1111" t="str">
        <f t="shared" si="3061"/>
        <v/>
      </c>
      <c r="CR927" s="1111" t="str">
        <f t="shared" si="3061"/>
        <v/>
      </c>
      <c r="CS927" s="1110" t="str">
        <f t="shared" si="3061"/>
        <v/>
      </c>
      <c r="CT927" s="1113" t="str">
        <f t="shared" si="3061"/>
        <v/>
      </c>
      <c r="CU927" s="324" t="str">
        <f t="shared" si="3062"/>
        <v/>
      </c>
      <c r="CV927" s="325" t="str">
        <f t="shared" si="3063"/>
        <v/>
      </c>
      <c r="CW927" s="326" t="str">
        <f t="shared" si="3064"/>
        <v/>
      </c>
      <c r="CX927" s="326" t="str">
        <f t="shared" si="3065"/>
        <v/>
      </c>
      <c r="CY927" s="326">
        <f t="shared" si="3066"/>
        <v>0</v>
      </c>
      <c r="CZ927" s="326">
        <f t="shared" si="3067"/>
        <v>0</v>
      </c>
      <c r="DA927" s="326">
        <f t="shared" si="3068"/>
        <v>0</v>
      </c>
      <c r="DB927" s="327">
        <f t="shared" si="3069"/>
        <v>0</v>
      </c>
      <c r="DC927" s="327">
        <f t="shared" si="3070"/>
        <v>0</v>
      </c>
      <c r="DD927" s="327">
        <f t="shared" si="3071"/>
        <v>0</v>
      </c>
      <c r="DE927" s="326">
        <f t="shared" si="3072"/>
        <v>0</v>
      </c>
      <c r="DF927" s="326">
        <f t="shared" si="3073"/>
        <v>0</v>
      </c>
      <c r="DG927" s="326">
        <f t="shared" si="3074"/>
        <v>0</v>
      </c>
      <c r="DH927" s="326" t="str">
        <f t="shared" si="3075"/>
        <v/>
      </c>
      <c r="DI927" s="326" t="str">
        <f t="shared" si="3076"/>
        <v/>
      </c>
      <c r="DJ927" s="325" t="str">
        <f t="shared" si="3077"/>
        <v/>
      </c>
      <c r="DK927" s="324" t="str">
        <f t="shared" si="3078"/>
        <v/>
      </c>
      <c r="DL927" s="428">
        <f t="shared" si="3079"/>
        <v>9</v>
      </c>
      <c r="DM927" s="66">
        <f t="shared" si="3080"/>
        <v>9</v>
      </c>
      <c r="DN927" s="66">
        <f t="shared" si="3081"/>
        <v>9</v>
      </c>
      <c r="DO927" s="66">
        <f t="shared" si="3082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3112">SUM(B216)</f>
        <v>0</v>
      </c>
      <c r="C928" s="570">
        <f t="shared" si="3112"/>
        <v>200</v>
      </c>
      <c r="D928" s="570">
        <f t="shared" si="3112"/>
        <v>60</v>
      </c>
      <c r="E928" s="570">
        <f t="shared" si="3112"/>
        <v>0</v>
      </c>
      <c r="F928" s="570">
        <f t="shared" si="3112"/>
        <v>75</v>
      </c>
      <c r="G928" s="570">
        <f t="shared" si="3112"/>
        <v>25</v>
      </c>
      <c r="H928" s="570">
        <f t="shared" si="3112"/>
        <v>75</v>
      </c>
      <c r="I928" s="570">
        <f t="shared" si="3112"/>
        <v>0</v>
      </c>
      <c r="J928" s="570">
        <f t="shared" si="3112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3113">SUM(T216)</f>
        <v>300</v>
      </c>
      <c r="U928" s="570">
        <f t="shared" si="3113"/>
        <v>60</v>
      </c>
      <c r="V928" s="570">
        <f t="shared" si="3113"/>
        <v>50</v>
      </c>
      <c r="W928" s="570">
        <f t="shared" si="3113"/>
        <v>500</v>
      </c>
      <c r="X928" s="570">
        <f t="shared" si="3113"/>
        <v>275</v>
      </c>
      <c r="Y928" s="570">
        <f t="shared" si="3113"/>
        <v>160</v>
      </c>
      <c r="Z928" s="570">
        <f t="shared" si="3113"/>
        <v>500</v>
      </c>
      <c r="AA928" s="570">
        <f t="shared" si="3113"/>
        <v>750</v>
      </c>
      <c r="AB928" s="570">
        <f t="shared" si="3113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3114">SUM(AL216)</f>
        <v>325</v>
      </c>
      <c r="AM928" s="570">
        <f t="shared" si="3114"/>
        <v>375</v>
      </c>
      <c r="AN928" s="570">
        <f t="shared" si="3114"/>
        <v>50</v>
      </c>
      <c r="AO928" s="570">
        <f t="shared" si="3114"/>
        <v>750</v>
      </c>
      <c r="AP928" s="570">
        <f t="shared" si="3114"/>
        <v>100</v>
      </c>
      <c r="AQ928" s="570">
        <f t="shared" si="3114"/>
        <v>200</v>
      </c>
      <c r="AR928" s="570">
        <f t="shared" si="3114"/>
        <v>500</v>
      </c>
      <c r="AS928" s="570">
        <f t="shared" si="3114"/>
        <v>400</v>
      </c>
      <c r="AT928" s="570">
        <f t="shared" si="3114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3115">SUM(BD216)</f>
        <v>160</v>
      </c>
      <c r="BE928" s="570">
        <f t="shared" si="3115"/>
        <v>0</v>
      </c>
      <c r="BF928" s="570">
        <f t="shared" si="3115"/>
        <v>250</v>
      </c>
      <c r="BG928" s="570">
        <f t="shared" si="3115"/>
        <v>525</v>
      </c>
      <c r="BH928" s="570">
        <f t="shared" si="3115"/>
        <v>400</v>
      </c>
      <c r="BI928" s="570">
        <f t="shared" si="3115"/>
        <v>125</v>
      </c>
      <c r="BJ928" s="570">
        <f t="shared" si="3115"/>
        <v>500</v>
      </c>
      <c r="BK928" s="570">
        <f t="shared" si="3115"/>
        <v>40</v>
      </c>
      <c r="BL928" s="570">
        <f t="shared" si="3115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3056"/>
        <v>45</v>
      </c>
      <c r="CA928" s="373">
        <f t="shared" si="3057"/>
        <v>285</v>
      </c>
      <c r="CB928" s="373">
        <f t="shared" si="3058"/>
        <v>378.57142857142856</v>
      </c>
      <c r="CC928" s="373">
        <f t="shared" si="3059"/>
        <v>246.42857142857142</v>
      </c>
      <c r="CD928" s="1109" t="str">
        <f t="shared" si="3083"/>
        <v/>
      </c>
      <c r="CE928" s="1110" t="str">
        <f t="shared" si="3061"/>
        <v/>
      </c>
      <c r="CF928" s="1111" t="str">
        <f t="shared" si="3061"/>
        <v/>
      </c>
      <c r="CG928" s="1111" t="str">
        <f t="shared" si="3061"/>
        <v/>
      </c>
      <c r="CH928" s="1111">
        <f t="shared" si="3061"/>
        <v>0</v>
      </c>
      <c r="CI928" s="1111">
        <f t="shared" si="3061"/>
        <v>0</v>
      </c>
      <c r="CJ928" s="1111">
        <f t="shared" si="3061"/>
        <v>0</v>
      </c>
      <c r="CK928" s="1112">
        <f t="shared" si="3061"/>
        <v>25</v>
      </c>
      <c r="CL928" s="1112">
        <f t="shared" si="3061"/>
        <v>60</v>
      </c>
      <c r="CM928" s="1112">
        <f t="shared" si="3061"/>
        <v>75</v>
      </c>
      <c r="CN928" s="1111">
        <f t="shared" si="3061"/>
        <v>75</v>
      </c>
      <c r="CO928" s="1111">
        <f t="shared" si="3061"/>
        <v>80</v>
      </c>
      <c r="CP928" s="1111">
        <f t="shared" si="3061"/>
        <v>200</v>
      </c>
      <c r="CQ928" s="1111" t="str">
        <f t="shared" si="3061"/>
        <v/>
      </c>
      <c r="CR928" s="1111" t="str">
        <f t="shared" si="3061"/>
        <v/>
      </c>
      <c r="CS928" s="1110" t="str">
        <f t="shared" si="3061"/>
        <v/>
      </c>
      <c r="CT928" s="1113" t="str">
        <f t="shared" si="3061"/>
        <v/>
      </c>
      <c r="CU928" s="324" t="str">
        <f t="shared" si="3062"/>
        <v/>
      </c>
      <c r="CV928" s="325" t="str">
        <f t="shared" si="3063"/>
        <v/>
      </c>
      <c r="CW928" s="326" t="str">
        <f t="shared" si="3064"/>
        <v/>
      </c>
      <c r="CX928" s="326" t="str">
        <f t="shared" si="3065"/>
        <v/>
      </c>
      <c r="CY928" s="326">
        <f t="shared" si="3066"/>
        <v>50</v>
      </c>
      <c r="CZ928" s="326">
        <f t="shared" si="3067"/>
        <v>60</v>
      </c>
      <c r="DA928" s="326">
        <f t="shared" si="3068"/>
        <v>160</v>
      </c>
      <c r="DB928" s="327">
        <f t="shared" si="3069"/>
        <v>200</v>
      </c>
      <c r="DC928" s="327">
        <f t="shared" si="3070"/>
        <v>275</v>
      </c>
      <c r="DD928" s="327">
        <f t="shared" si="3071"/>
        <v>300</v>
      </c>
      <c r="DE928" s="326">
        <f t="shared" si="3072"/>
        <v>500</v>
      </c>
      <c r="DF928" s="326">
        <f t="shared" si="3073"/>
        <v>500</v>
      </c>
      <c r="DG928" s="326">
        <f t="shared" si="3074"/>
        <v>750</v>
      </c>
      <c r="DH928" s="326" t="str">
        <f t="shared" si="3075"/>
        <v/>
      </c>
      <c r="DI928" s="326" t="str">
        <f t="shared" si="3076"/>
        <v/>
      </c>
      <c r="DJ928" s="325" t="str">
        <f t="shared" si="3077"/>
        <v/>
      </c>
      <c r="DK928" s="324" t="str">
        <f t="shared" si="3078"/>
        <v/>
      </c>
      <c r="DL928" s="428">
        <f t="shared" si="3079"/>
        <v>9</v>
      </c>
      <c r="DM928" s="66">
        <f t="shared" si="3080"/>
        <v>9</v>
      </c>
      <c r="DN928" s="66">
        <f t="shared" si="3081"/>
        <v>9</v>
      </c>
      <c r="DO928" s="66">
        <f t="shared" si="3082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19"/>
      <c r="CE929" s="1120"/>
      <c r="CF929" s="1120"/>
      <c r="CG929" s="1120"/>
      <c r="CH929" s="1120"/>
      <c r="CI929" s="1120"/>
      <c r="CJ929" s="1120"/>
      <c r="CK929" s="1120"/>
      <c r="CL929" s="1120"/>
      <c r="CM929" s="1120"/>
      <c r="CN929" s="1120"/>
      <c r="CO929" s="1120"/>
      <c r="CP929" s="1120"/>
      <c r="CQ929" s="1120"/>
      <c r="CR929" s="1120"/>
      <c r="CS929" s="1120"/>
      <c r="CT929" s="1121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3116">SUM(B235)</f>
        <v>0</v>
      </c>
      <c r="C930" s="570">
        <f t="shared" si="3116"/>
        <v>0</v>
      </c>
      <c r="D930" s="570">
        <f t="shared" si="3116"/>
        <v>0</v>
      </c>
      <c r="E930" s="570">
        <f t="shared" si="3116"/>
        <v>0</v>
      </c>
      <c r="F930" s="570">
        <f t="shared" si="3116"/>
        <v>0</v>
      </c>
      <c r="G930" s="570">
        <f t="shared" si="3116"/>
        <v>0</v>
      </c>
      <c r="H930" s="570">
        <f t="shared" si="3116"/>
        <v>0</v>
      </c>
      <c r="I930" s="570">
        <f t="shared" si="3116"/>
        <v>0</v>
      </c>
      <c r="J930" s="570">
        <f t="shared" si="3116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3117">SUM(T235)</f>
        <v>0</v>
      </c>
      <c r="U930" s="570">
        <f t="shared" si="3117"/>
        <v>0</v>
      </c>
      <c r="V930" s="570">
        <f t="shared" si="3117"/>
        <v>0</v>
      </c>
      <c r="W930" s="570">
        <f t="shared" si="3117"/>
        <v>0</v>
      </c>
      <c r="X930" s="570">
        <f t="shared" si="3117"/>
        <v>0</v>
      </c>
      <c r="Y930" s="570">
        <f t="shared" si="3117"/>
        <v>0</v>
      </c>
      <c r="Z930" s="570">
        <f t="shared" si="3117"/>
        <v>0</v>
      </c>
      <c r="AA930" s="570">
        <f t="shared" si="3117"/>
        <v>0</v>
      </c>
      <c r="AB930" s="570">
        <f t="shared" si="3117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3118">SUM(AL235)</f>
        <v>0</v>
      </c>
      <c r="AM930" s="570">
        <f t="shared" si="3118"/>
        <v>0</v>
      </c>
      <c r="AN930" s="570">
        <f t="shared" si="3118"/>
        <v>0</v>
      </c>
      <c r="AO930" s="570">
        <f t="shared" si="3118"/>
        <v>0</v>
      </c>
      <c r="AP930" s="570">
        <f t="shared" si="3118"/>
        <v>0</v>
      </c>
      <c r="AQ930" s="570">
        <f t="shared" si="3118"/>
        <v>0</v>
      </c>
      <c r="AR930" s="570">
        <f t="shared" si="3118"/>
        <v>0</v>
      </c>
      <c r="AS930" s="570">
        <f t="shared" si="3118"/>
        <v>0</v>
      </c>
      <c r="AT930" s="570">
        <f t="shared" si="3118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3119">SUM(BD235)</f>
        <v>0</v>
      </c>
      <c r="BE930" s="570">
        <f t="shared" si="3119"/>
        <v>0</v>
      </c>
      <c r="BF930" s="570">
        <f t="shared" si="3119"/>
        <v>0</v>
      </c>
      <c r="BG930" s="570">
        <f t="shared" si="3119"/>
        <v>0</v>
      </c>
      <c r="BH930" s="570">
        <f t="shared" si="3119"/>
        <v>0</v>
      </c>
      <c r="BI930" s="570">
        <f t="shared" si="3119"/>
        <v>0</v>
      </c>
      <c r="BJ930" s="570">
        <f t="shared" si="3119"/>
        <v>0</v>
      </c>
      <c r="BK930" s="570">
        <f t="shared" si="3119"/>
        <v>0</v>
      </c>
      <c r="BL930" s="570">
        <f t="shared" si="3119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3120">IF(DL930&lt;3,"",(SUM(B930:R930)-MIN(B930:R930)-MAX(B930:R930))/(DL930-2))</f>
        <v>0</v>
      </c>
      <c r="CA930" s="373">
        <f t="shared" ref="CA930:CA959" si="3121">IF(DM930&lt;3,"",(SUM(T930:AJ930)-MIN(T930:AJ930)-MAX(T930:AJ930))/(DM930-2))</f>
        <v>0</v>
      </c>
      <c r="CB930" s="373">
        <f t="shared" ref="CB930:CB959" si="3122">IF(DN930&lt;3,"",(SUM(AL930:BB930)-MIN(AL930:BB930)-MAX(AL930:BB930))/(DN930-2))</f>
        <v>0</v>
      </c>
      <c r="CC930" s="373">
        <f t="shared" ref="CC930:CC959" si="3123">IF(DO930&lt;3,"",(SUM(BD930:BT930)-MIN(BD930:BT930)-MAX(BD930:BT930))/(DO930-2))</f>
        <v>0</v>
      </c>
      <c r="CD930" s="1109" t="str">
        <f t="shared" ref="CD930:CS930" si="312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0" t="str">
        <f t="shared" si="3124"/>
        <v/>
      </c>
      <c r="CF930" s="1111" t="str">
        <f t="shared" si="3124"/>
        <v/>
      </c>
      <c r="CG930" s="1111" t="str">
        <f t="shared" si="3124"/>
        <v/>
      </c>
      <c r="CH930" s="1111">
        <f t="shared" si="3124"/>
        <v>0</v>
      </c>
      <c r="CI930" s="1111">
        <f t="shared" si="3124"/>
        <v>0</v>
      </c>
      <c r="CJ930" s="1111">
        <f t="shared" si="3124"/>
        <v>0</v>
      </c>
      <c r="CK930" s="1112">
        <f t="shared" si="3124"/>
        <v>0</v>
      </c>
      <c r="CL930" s="1112">
        <f t="shared" si="3124"/>
        <v>0</v>
      </c>
      <c r="CM930" s="1112">
        <f t="shared" si="3124"/>
        <v>0</v>
      </c>
      <c r="CN930" s="1111">
        <f t="shared" si="3124"/>
        <v>0</v>
      </c>
      <c r="CO930" s="1111">
        <f t="shared" si="3124"/>
        <v>0</v>
      </c>
      <c r="CP930" s="1111">
        <f t="shared" si="3124"/>
        <v>0</v>
      </c>
      <c r="CQ930" s="1111" t="str">
        <f t="shared" si="3124"/>
        <v/>
      </c>
      <c r="CR930" s="1111" t="str">
        <f t="shared" si="3124"/>
        <v/>
      </c>
      <c r="CS930" s="1110" t="str">
        <f t="shared" si="3124"/>
        <v/>
      </c>
      <c r="CT930" s="1113" t="str">
        <f t="shared" ref="CE930:CT946" si="312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312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312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312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312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313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13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13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13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13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13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13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13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13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313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314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314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314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3143">COUNT(B930:R930)</f>
        <v>9</v>
      </c>
      <c r="DM930" s="66">
        <f t="shared" ref="DM930:DM959" si="3144">COUNT(T930:AJ930)</f>
        <v>9</v>
      </c>
      <c r="DN930" s="66">
        <f t="shared" ref="DN930:DN959" si="3145">COUNT(AL930:BB930)</f>
        <v>9</v>
      </c>
      <c r="DO930" s="66">
        <f t="shared" ref="DO930:DO959" si="3146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3147">SUM(B240)</f>
        <v>0</v>
      </c>
      <c r="C931" s="570">
        <f t="shared" si="3147"/>
        <v>0</v>
      </c>
      <c r="D931" s="570">
        <f t="shared" si="3147"/>
        <v>0</v>
      </c>
      <c r="E931" s="570">
        <f t="shared" si="3147"/>
        <v>0</v>
      </c>
      <c r="F931" s="570">
        <f t="shared" si="3147"/>
        <v>130</v>
      </c>
      <c r="G931" s="570">
        <f t="shared" si="3147"/>
        <v>0</v>
      </c>
      <c r="H931" s="570">
        <f t="shared" si="3147"/>
        <v>0</v>
      </c>
      <c r="I931" s="570">
        <f t="shared" si="3147"/>
        <v>0</v>
      </c>
      <c r="J931" s="570">
        <f t="shared" si="3147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3148">SUM(T240)</f>
        <v>0</v>
      </c>
      <c r="U931" s="570">
        <f t="shared" si="3148"/>
        <v>0</v>
      </c>
      <c r="V931" s="570">
        <f t="shared" si="3148"/>
        <v>0</v>
      </c>
      <c r="W931" s="570">
        <f t="shared" si="3148"/>
        <v>210</v>
      </c>
      <c r="X931" s="570">
        <f t="shared" si="3148"/>
        <v>350</v>
      </c>
      <c r="Y931" s="570">
        <f t="shared" si="3148"/>
        <v>489.99999999999994</v>
      </c>
      <c r="Z931" s="570">
        <f t="shared" si="3148"/>
        <v>0</v>
      </c>
      <c r="AA931" s="570">
        <f t="shared" si="3148"/>
        <v>0</v>
      </c>
      <c r="AB931" s="570">
        <f t="shared" si="3148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3149">SUM(AL240)</f>
        <v>5200</v>
      </c>
      <c r="AM931" s="570">
        <f t="shared" si="3149"/>
        <v>4550</v>
      </c>
      <c r="AN931" s="570">
        <f t="shared" si="3149"/>
        <v>4444</v>
      </c>
      <c r="AO931" s="570">
        <f t="shared" si="3149"/>
        <v>2600</v>
      </c>
      <c r="AP931" s="570">
        <f t="shared" si="3149"/>
        <v>4485</v>
      </c>
      <c r="AQ931" s="570">
        <f t="shared" si="3149"/>
        <v>3250</v>
      </c>
      <c r="AR931" s="570">
        <f t="shared" si="3149"/>
        <v>7000</v>
      </c>
      <c r="AS931" s="570">
        <f t="shared" si="3149"/>
        <v>9100</v>
      </c>
      <c r="AT931" s="570">
        <f t="shared" si="3149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3150">SUM(BD240)</f>
        <v>7995</v>
      </c>
      <c r="BE931" s="570">
        <f t="shared" si="3150"/>
        <v>6490.0000000000009</v>
      </c>
      <c r="BF931" s="570">
        <f t="shared" si="3150"/>
        <v>9750</v>
      </c>
      <c r="BG931" s="570">
        <f t="shared" si="3150"/>
        <v>11900</v>
      </c>
      <c r="BH931" s="570">
        <f t="shared" si="3150"/>
        <v>9750</v>
      </c>
      <c r="BI931" s="570">
        <f t="shared" si="3150"/>
        <v>350</v>
      </c>
      <c r="BJ931" s="570">
        <f t="shared" si="3150"/>
        <v>12600</v>
      </c>
      <c r="BK931" s="570">
        <f t="shared" si="3150"/>
        <v>14000</v>
      </c>
      <c r="BL931" s="570">
        <f t="shared" si="3150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3120"/>
        <v>0</v>
      </c>
      <c r="CA931" s="373">
        <f t="shared" si="3121"/>
        <v>80</v>
      </c>
      <c r="CB931" s="373">
        <f t="shared" si="3122"/>
        <v>4732.7142857142853</v>
      </c>
      <c r="CC931" s="373">
        <f t="shared" si="3123"/>
        <v>9855</v>
      </c>
      <c r="CD931" s="1109" t="str">
        <f t="shared" ref="CD931:CD959" si="315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0" t="str">
        <f t="shared" si="3125"/>
        <v/>
      </c>
      <c r="CF931" s="1111" t="str">
        <f t="shared" si="3125"/>
        <v/>
      </c>
      <c r="CG931" s="1111" t="str">
        <f t="shared" si="3125"/>
        <v/>
      </c>
      <c r="CH931" s="1111">
        <f t="shared" si="3125"/>
        <v>0</v>
      </c>
      <c r="CI931" s="1111">
        <f t="shared" si="3125"/>
        <v>0</v>
      </c>
      <c r="CJ931" s="1111">
        <f t="shared" si="3125"/>
        <v>0</v>
      </c>
      <c r="CK931" s="1112">
        <f t="shared" si="3125"/>
        <v>0</v>
      </c>
      <c r="CL931" s="1112">
        <f t="shared" si="3125"/>
        <v>0</v>
      </c>
      <c r="CM931" s="1112">
        <f t="shared" si="3125"/>
        <v>0</v>
      </c>
      <c r="CN931" s="1111">
        <f t="shared" si="3125"/>
        <v>0</v>
      </c>
      <c r="CO931" s="1111">
        <f t="shared" si="3125"/>
        <v>0</v>
      </c>
      <c r="CP931" s="1111">
        <f t="shared" si="3125"/>
        <v>130</v>
      </c>
      <c r="CQ931" s="1111" t="str">
        <f t="shared" si="3125"/>
        <v/>
      </c>
      <c r="CR931" s="1111" t="str">
        <f t="shared" si="3125"/>
        <v/>
      </c>
      <c r="CS931" s="1110" t="str">
        <f t="shared" si="3125"/>
        <v/>
      </c>
      <c r="CT931" s="1113" t="str">
        <f t="shared" si="3125"/>
        <v/>
      </c>
      <c r="CU931" s="324" t="str">
        <f t="shared" si="3126"/>
        <v/>
      </c>
      <c r="CV931" s="325" t="str">
        <f t="shared" si="3127"/>
        <v/>
      </c>
      <c r="CW931" s="326" t="str">
        <f t="shared" si="3128"/>
        <v/>
      </c>
      <c r="CX931" s="326" t="str">
        <f t="shared" si="3129"/>
        <v/>
      </c>
      <c r="CY931" s="326">
        <f t="shared" si="3130"/>
        <v>0</v>
      </c>
      <c r="CZ931" s="326">
        <f t="shared" si="3131"/>
        <v>0</v>
      </c>
      <c r="DA931" s="326">
        <f t="shared" si="3132"/>
        <v>0</v>
      </c>
      <c r="DB931" s="327">
        <f t="shared" si="3133"/>
        <v>0</v>
      </c>
      <c r="DC931" s="327">
        <f t="shared" si="3134"/>
        <v>0</v>
      </c>
      <c r="DD931" s="327">
        <f t="shared" si="3135"/>
        <v>0</v>
      </c>
      <c r="DE931" s="326">
        <f t="shared" si="3136"/>
        <v>210</v>
      </c>
      <c r="DF931" s="326">
        <f t="shared" si="3137"/>
        <v>350</v>
      </c>
      <c r="DG931" s="326">
        <f t="shared" si="3138"/>
        <v>489.99999999999994</v>
      </c>
      <c r="DH931" s="326" t="str">
        <f t="shared" si="3139"/>
        <v/>
      </c>
      <c r="DI931" s="326" t="str">
        <f t="shared" si="3140"/>
        <v/>
      </c>
      <c r="DJ931" s="325" t="str">
        <f t="shared" si="3141"/>
        <v/>
      </c>
      <c r="DK931" s="324" t="str">
        <f t="shared" si="3142"/>
        <v/>
      </c>
      <c r="DL931" s="428">
        <f t="shared" si="3143"/>
        <v>9</v>
      </c>
      <c r="DM931" s="66">
        <f t="shared" si="3144"/>
        <v>9</v>
      </c>
      <c r="DN931" s="66">
        <f t="shared" si="3145"/>
        <v>9</v>
      </c>
      <c r="DO931" s="66">
        <f t="shared" si="3146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3152">SUM(B247)</f>
        <v>0</v>
      </c>
      <c r="C932" s="570">
        <f t="shared" si="3152"/>
        <v>0</v>
      </c>
      <c r="D932" s="570">
        <f t="shared" si="3152"/>
        <v>0</v>
      </c>
      <c r="E932" s="570">
        <f t="shared" si="3152"/>
        <v>0</v>
      </c>
      <c r="F932" s="570">
        <f t="shared" si="3152"/>
        <v>0</v>
      </c>
      <c r="G932" s="570">
        <f t="shared" si="3152"/>
        <v>0</v>
      </c>
      <c r="H932" s="570">
        <f t="shared" si="3152"/>
        <v>0</v>
      </c>
      <c r="I932" s="570">
        <f t="shared" si="3152"/>
        <v>0</v>
      </c>
      <c r="J932" s="570">
        <f t="shared" si="3152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3153">SUM(T247)</f>
        <v>0</v>
      </c>
      <c r="U932" s="570">
        <f t="shared" si="3153"/>
        <v>0</v>
      </c>
      <c r="V932" s="570">
        <f t="shared" si="3153"/>
        <v>0</v>
      </c>
      <c r="W932" s="570">
        <f t="shared" si="3153"/>
        <v>0</v>
      </c>
      <c r="X932" s="570">
        <f t="shared" si="3153"/>
        <v>0</v>
      </c>
      <c r="Y932" s="570">
        <f t="shared" si="3153"/>
        <v>0</v>
      </c>
      <c r="Z932" s="570">
        <f t="shared" si="3153"/>
        <v>0</v>
      </c>
      <c r="AA932" s="570">
        <f t="shared" si="3153"/>
        <v>0</v>
      </c>
      <c r="AB932" s="570">
        <f t="shared" si="3153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3154">SUM(AL247)</f>
        <v>0</v>
      </c>
      <c r="AM932" s="570">
        <f t="shared" si="3154"/>
        <v>0</v>
      </c>
      <c r="AN932" s="570">
        <f t="shared" si="3154"/>
        <v>0</v>
      </c>
      <c r="AO932" s="570">
        <f t="shared" si="3154"/>
        <v>0</v>
      </c>
      <c r="AP932" s="570">
        <f t="shared" si="3154"/>
        <v>0</v>
      </c>
      <c r="AQ932" s="570">
        <f t="shared" si="3154"/>
        <v>180</v>
      </c>
      <c r="AR932" s="570">
        <f t="shared" si="3154"/>
        <v>0</v>
      </c>
      <c r="AS932" s="570">
        <f t="shared" si="3154"/>
        <v>0</v>
      </c>
      <c r="AT932" s="570">
        <f t="shared" si="3154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3155">SUM(BD247)</f>
        <v>0</v>
      </c>
      <c r="BE932" s="570">
        <f t="shared" si="3155"/>
        <v>0</v>
      </c>
      <c r="BF932" s="570">
        <f t="shared" si="3155"/>
        <v>0</v>
      </c>
      <c r="BG932" s="570">
        <f t="shared" si="3155"/>
        <v>0</v>
      </c>
      <c r="BH932" s="570">
        <f t="shared" si="3155"/>
        <v>0</v>
      </c>
      <c r="BI932" s="570">
        <f t="shared" si="3155"/>
        <v>0</v>
      </c>
      <c r="BJ932" s="570">
        <f t="shared" si="3155"/>
        <v>0</v>
      </c>
      <c r="BK932" s="570">
        <f t="shared" si="3155"/>
        <v>0</v>
      </c>
      <c r="BL932" s="570">
        <f t="shared" si="3155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3120"/>
        <v>0</v>
      </c>
      <c r="CA932" s="373">
        <f t="shared" si="3121"/>
        <v>0</v>
      </c>
      <c r="CB932" s="373">
        <f t="shared" si="3122"/>
        <v>0</v>
      </c>
      <c r="CC932" s="373">
        <f t="shared" si="3123"/>
        <v>0</v>
      </c>
      <c r="CD932" s="1109" t="str">
        <f t="shared" si="3151"/>
        <v/>
      </c>
      <c r="CE932" s="1110" t="str">
        <f t="shared" si="3125"/>
        <v/>
      </c>
      <c r="CF932" s="1111" t="str">
        <f t="shared" si="3125"/>
        <v/>
      </c>
      <c r="CG932" s="1111" t="str">
        <f t="shared" si="3125"/>
        <v/>
      </c>
      <c r="CH932" s="1111">
        <f t="shared" si="3125"/>
        <v>0</v>
      </c>
      <c r="CI932" s="1111">
        <f t="shared" si="3125"/>
        <v>0</v>
      </c>
      <c r="CJ932" s="1111">
        <f t="shared" si="3125"/>
        <v>0</v>
      </c>
      <c r="CK932" s="1112">
        <f t="shared" si="3125"/>
        <v>0</v>
      </c>
      <c r="CL932" s="1112">
        <f t="shared" si="3125"/>
        <v>0</v>
      </c>
      <c r="CM932" s="1112">
        <f t="shared" si="3125"/>
        <v>0</v>
      </c>
      <c r="CN932" s="1111">
        <f t="shared" si="3125"/>
        <v>0</v>
      </c>
      <c r="CO932" s="1111">
        <f t="shared" si="3125"/>
        <v>0</v>
      </c>
      <c r="CP932" s="1111">
        <f t="shared" si="3125"/>
        <v>0</v>
      </c>
      <c r="CQ932" s="1111" t="str">
        <f t="shared" si="3125"/>
        <v/>
      </c>
      <c r="CR932" s="1111" t="str">
        <f t="shared" si="3125"/>
        <v/>
      </c>
      <c r="CS932" s="1110" t="str">
        <f t="shared" si="3125"/>
        <v/>
      </c>
      <c r="CT932" s="1113" t="str">
        <f t="shared" si="3125"/>
        <v/>
      </c>
      <c r="CU932" s="324" t="str">
        <f t="shared" si="3126"/>
        <v/>
      </c>
      <c r="CV932" s="325" t="str">
        <f t="shared" si="3127"/>
        <v/>
      </c>
      <c r="CW932" s="326" t="str">
        <f t="shared" si="3128"/>
        <v/>
      </c>
      <c r="CX932" s="326" t="str">
        <f t="shared" si="3129"/>
        <v/>
      </c>
      <c r="CY932" s="326">
        <f t="shared" si="3130"/>
        <v>0</v>
      </c>
      <c r="CZ932" s="326">
        <f t="shared" si="3131"/>
        <v>0</v>
      </c>
      <c r="DA932" s="326">
        <f t="shared" si="3132"/>
        <v>0</v>
      </c>
      <c r="DB932" s="327">
        <f t="shared" si="3133"/>
        <v>0</v>
      </c>
      <c r="DC932" s="327">
        <f t="shared" si="3134"/>
        <v>0</v>
      </c>
      <c r="DD932" s="327">
        <f t="shared" si="3135"/>
        <v>0</v>
      </c>
      <c r="DE932" s="326">
        <f t="shared" si="3136"/>
        <v>0</v>
      </c>
      <c r="DF932" s="326">
        <f t="shared" si="3137"/>
        <v>0</v>
      </c>
      <c r="DG932" s="326">
        <f t="shared" si="3138"/>
        <v>0</v>
      </c>
      <c r="DH932" s="326" t="str">
        <f t="shared" si="3139"/>
        <v/>
      </c>
      <c r="DI932" s="326" t="str">
        <f t="shared" si="3140"/>
        <v/>
      </c>
      <c r="DJ932" s="325" t="str">
        <f t="shared" si="3141"/>
        <v/>
      </c>
      <c r="DK932" s="324" t="str">
        <f t="shared" si="3142"/>
        <v/>
      </c>
      <c r="DL932" s="428">
        <f t="shared" si="3143"/>
        <v>9</v>
      </c>
      <c r="DM932" s="66">
        <f t="shared" si="3144"/>
        <v>9</v>
      </c>
      <c r="DN932" s="66">
        <f t="shared" si="3145"/>
        <v>9</v>
      </c>
      <c r="DO932" s="66">
        <f t="shared" si="3146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3156">SUM(B254)</f>
        <v>0</v>
      </c>
      <c r="C933" s="570">
        <f t="shared" si="3156"/>
        <v>0</v>
      </c>
      <c r="D933" s="570">
        <f t="shared" si="3156"/>
        <v>0</v>
      </c>
      <c r="E933" s="570">
        <f t="shared" si="3156"/>
        <v>0</v>
      </c>
      <c r="F933" s="570">
        <f t="shared" si="3156"/>
        <v>0</v>
      </c>
      <c r="G933" s="570">
        <f t="shared" si="3156"/>
        <v>0</v>
      </c>
      <c r="H933" s="570">
        <f t="shared" si="3156"/>
        <v>0</v>
      </c>
      <c r="I933" s="570">
        <f t="shared" si="3156"/>
        <v>0</v>
      </c>
      <c r="J933" s="570">
        <f t="shared" si="3156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3157">SUM(T254)</f>
        <v>0</v>
      </c>
      <c r="U933" s="570">
        <f t="shared" si="3157"/>
        <v>0</v>
      </c>
      <c r="V933" s="570">
        <f t="shared" si="3157"/>
        <v>0</v>
      </c>
      <c r="W933" s="570">
        <f t="shared" si="3157"/>
        <v>0</v>
      </c>
      <c r="X933" s="570">
        <f t="shared" si="3157"/>
        <v>0</v>
      </c>
      <c r="Y933" s="570">
        <f t="shared" si="3157"/>
        <v>0</v>
      </c>
      <c r="Z933" s="570">
        <f t="shared" si="3157"/>
        <v>0</v>
      </c>
      <c r="AA933" s="570">
        <f t="shared" si="3157"/>
        <v>0</v>
      </c>
      <c r="AB933" s="570">
        <f t="shared" si="3157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3158">SUM(AL254)</f>
        <v>0</v>
      </c>
      <c r="AM933" s="570">
        <f t="shared" si="3158"/>
        <v>0</v>
      </c>
      <c r="AN933" s="570">
        <f t="shared" si="3158"/>
        <v>0</v>
      </c>
      <c r="AO933" s="570">
        <f t="shared" si="3158"/>
        <v>0</v>
      </c>
      <c r="AP933" s="570">
        <f t="shared" si="3158"/>
        <v>0</v>
      </c>
      <c r="AQ933" s="570">
        <f t="shared" si="3158"/>
        <v>0</v>
      </c>
      <c r="AR933" s="570">
        <f t="shared" si="3158"/>
        <v>0</v>
      </c>
      <c r="AS933" s="570">
        <f t="shared" si="3158"/>
        <v>0</v>
      </c>
      <c r="AT933" s="570">
        <f t="shared" si="3158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3159">SUM(BD254)</f>
        <v>0</v>
      </c>
      <c r="BE933" s="570">
        <f t="shared" si="3159"/>
        <v>0</v>
      </c>
      <c r="BF933" s="570">
        <f t="shared" si="3159"/>
        <v>0</v>
      </c>
      <c r="BG933" s="570">
        <f t="shared" si="3159"/>
        <v>0</v>
      </c>
      <c r="BH933" s="570">
        <f t="shared" si="3159"/>
        <v>0</v>
      </c>
      <c r="BI933" s="570">
        <f t="shared" si="3159"/>
        <v>0</v>
      </c>
      <c r="BJ933" s="570">
        <f t="shared" si="3159"/>
        <v>0</v>
      </c>
      <c r="BK933" s="570">
        <f t="shared" si="3159"/>
        <v>0</v>
      </c>
      <c r="BL933" s="570">
        <f t="shared" si="3159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3120"/>
        <v>0</v>
      </c>
      <c r="CA933" s="373">
        <f t="shared" si="3121"/>
        <v>0</v>
      </c>
      <c r="CB933" s="373">
        <f t="shared" si="3122"/>
        <v>0</v>
      </c>
      <c r="CC933" s="373">
        <f t="shared" si="3123"/>
        <v>0</v>
      </c>
      <c r="CD933" s="1109" t="str">
        <f t="shared" si="3151"/>
        <v/>
      </c>
      <c r="CE933" s="1110" t="str">
        <f t="shared" si="3125"/>
        <v/>
      </c>
      <c r="CF933" s="1111" t="str">
        <f t="shared" si="3125"/>
        <v/>
      </c>
      <c r="CG933" s="1111" t="str">
        <f t="shared" si="3125"/>
        <v/>
      </c>
      <c r="CH933" s="1111">
        <f t="shared" si="3125"/>
        <v>0</v>
      </c>
      <c r="CI933" s="1111">
        <f t="shared" si="3125"/>
        <v>0</v>
      </c>
      <c r="CJ933" s="1111">
        <f t="shared" si="3125"/>
        <v>0</v>
      </c>
      <c r="CK933" s="1112">
        <f t="shared" si="3125"/>
        <v>0</v>
      </c>
      <c r="CL933" s="1112">
        <f t="shared" si="3125"/>
        <v>0</v>
      </c>
      <c r="CM933" s="1112">
        <f t="shared" si="3125"/>
        <v>0</v>
      </c>
      <c r="CN933" s="1111">
        <f t="shared" si="3125"/>
        <v>0</v>
      </c>
      <c r="CO933" s="1111">
        <f t="shared" si="3125"/>
        <v>0</v>
      </c>
      <c r="CP933" s="1111">
        <f t="shared" si="3125"/>
        <v>0</v>
      </c>
      <c r="CQ933" s="1111" t="str">
        <f t="shared" si="3125"/>
        <v/>
      </c>
      <c r="CR933" s="1111" t="str">
        <f t="shared" si="3125"/>
        <v/>
      </c>
      <c r="CS933" s="1110" t="str">
        <f t="shared" si="3125"/>
        <v/>
      </c>
      <c r="CT933" s="1113" t="str">
        <f t="shared" si="3125"/>
        <v/>
      </c>
      <c r="CU933" s="324" t="str">
        <f t="shared" si="3126"/>
        <v/>
      </c>
      <c r="CV933" s="325" t="str">
        <f t="shared" si="3127"/>
        <v/>
      </c>
      <c r="CW933" s="326" t="str">
        <f t="shared" si="3128"/>
        <v/>
      </c>
      <c r="CX933" s="326" t="str">
        <f t="shared" si="3129"/>
        <v/>
      </c>
      <c r="CY933" s="326">
        <f t="shared" si="3130"/>
        <v>0</v>
      </c>
      <c r="CZ933" s="326">
        <f t="shared" si="3131"/>
        <v>0</v>
      </c>
      <c r="DA933" s="326">
        <f t="shared" si="3132"/>
        <v>0</v>
      </c>
      <c r="DB933" s="327">
        <f t="shared" si="3133"/>
        <v>0</v>
      </c>
      <c r="DC933" s="327">
        <f t="shared" si="3134"/>
        <v>0</v>
      </c>
      <c r="DD933" s="327">
        <f t="shared" si="3135"/>
        <v>0</v>
      </c>
      <c r="DE933" s="326">
        <f t="shared" si="3136"/>
        <v>0</v>
      </c>
      <c r="DF933" s="326">
        <f t="shared" si="3137"/>
        <v>0</v>
      </c>
      <c r="DG933" s="326">
        <f t="shared" si="3138"/>
        <v>0</v>
      </c>
      <c r="DH933" s="326" t="str">
        <f t="shared" si="3139"/>
        <v/>
      </c>
      <c r="DI933" s="326" t="str">
        <f t="shared" si="3140"/>
        <v/>
      </c>
      <c r="DJ933" s="325" t="str">
        <f t="shared" si="3141"/>
        <v/>
      </c>
      <c r="DK933" s="324" t="str">
        <f t="shared" si="3142"/>
        <v/>
      </c>
      <c r="DL933" s="428">
        <f t="shared" si="3143"/>
        <v>9</v>
      </c>
      <c r="DM933" s="66">
        <f t="shared" si="3144"/>
        <v>9</v>
      </c>
      <c r="DN933" s="66">
        <f t="shared" si="3145"/>
        <v>9</v>
      </c>
      <c r="DO933" s="66">
        <f t="shared" si="3146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3160">SUM(B261)</f>
        <v>0</v>
      </c>
      <c r="C934" s="570">
        <f t="shared" si="3160"/>
        <v>0</v>
      </c>
      <c r="D934" s="570">
        <f t="shared" si="3160"/>
        <v>0</v>
      </c>
      <c r="E934" s="570">
        <f t="shared" si="3160"/>
        <v>0</v>
      </c>
      <c r="F934" s="570">
        <f t="shared" si="3160"/>
        <v>0</v>
      </c>
      <c r="G934" s="570">
        <f t="shared" si="3160"/>
        <v>0</v>
      </c>
      <c r="H934" s="570">
        <f t="shared" si="3160"/>
        <v>0</v>
      </c>
      <c r="I934" s="570">
        <f t="shared" si="3160"/>
        <v>0</v>
      </c>
      <c r="J934" s="570">
        <f t="shared" si="3160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3161">SUM(T261)</f>
        <v>0</v>
      </c>
      <c r="U934" s="570">
        <f t="shared" si="3161"/>
        <v>0</v>
      </c>
      <c r="V934" s="570">
        <f t="shared" si="3161"/>
        <v>0</v>
      </c>
      <c r="W934" s="570">
        <f t="shared" si="3161"/>
        <v>0</v>
      </c>
      <c r="X934" s="570">
        <f t="shared" si="3161"/>
        <v>0</v>
      </c>
      <c r="Y934" s="570">
        <f t="shared" si="3161"/>
        <v>0</v>
      </c>
      <c r="Z934" s="570">
        <f t="shared" si="3161"/>
        <v>0</v>
      </c>
      <c r="AA934" s="570">
        <f t="shared" si="3161"/>
        <v>0</v>
      </c>
      <c r="AB934" s="570">
        <f t="shared" si="3161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3162">SUM(AL261)</f>
        <v>0</v>
      </c>
      <c r="AM934" s="570">
        <f t="shared" si="3162"/>
        <v>0</v>
      </c>
      <c r="AN934" s="570">
        <f t="shared" si="3162"/>
        <v>0</v>
      </c>
      <c r="AO934" s="570">
        <f t="shared" si="3162"/>
        <v>0</v>
      </c>
      <c r="AP934" s="570">
        <f t="shared" si="3162"/>
        <v>0</v>
      </c>
      <c r="AQ934" s="570">
        <f t="shared" si="3162"/>
        <v>0</v>
      </c>
      <c r="AR934" s="570">
        <f t="shared" si="3162"/>
        <v>0</v>
      </c>
      <c r="AS934" s="570">
        <f t="shared" si="3162"/>
        <v>0</v>
      </c>
      <c r="AT934" s="570">
        <f t="shared" si="3162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3163">SUM(BD261)</f>
        <v>0</v>
      </c>
      <c r="BE934" s="570">
        <f t="shared" si="3163"/>
        <v>0</v>
      </c>
      <c r="BF934" s="570">
        <f t="shared" si="3163"/>
        <v>0</v>
      </c>
      <c r="BG934" s="570">
        <f t="shared" si="3163"/>
        <v>0</v>
      </c>
      <c r="BH934" s="570">
        <f t="shared" si="3163"/>
        <v>0</v>
      </c>
      <c r="BI934" s="570">
        <f t="shared" si="3163"/>
        <v>0</v>
      </c>
      <c r="BJ934" s="570">
        <f t="shared" si="3163"/>
        <v>0</v>
      </c>
      <c r="BK934" s="570">
        <f t="shared" si="3163"/>
        <v>0</v>
      </c>
      <c r="BL934" s="570">
        <f t="shared" si="3163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3120"/>
        <v>0</v>
      </c>
      <c r="CA934" s="373">
        <f t="shared" si="3121"/>
        <v>0</v>
      </c>
      <c r="CB934" s="373">
        <f t="shared" si="3122"/>
        <v>0</v>
      </c>
      <c r="CC934" s="373">
        <f t="shared" si="3123"/>
        <v>0</v>
      </c>
      <c r="CD934" s="1109" t="str">
        <f t="shared" si="3151"/>
        <v/>
      </c>
      <c r="CE934" s="1110" t="str">
        <f t="shared" si="3125"/>
        <v/>
      </c>
      <c r="CF934" s="1111" t="str">
        <f t="shared" si="3125"/>
        <v/>
      </c>
      <c r="CG934" s="1111" t="str">
        <f t="shared" si="3125"/>
        <v/>
      </c>
      <c r="CH934" s="1111">
        <f t="shared" si="3125"/>
        <v>0</v>
      </c>
      <c r="CI934" s="1111">
        <f t="shared" si="3125"/>
        <v>0</v>
      </c>
      <c r="CJ934" s="1111">
        <f t="shared" si="3125"/>
        <v>0</v>
      </c>
      <c r="CK934" s="1112">
        <f t="shared" si="3125"/>
        <v>0</v>
      </c>
      <c r="CL934" s="1112">
        <f t="shared" si="3125"/>
        <v>0</v>
      </c>
      <c r="CM934" s="1112">
        <f t="shared" si="3125"/>
        <v>0</v>
      </c>
      <c r="CN934" s="1111">
        <f t="shared" si="3125"/>
        <v>0</v>
      </c>
      <c r="CO934" s="1111">
        <f t="shared" si="3125"/>
        <v>0</v>
      </c>
      <c r="CP934" s="1111">
        <f t="shared" si="3125"/>
        <v>0</v>
      </c>
      <c r="CQ934" s="1111" t="str">
        <f t="shared" si="3125"/>
        <v/>
      </c>
      <c r="CR934" s="1111" t="str">
        <f t="shared" si="3125"/>
        <v/>
      </c>
      <c r="CS934" s="1110" t="str">
        <f t="shared" si="3125"/>
        <v/>
      </c>
      <c r="CT934" s="1113" t="str">
        <f t="shared" si="3125"/>
        <v/>
      </c>
      <c r="CU934" s="324" t="str">
        <f t="shared" si="3126"/>
        <v/>
      </c>
      <c r="CV934" s="325" t="str">
        <f t="shared" si="3127"/>
        <v/>
      </c>
      <c r="CW934" s="326" t="str">
        <f t="shared" si="3128"/>
        <v/>
      </c>
      <c r="CX934" s="326" t="str">
        <f t="shared" si="3129"/>
        <v/>
      </c>
      <c r="CY934" s="326">
        <f t="shared" si="3130"/>
        <v>0</v>
      </c>
      <c r="CZ934" s="326">
        <f t="shared" si="3131"/>
        <v>0</v>
      </c>
      <c r="DA934" s="326">
        <f t="shared" si="3132"/>
        <v>0</v>
      </c>
      <c r="DB934" s="327">
        <f t="shared" si="3133"/>
        <v>0</v>
      </c>
      <c r="DC934" s="327">
        <f t="shared" si="3134"/>
        <v>0</v>
      </c>
      <c r="DD934" s="327">
        <f t="shared" si="3135"/>
        <v>0</v>
      </c>
      <c r="DE934" s="326">
        <f t="shared" si="3136"/>
        <v>0</v>
      </c>
      <c r="DF934" s="326">
        <f t="shared" si="3137"/>
        <v>0</v>
      </c>
      <c r="DG934" s="326">
        <f t="shared" si="3138"/>
        <v>0</v>
      </c>
      <c r="DH934" s="326" t="str">
        <f t="shared" si="3139"/>
        <v/>
      </c>
      <c r="DI934" s="326" t="str">
        <f t="shared" si="3140"/>
        <v/>
      </c>
      <c r="DJ934" s="325" t="str">
        <f t="shared" si="3141"/>
        <v/>
      </c>
      <c r="DK934" s="324" t="str">
        <f t="shared" si="3142"/>
        <v/>
      </c>
      <c r="DL934" s="428">
        <f t="shared" si="3143"/>
        <v>9</v>
      </c>
      <c r="DM934" s="66">
        <f t="shared" si="3144"/>
        <v>9</v>
      </c>
      <c r="DN934" s="66">
        <f t="shared" si="3145"/>
        <v>9</v>
      </c>
      <c r="DO934" s="66">
        <f t="shared" si="3146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3164">SUM(B268)</f>
        <v>700</v>
      </c>
      <c r="C935" s="570">
        <f t="shared" si="3164"/>
        <v>0</v>
      </c>
      <c r="D935" s="570">
        <f t="shared" si="3164"/>
        <v>0</v>
      </c>
      <c r="E935" s="570">
        <f t="shared" si="3164"/>
        <v>0</v>
      </c>
      <c r="F935" s="570">
        <f t="shared" si="3164"/>
        <v>0</v>
      </c>
      <c r="G935" s="570">
        <f t="shared" si="3164"/>
        <v>0</v>
      </c>
      <c r="H935" s="570">
        <f t="shared" si="3164"/>
        <v>0</v>
      </c>
      <c r="I935" s="570">
        <f t="shared" si="3164"/>
        <v>0</v>
      </c>
      <c r="J935" s="570">
        <f t="shared" si="3164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3165">SUM(T268)</f>
        <v>0</v>
      </c>
      <c r="U935" s="570">
        <f t="shared" si="3165"/>
        <v>0</v>
      </c>
      <c r="V935" s="570">
        <f t="shared" si="3165"/>
        <v>0</v>
      </c>
      <c r="W935" s="570">
        <f t="shared" si="3165"/>
        <v>0</v>
      </c>
      <c r="X935" s="570">
        <f t="shared" si="3165"/>
        <v>0</v>
      </c>
      <c r="Y935" s="570">
        <f t="shared" si="3165"/>
        <v>0</v>
      </c>
      <c r="Z935" s="570">
        <f t="shared" si="3165"/>
        <v>0</v>
      </c>
      <c r="AA935" s="570">
        <f t="shared" si="3165"/>
        <v>0</v>
      </c>
      <c r="AB935" s="570">
        <f t="shared" si="3165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3166">SUM(AL268)</f>
        <v>1250</v>
      </c>
      <c r="AM935" s="570">
        <f t="shared" si="3166"/>
        <v>0</v>
      </c>
      <c r="AN935" s="570">
        <f t="shared" si="3166"/>
        <v>0</v>
      </c>
      <c r="AO935" s="570">
        <f t="shared" si="3166"/>
        <v>0</v>
      </c>
      <c r="AP935" s="570">
        <f t="shared" si="3166"/>
        <v>0</v>
      </c>
      <c r="AQ935" s="570">
        <f t="shared" si="3166"/>
        <v>0</v>
      </c>
      <c r="AR935" s="570">
        <f t="shared" si="3166"/>
        <v>0</v>
      </c>
      <c r="AS935" s="570">
        <f t="shared" si="3166"/>
        <v>0</v>
      </c>
      <c r="AT935" s="570">
        <f t="shared" si="3166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3167">SUM(BD268)</f>
        <v>900</v>
      </c>
      <c r="BE935" s="570">
        <f t="shared" si="3167"/>
        <v>750</v>
      </c>
      <c r="BF935" s="570">
        <f t="shared" si="3167"/>
        <v>2000</v>
      </c>
      <c r="BG935" s="570">
        <f t="shared" si="3167"/>
        <v>0</v>
      </c>
      <c r="BH935" s="570">
        <f t="shared" si="3167"/>
        <v>150</v>
      </c>
      <c r="BI935" s="570">
        <f t="shared" si="3167"/>
        <v>0</v>
      </c>
      <c r="BJ935" s="570">
        <f t="shared" si="3167"/>
        <v>400</v>
      </c>
      <c r="BK935" s="570">
        <f t="shared" si="3167"/>
        <v>0</v>
      </c>
      <c r="BL935" s="570">
        <f t="shared" si="3167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3120"/>
        <v>0</v>
      </c>
      <c r="CA935" s="373">
        <f t="shared" si="3121"/>
        <v>0</v>
      </c>
      <c r="CB935" s="373">
        <f t="shared" si="3122"/>
        <v>0</v>
      </c>
      <c r="CC935" s="373">
        <f t="shared" si="3123"/>
        <v>314.28571428571428</v>
      </c>
      <c r="CD935" s="1109" t="str">
        <f t="shared" si="3151"/>
        <v/>
      </c>
      <c r="CE935" s="1110" t="str">
        <f t="shared" si="3125"/>
        <v/>
      </c>
      <c r="CF935" s="1111" t="str">
        <f t="shared" si="3125"/>
        <v/>
      </c>
      <c r="CG935" s="1111" t="str">
        <f t="shared" si="3125"/>
        <v/>
      </c>
      <c r="CH935" s="1111">
        <f t="shared" si="3125"/>
        <v>0</v>
      </c>
      <c r="CI935" s="1111">
        <f t="shared" si="3125"/>
        <v>0</v>
      </c>
      <c r="CJ935" s="1111">
        <f t="shared" si="3125"/>
        <v>0</v>
      </c>
      <c r="CK935" s="1112">
        <f t="shared" si="3125"/>
        <v>0</v>
      </c>
      <c r="CL935" s="1112">
        <f t="shared" si="3125"/>
        <v>0</v>
      </c>
      <c r="CM935" s="1112">
        <f t="shared" si="3125"/>
        <v>0</v>
      </c>
      <c r="CN935" s="1111">
        <f t="shared" si="3125"/>
        <v>0</v>
      </c>
      <c r="CO935" s="1111">
        <f t="shared" si="3125"/>
        <v>0</v>
      </c>
      <c r="CP935" s="1111">
        <f t="shared" si="3125"/>
        <v>700</v>
      </c>
      <c r="CQ935" s="1111" t="str">
        <f t="shared" si="3125"/>
        <v/>
      </c>
      <c r="CR935" s="1111" t="str">
        <f t="shared" si="3125"/>
        <v/>
      </c>
      <c r="CS935" s="1110" t="str">
        <f t="shared" si="3125"/>
        <v/>
      </c>
      <c r="CT935" s="1113" t="str">
        <f t="shared" si="3125"/>
        <v/>
      </c>
      <c r="CU935" s="324" t="str">
        <f t="shared" si="3126"/>
        <v/>
      </c>
      <c r="CV935" s="325" t="str">
        <f t="shared" si="3127"/>
        <v/>
      </c>
      <c r="CW935" s="326" t="str">
        <f t="shared" si="3128"/>
        <v/>
      </c>
      <c r="CX935" s="326" t="str">
        <f t="shared" si="3129"/>
        <v/>
      </c>
      <c r="CY935" s="326">
        <f t="shared" si="3130"/>
        <v>0</v>
      </c>
      <c r="CZ935" s="326">
        <f t="shared" si="3131"/>
        <v>0</v>
      </c>
      <c r="DA935" s="326">
        <f t="shared" si="3132"/>
        <v>0</v>
      </c>
      <c r="DB935" s="327">
        <f t="shared" si="3133"/>
        <v>0</v>
      </c>
      <c r="DC935" s="327">
        <f t="shared" si="3134"/>
        <v>0</v>
      </c>
      <c r="DD935" s="327">
        <f t="shared" si="3135"/>
        <v>0</v>
      </c>
      <c r="DE935" s="326">
        <f t="shared" si="3136"/>
        <v>0</v>
      </c>
      <c r="DF935" s="326">
        <f t="shared" si="3137"/>
        <v>0</v>
      </c>
      <c r="DG935" s="326">
        <f t="shared" si="3138"/>
        <v>0</v>
      </c>
      <c r="DH935" s="326" t="str">
        <f t="shared" si="3139"/>
        <v/>
      </c>
      <c r="DI935" s="326" t="str">
        <f t="shared" si="3140"/>
        <v/>
      </c>
      <c r="DJ935" s="325" t="str">
        <f t="shared" si="3141"/>
        <v/>
      </c>
      <c r="DK935" s="324" t="str">
        <f t="shared" si="3142"/>
        <v/>
      </c>
      <c r="DL935" s="428">
        <f t="shared" si="3143"/>
        <v>9</v>
      </c>
      <c r="DM935" s="66">
        <f t="shared" si="3144"/>
        <v>9</v>
      </c>
      <c r="DN935" s="66">
        <f t="shared" si="3145"/>
        <v>9</v>
      </c>
      <c r="DO935" s="66">
        <f t="shared" si="3146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3168">SUM(B275)</f>
        <v>0</v>
      </c>
      <c r="C936" s="570">
        <f t="shared" si="3168"/>
        <v>0</v>
      </c>
      <c r="D936" s="570">
        <f t="shared" si="3168"/>
        <v>0</v>
      </c>
      <c r="E936" s="570">
        <f t="shared" si="3168"/>
        <v>0</v>
      </c>
      <c r="F936" s="570">
        <f t="shared" si="3168"/>
        <v>0</v>
      </c>
      <c r="G936" s="570">
        <f t="shared" si="3168"/>
        <v>0</v>
      </c>
      <c r="H936" s="570">
        <f t="shared" si="3168"/>
        <v>0</v>
      </c>
      <c r="I936" s="570">
        <f t="shared" si="3168"/>
        <v>0</v>
      </c>
      <c r="J936" s="570">
        <f t="shared" si="3168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3169">SUM(T275)</f>
        <v>0</v>
      </c>
      <c r="U936" s="570">
        <f t="shared" si="3169"/>
        <v>180</v>
      </c>
      <c r="V936" s="570">
        <f t="shared" si="3169"/>
        <v>720</v>
      </c>
      <c r="W936" s="570">
        <f t="shared" si="3169"/>
        <v>0</v>
      </c>
      <c r="X936" s="570">
        <f t="shared" si="3169"/>
        <v>0</v>
      </c>
      <c r="Y936" s="570">
        <f t="shared" si="3169"/>
        <v>560</v>
      </c>
      <c r="Z936" s="570">
        <f t="shared" si="3169"/>
        <v>0</v>
      </c>
      <c r="AA936" s="570">
        <f t="shared" si="3169"/>
        <v>160</v>
      </c>
      <c r="AB936" s="570">
        <f t="shared" si="3169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3170">SUM(AL275)</f>
        <v>1000</v>
      </c>
      <c r="AM936" s="570">
        <f t="shared" si="3170"/>
        <v>400</v>
      </c>
      <c r="AN936" s="570">
        <f t="shared" si="3170"/>
        <v>720</v>
      </c>
      <c r="AO936" s="570">
        <f t="shared" si="3170"/>
        <v>240</v>
      </c>
      <c r="AP936" s="570">
        <f t="shared" si="3170"/>
        <v>1200</v>
      </c>
      <c r="AQ936" s="570">
        <f t="shared" si="3170"/>
        <v>400</v>
      </c>
      <c r="AR936" s="570">
        <f t="shared" si="3170"/>
        <v>250</v>
      </c>
      <c r="AS936" s="570">
        <f t="shared" si="3170"/>
        <v>1200</v>
      </c>
      <c r="AT936" s="570">
        <f t="shared" si="3170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3171">SUM(BD275)</f>
        <v>600</v>
      </c>
      <c r="BE936" s="570">
        <f t="shared" si="3171"/>
        <v>900</v>
      </c>
      <c r="BF936" s="570">
        <f t="shared" si="3171"/>
        <v>1050</v>
      </c>
      <c r="BG936" s="570">
        <f t="shared" si="3171"/>
        <v>0</v>
      </c>
      <c r="BH936" s="570">
        <f t="shared" si="3171"/>
        <v>1000</v>
      </c>
      <c r="BI936" s="570">
        <f t="shared" si="3171"/>
        <v>150</v>
      </c>
      <c r="BJ936" s="570">
        <f t="shared" si="3171"/>
        <v>600</v>
      </c>
      <c r="BK936" s="570">
        <f t="shared" si="3171"/>
        <v>2500</v>
      </c>
      <c r="BL936" s="570">
        <f t="shared" si="3171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3120"/>
        <v>0</v>
      </c>
      <c r="CA936" s="373">
        <f t="shared" si="3121"/>
        <v>128.57142857142858</v>
      </c>
      <c r="CB936" s="373">
        <f t="shared" si="3122"/>
        <v>738.57142857142856</v>
      </c>
      <c r="CC936" s="373">
        <f t="shared" si="3123"/>
        <v>685.71428571428567</v>
      </c>
      <c r="CD936" s="1109" t="str">
        <f t="shared" si="3151"/>
        <v/>
      </c>
      <c r="CE936" s="1110" t="str">
        <f t="shared" si="3125"/>
        <v/>
      </c>
      <c r="CF936" s="1111" t="str">
        <f t="shared" si="3125"/>
        <v/>
      </c>
      <c r="CG936" s="1111" t="str">
        <f t="shared" si="3125"/>
        <v/>
      </c>
      <c r="CH936" s="1111">
        <f t="shared" si="3125"/>
        <v>0</v>
      </c>
      <c r="CI936" s="1111">
        <f t="shared" si="3125"/>
        <v>0</v>
      </c>
      <c r="CJ936" s="1111">
        <f t="shared" si="3125"/>
        <v>0</v>
      </c>
      <c r="CK936" s="1112">
        <f t="shared" si="3125"/>
        <v>0</v>
      </c>
      <c r="CL936" s="1112">
        <f t="shared" si="3125"/>
        <v>0</v>
      </c>
      <c r="CM936" s="1112">
        <f t="shared" si="3125"/>
        <v>0</v>
      </c>
      <c r="CN936" s="1111">
        <f t="shared" si="3125"/>
        <v>0</v>
      </c>
      <c r="CO936" s="1111">
        <f t="shared" si="3125"/>
        <v>0</v>
      </c>
      <c r="CP936" s="1111">
        <f t="shared" si="3125"/>
        <v>0</v>
      </c>
      <c r="CQ936" s="1111" t="str">
        <f t="shared" si="3125"/>
        <v/>
      </c>
      <c r="CR936" s="1111" t="str">
        <f t="shared" si="3125"/>
        <v/>
      </c>
      <c r="CS936" s="1110" t="str">
        <f t="shared" si="3125"/>
        <v/>
      </c>
      <c r="CT936" s="1113" t="str">
        <f t="shared" si="3125"/>
        <v/>
      </c>
      <c r="CU936" s="324" t="str">
        <f t="shared" si="3126"/>
        <v/>
      </c>
      <c r="CV936" s="325" t="str">
        <f t="shared" si="3127"/>
        <v/>
      </c>
      <c r="CW936" s="326" t="str">
        <f t="shared" si="3128"/>
        <v/>
      </c>
      <c r="CX936" s="326" t="str">
        <f t="shared" si="3129"/>
        <v/>
      </c>
      <c r="CY936" s="326">
        <f t="shared" si="3130"/>
        <v>0</v>
      </c>
      <c r="CZ936" s="326">
        <f t="shared" si="3131"/>
        <v>0</v>
      </c>
      <c r="DA936" s="326">
        <f t="shared" si="3132"/>
        <v>0</v>
      </c>
      <c r="DB936" s="327">
        <f t="shared" si="3133"/>
        <v>0</v>
      </c>
      <c r="DC936" s="327">
        <f t="shared" si="3134"/>
        <v>0</v>
      </c>
      <c r="DD936" s="327">
        <f t="shared" si="3135"/>
        <v>160</v>
      </c>
      <c r="DE936" s="326">
        <f t="shared" si="3136"/>
        <v>180</v>
      </c>
      <c r="DF936" s="326">
        <f t="shared" si="3137"/>
        <v>560</v>
      </c>
      <c r="DG936" s="326">
        <f t="shared" si="3138"/>
        <v>720</v>
      </c>
      <c r="DH936" s="326" t="str">
        <f t="shared" si="3139"/>
        <v/>
      </c>
      <c r="DI936" s="326" t="str">
        <f t="shared" si="3140"/>
        <v/>
      </c>
      <c r="DJ936" s="325" t="str">
        <f t="shared" si="3141"/>
        <v/>
      </c>
      <c r="DK936" s="324" t="str">
        <f t="shared" si="3142"/>
        <v/>
      </c>
      <c r="DL936" s="428">
        <f t="shared" si="3143"/>
        <v>9</v>
      </c>
      <c r="DM936" s="66">
        <f t="shared" si="3144"/>
        <v>9</v>
      </c>
      <c r="DN936" s="66">
        <f t="shared" si="3145"/>
        <v>9</v>
      </c>
      <c r="DO936" s="66">
        <f t="shared" si="3146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3172">SUM(B282)</f>
        <v>0</v>
      </c>
      <c r="C937" s="570">
        <f t="shared" si="3172"/>
        <v>0</v>
      </c>
      <c r="D937" s="570">
        <f t="shared" si="3172"/>
        <v>0</v>
      </c>
      <c r="E937" s="570">
        <f t="shared" si="3172"/>
        <v>0</v>
      </c>
      <c r="F937" s="570">
        <f t="shared" si="3172"/>
        <v>0</v>
      </c>
      <c r="G937" s="570">
        <f t="shared" si="3172"/>
        <v>0</v>
      </c>
      <c r="H937" s="570">
        <f t="shared" si="3172"/>
        <v>0</v>
      </c>
      <c r="I937" s="570">
        <f t="shared" si="3172"/>
        <v>0</v>
      </c>
      <c r="J937" s="570">
        <f t="shared" si="3172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3173">SUM(T282)</f>
        <v>0</v>
      </c>
      <c r="U937" s="570">
        <f t="shared" si="3173"/>
        <v>0</v>
      </c>
      <c r="V937" s="570">
        <f t="shared" si="3173"/>
        <v>0</v>
      </c>
      <c r="W937" s="570">
        <f t="shared" si="3173"/>
        <v>0</v>
      </c>
      <c r="X937" s="570">
        <f t="shared" si="3173"/>
        <v>0</v>
      </c>
      <c r="Y937" s="570">
        <f t="shared" si="3173"/>
        <v>0</v>
      </c>
      <c r="Z937" s="570">
        <f t="shared" si="3173"/>
        <v>0</v>
      </c>
      <c r="AA937" s="570">
        <f t="shared" si="3173"/>
        <v>240</v>
      </c>
      <c r="AB937" s="570">
        <f t="shared" si="3173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3174">SUM(AL282)</f>
        <v>0</v>
      </c>
      <c r="AM937" s="570">
        <f t="shared" si="3174"/>
        <v>0</v>
      </c>
      <c r="AN937" s="570">
        <f t="shared" si="3174"/>
        <v>0</v>
      </c>
      <c r="AO937" s="570">
        <f t="shared" si="3174"/>
        <v>80</v>
      </c>
      <c r="AP937" s="570">
        <f t="shared" si="3174"/>
        <v>1200</v>
      </c>
      <c r="AQ937" s="570">
        <f t="shared" si="3174"/>
        <v>0</v>
      </c>
      <c r="AR937" s="570">
        <f t="shared" si="3174"/>
        <v>800</v>
      </c>
      <c r="AS937" s="570">
        <f t="shared" si="3174"/>
        <v>150</v>
      </c>
      <c r="AT937" s="570">
        <f t="shared" si="3174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3175">SUM(BD282)</f>
        <v>2000</v>
      </c>
      <c r="BE937" s="570">
        <f t="shared" si="3175"/>
        <v>900</v>
      </c>
      <c r="BF937" s="570">
        <f t="shared" si="3175"/>
        <v>1050</v>
      </c>
      <c r="BG937" s="570">
        <f t="shared" si="3175"/>
        <v>0</v>
      </c>
      <c r="BH937" s="570">
        <f t="shared" si="3175"/>
        <v>20</v>
      </c>
      <c r="BI937" s="570">
        <f t="shared" si="3175"/>
        <v>0</v>
      </c>
      <c r="BJ937" s="570">
        <f t="shared" si="3175"/>
        <v>5000</v>
      </c>
      <c r="BK937" s="570">
        <f t="shared" si="3175"/>
        <v>400</v>
      </c>
      <c r="BL937" s="570">
        <f t="shared" si="3175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3120"/>
        <v>0</v>
      </c>
      <c r="CA937" s="373">
        <f t="shared" si="3121"/>
        <v>0</v>
      </c>
      <c r="CB937" s="373">
        <f t="shared" si="3122"/>
        <v>147.14285714285714</v>
      </c>
      <c r="CC937" s="373">
        <f t="shared" si="3123"/>
        <v>624.28571428571433</v>
      </c>
      <c r="CD937" s="1109" t="str">
        <f t="shared" si="3151"/>
        <v/>
      </c>
      <c r="CE937" s="1110" t="str">
        <f t="shared" si="3125"/>
        <v/>
      </c>
      <c r="CF937" s="1111" t="str">
        <f t="shared" si="3125"/>
        <v/>
      </c>
      <c r="CG937" s="1111" t="str">
        <f t="shared" si="3125"/>
        <v/>
      </c>
      <c r="CH937" s="1111">
        <f t="shared" si="3125"/>
        <v>0</v>
      </c>
      <c r="CI937" s="1111">
        <f t="shared" si="3125"/>
        <v>0</v>
      </c>
      <c r="CJ937" s="1111">
        <f t="shared" si="3125"/>
        <v>0</v>
      </c>
      <c r="CK937" s="1112">
        <f t="shared" si="3125"/>
        <v>0</v>
      </c>
      <c r="CL937" s="1112">
        <f t="shared" si="3125"/>
        <v>0</v>
      </c>
      <c r="CM937" s="1112">
        <f t="shared" si="3125"/>
        <v>0</v>
      </c>
      <c r="CN937" s="1111">
        <f t="shared" si="3125"/>
        <v>0</v>
      </c>
      <c r="CO937" s="1111">
        <f t="shared" si="3125"/>
        <v>0</v>
      </c>
      <c r="CP937" s="1111">
        <f t="shared" si="3125"/>
        <v>0</v>
      </c>
      <c r="CQ937" s="1111" t="str">
        <f t="shared" si="3125"/>
        <v/>
      </c>
      <c r="CR937" s="1111" t="str">
        <f t="shared" si="3125"/>
        <v/>
      </c>
      <c r="CS937" s="1110" t="str">
        <f t="shared" si="3125"/>
        <v/>
      </c>
      <c r="CT937" s="1113" t="str">
        <f t="shared" si="3125"/>
        <v/>
      </c>
      <c r="CU937" s="324" t="str">
        <f t="shared" si="3126"/>
        <v/>
      </c>
      <c r="CV937" s="325" t="str">
        <f t="shared" si="3127"/>
        <v/>
      </c>
      <c r="CW937" s="326" t="str">
        <f t="shared" si="3128"/>
        <v/>
      </c>
      <c r="CX937" s="326" t="str">
        <f t="shared" si="3129"/>
        <v/>
      </c>
      <c r="CY937" s="326">
        <f t="shared" si="3130"/>
        <v>0</v>
      </c>
      <c r="CZ937" s="326">
        <f t="shared" si="3131"/>
        <v>0</v>
      </c>
      <c r="DA937" s="326">
        <f t="shared" si="3132"/>
        <v>0</v>
      </c>
      <c r="DB937" s="327">
        <f t="shared" si="3133"/>
        <v>0</v>
      </c>
      <c r="DC937" s="327">
        <f t="shared" si="3134"/>
        <v>0</v>
      </c>
      <c r="DD937" s="327">
        <f t="shared" si="3135"/>
        <v>0</v>
      </c>
      <c r="DE937" s="326">
        <f t="shared" si="3136"/>
        <v>0</v>
      </c>
      <c r="DF937" s="326">
        <f t="shared" si="3137"/>
        <v>0</v>
      </c>
      <c r="DG937" s="326">
        <f t="shared" si="3138"/>
        <v>240</v>
      </c>
      <c r="DH937" s="326" t="str">
        <f t="shared" si="3139"/>
        <v/>
      </c>
      <c r="DI937" s="326" t="str">
        <f t="shared" si="3140"/>
        <v/>
      </c>
      <c r="DJ937" s="325" t="str">
        <f t="shared" si="3141"/>
        <v/>
      </c>
      <c r="DK937" s="324" t="str">
        <f t="shared" si="3142"/>
        <v/>
      </c>
      <c r="DL937" s="428">
        <f t="shared" si="3143"/>
        <v>9</v>
      </c>
      <c r="DM937" s="66">
        <f t="shared" si="3144"/>
        <v>9</v>
      </c>
      <c r="DN937" s="66">
        <f t="shared" si="3145"/>
        <v>9</v>
      </c>
      <c r="DO937" s="66">
        <f t="shared" si="3146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3176">SUM(B289)</f>
        <v>0</v>
      </c>
      <c r="C938" s="570">
        <f t="shared" si="3176"/>
        <v>0</v>
      </c>
      <c r="D938" s="570">
        <f t="shared" si="3176"/>
        <v>0</v>
      </c>
      <c r="E938" s="570">
        <f t="shared" si="3176"/>
        <v>0</v>
      </c>
      <c r="F938" s="570">
        <f t="shared" si="3176"/>
        <v>30</v>
      </c>
      <c r="G938" s="570">
        <f t="shared" si="3176"/>
        <v>0</v>
      </c>
      <c r="H938" s="570">
        <f t="shared" si="3176"/>
        <v>0</v>
      </c>
      <c r="I938" s="570">
        <f t="shared" si="3176"/>
        <v>0</v>
      </c>
      <c r="J938" s="570">
        <f t="shared" si="3176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3177">SUM(T289)</f>
        <v>0</v>
      </c>
      <c r="U938" s="570">
        <f t="shared" si="3177"/>
        <v>0</v>
      </c>
      <c r="V938" s="570">
        <f t="shared" si="3177"/>
        <v>0</v>
      </c>
      <c r="W938" s="570">
        <f t="shared" si="3177"/>
        <v>0</v>
      </c>
      <c r="X938" s="570">
        <f t="shared" si="3177"/>
        <v>0</v>
      </c>
      <c r="Y938" s="570">
        <f t="shared" si="3177"/>
        <v>80</v>
      </c>
      <c r="Z938" s="570">
        <f t="shared" si="3177"/>
        <v>0</v>
      </c>
      <c r="AA938" s="570">
        <f t="shared" si="3177"/>
        <v>0</v>
      </c>
      <c r="AB938" s="570">
        <f t="shared" si="3177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3178">SUM(AL289)</f>
        <v>0</v>
      </c>
      <c r="AM938" s="570">
        <f t="shared" si="3178"/>
        <v>0</v>
      </c>
      <c r="AN938" s="570">
        <f t="shared" si="3178"/>
        <v>0</v>
      </c>
      <c r="AO938" s="570">
        <f t="shared" si="3178"/>
        <v>150</v>
      </c>
      <c r="AP938" s="570">
        <f t="shared" si="3178"/>
        <v>360</v>
      </c>
      <c r="AQ938" s="570">
        <f t="shared" si="3178"/>
        <v>360</v>
      </c>
      <c r="AR938" s="570">
        <f t="shared" si="3178"/>
        <v>360</v>
      </c>
      <c r="AS938" s="570">
        <f t="shared" si="3178"/>
        <v>0</v>
      </c>
      <c r="AT938" s="570">
        <f t="shared" si="3178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3179">SUM(BD289)</f>
        <v>216</v>
      </c>
      <c r="BE938" s="570">
        <f t="shared" si="3179"/>
        <v>0</v>
      </c>
      <c r="BF938" s="570">
        <f t="shared" si="3179"/>
        <v>0</v>
      </c>
      <c r="BG938" s="570">
        <f t="shared" si="3179"/>
        <v>360</v>
      </c>
      <c r="BH938" s="570">
        <f t="shared" si="3179"/>
        <v>150</v>
      </c>
      <c r="BI938" s="570">
        <f t="shared" si="3179"/>
        <v>500</v>
      </c>
      <c r="BJ938" s="570">
        <f t="shared" si="3179"/>
        <v>200</v>
      </c>
      <c r="BK938" s="570">
        <f t="shared" si="3179"/>
        <v>350</v>
      </c>
      <c r="BL938" s="570">
        <f t="shared" si="3179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3120"/>
        <v>0</v>
      </c>
      <c r="CA938" s="373">
        <f t="shared" si="3121"/>
        <v>0</v>
      </c>
      <c r="CB938" s="373">
        <f t="shared" si="3122"/>
        <v>175.71428571428572</v>
      </c>
      <c r="CC938" s="373">
        <f t="shared" si="3123"/>
        <v>203.71428571428572</v>
      </c>
      <c r="CD938" s="1109" t="str">
        <f t="shared" si="3151"/>
        <v/>
      </c>
      <c r="CE938" s="1110" t="str">
        <f t="shared" si="3125"/>
        <v/>
      </c>
      <c r="CF938" s="1111" t="str">
        <f t="shared" si="3125"/>
        <v/>
      </c>
      <c r="CG938" s="1111" t="str">
        <f t="shared" si="3125"/>
        <v/>
      </c>
      <c r="CH938" s="1111">
        <f t="shared" si="3125"/>
        <v>0</v>
      </c>
      <c r="CI938" s="1111">
        <f t="shared" si="3125"/>
        <v>0</v>
      </c>
      <c r="CJ938" s="1111">
        <f t="shared" si="3125"/>
        <v>0</v>
      </c>
      <c r="CK938" s="1112">
        <f t="shared" si="3125"/>
        <v>0</v>
      </c>
      <c r="CL938" s="1112">
        <f t="shared" si="3125"/>
        <v>0</v>
      </c>
      <c r="CM938" s="1112">
        <f t="shared" si="3125"/>
        <v>0</v>
      </c>
      <c r="CN938" s="1111">
        <f t="shared" si="3125"/>
        <v>0</v>
      </c>
      <c r="CO938" s="1111">
        <f t="shared" si="3125"/>
        <v>0</v>
      </c>
      <c r="CP938" s="1111">
        <f t="shared" si="3125"/>
        <v>30</v>
      </c>
      <c r="CQ938" s="1111" t="str">
        <f t="shared" si="3125"/>
        <v/>
      </c>
      <c r="CR938" s="1111" t="str">
        <f t="shared" si="3125"/>
        <v/>
      </c>
      <c r="CS938" s="1110" t="str">
        <f t="shared" si="3125"/>
        <v/>
      </c>
      <c r="CT938" s="1113" t="str">
        <f t="shared" si="3125"/>
        <v/>
      </c>
      <c r="CU938" s="324" t="str">
        <f t="shared" si="3126"/>
        <v/>
      </c>
      <c r="CV938" s="325" t="str">
        <f t="shared" si="3127"/>
        <v/>
      </c>
      <c r="CW938" s="326" t="str">
        <f t="shared" si="3128"/>
        <v/>
      </c>
      <c r="CX938" s="326" t="str">
        <f t="shared" si="3129"/>
        <v/>
      </c>
      <c r="CY938" s="326">
        <f t="shared" si="3130"/>
        <v>0</v>
      </c>
      <c r="CZ938" s="326">
        <f t="shared" si="3131"/>
        <v>0</v>
      </c>
      <c r="DA938" s="326">
        <f t="shared" si="3132"/>
        <v>0</v>
      </c>
      <c r="DB938" s="327">
        <f t="shared" si="3133"/>
        <v>0</v>
      </c>
      <c r="DC938" s="327">
        <f t="shared" si="3134"/>
        <v>0</v>
      </c>
      <c r="DD938" s="327">
        <f t="shared" si="3135"/>
        <v>0</v>
      </c>
      <c r="DE938" s="326">
        <f t="shared" si="3136"/>
        <v>0</v>
      </c>
      <c r="DF938" s="326">
        <f t="shared" si="3137"/>
        <v>0</v>
      </c>
      <c r="DG938" s="326">
        <f t="shared" si="3138"/>
        <v>80</v>
      </c>
      <c r="DH938" s="326" t="str">
        <f t="shared" si="3139"/>
        <v/>
      </c>
      <c r="DI938" s="326" t="str">
        <f t="shared" si="3140"/>
        <v/>
      </c>
      <c r="DJ938" s="325" t="str">
        <f t="shared" si="3141"/>
        <v/>
      </c>
      <c r="DK938" s="324" t="str">
        <f t="shared" si="3142"/>
        <v/>
      </c>
      <c r="DL938" s="428">
        <f t="shared" si="3143"/>
        <v>9</v>
      </c>
      <c r="DM938" s="66">
        <f t="shared" si="3144"/>
        <v>9</v>
      </c>
      <c r="DN938" s="66">
        <f t="shared" si="3145"/>
        <v>9</v>
      </c>
      <c r="DO938" s="66">
        <f t="shared" si="3146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3180">SUM(B296)</f>
        <v>0</v>
      </c>
      <c r="C939" s="570">
        <f t="shared" si="3180"/>
        <v>0</v>
      </c>
      <c r="D939" s="570">
        <f t="shared" si="3180"/>
        <v>0</v>
      </c>
      <c r="E939" s="570">
        <f t="shared" si="3180"/>
        <v>0</v>
      </c>
      <c r="F939" s="570">
        <f t="shared" si="3180"/>
        <v>0</v>
      </c>
      <c r="G939" s="570">
        <f t="shared" si="3180"/>
        <v>0</v>
      </c>
      <c r="H939" s="570">
        <f t="shared" si="3180"/>
        <v>0</v>
      </c>
      <c r="I939" s="570">
        <f t="shared" si="3180"/>
        <v>0</v>
      </c>
      <c r="J939" s="570">
        <f t="shared" si="3180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3181">SUM(T296)</f>
        <v>0</v>
      </c>
      <c r="U939" s="570">
        <f t="shared" si="3181"/>
        <v>0</v>
      </c>
      <c r="V939" s="570">
        <f t="shared" si="3181"/>
        <v>0</v>
      </c>
      <c r="W939" s="570">
        <f t="shared" si="3181"/>
        <v>0</v>
      </c>
      <c r="X939" s="570">
        <f t="shared" si="3181"/>
        <v>0</v>
      </c>
      <c r="Y939" s="570">
        <f t="shared" si="3181"/>
        <v>0</v>
      </c>
      <c r="Z939" s="570">
        <f t="shared" si="3181"/>
        <v>0</v>
      </c>
      <c r="AA939" s="570">
        <f t="shared" si="3181"/>
        <v>0</v>
      </c>
      <c r="AB939" s="570">
        <f t="shared" si="3181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3182">SUM(AL296)</f>
        <v>0</v>
      </c>
      <c r="AM939" s="570">
        <f t="shared" si="3182"/>
        <v>0</v>
      </c>
      <c r="AN939" s="570">
        <f t="shared" si="3182"/>
        <v>0</v>
      </c>
      <c r="AO939" s="570">
        <f t="shared" si="3182"/>
        <v>0</v>
      </c>
      <c r="AP939" s="570">
        <f t="shared" si="3182"/>
        <v>0</v>
      </c>
      <c r="AQ939" s="570">
        <f t="shared" si="3182"/>
        <v>0</v>
      </c>
      <c r="AR939" s="570">
        <f t="shared" si="3182"/>
        <v>0</v>
      </c>
      <c r="AS939" s="570">
        <f t="shared" si="3182"/>
        <v>0</v>
      </c>
      <c r="AT939" s="570">
        <f t="shared" si="3182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3183">SUM(BD296)</f>
        <v>0</v>
      </c>
      <c r="BE939" s="570">
        <f t="shared" si="3183"/>
        <v>0</v>
      </c>
      <c r="BF939" s="570">
        <f t="shared" si="3183"/>
        <v>0</v>
      </c>
      <c r="BG939" s="570">
        <f t="shared" si="3183"/>
        <v>0</v>
      </c>
      <c r="BH939" s="570">
        <f t="shared" si="3183"/>
        <v>0</v>
      </c>
      <c r="BI939" s="570">
        <f t="shared" si="3183"/>
        <v>0</v>
      </c>
      <c r="BJ939" s="570">
        <f t="shared" si="3183"/>
        <v>0</v>
      </c>
      <c r="BK939" s="570">
        <f t="shared" si="3183"/>
        <v>0</v>
      </c>
      <c r="BL939" s="570">
        <f t="shared" si="3183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3120"/>
        <v>0</v>
      </c>
      <c r="CA939" s="373">
        <f t="shared" si="3121"/>
        <v>0</v>
      </c>
      <c r="CB939" s="373">
        <f t="shared" si="3122"/>
        <v>0</v>
      </c>
      <c r="CC939" s="373">
        <f t="shared" si="3123"/>
        <v>0</v>
      </c>
      <c r="CD939" s="1109" t="str">
        <f t="shared" si="3151"/>
        <v/>
      </c>
      <c r="CE939" s="1110" t="str">
        <f t="shared" si="3125"/>
        <v/>
      </c>
      <c r="CF939" s="1111" t="str">
        <f t="shared" si="3125"/>
        <v/>
      </c>
      <c r="CG939" s="1111" t="str">
        <f t="shared" si="3125"/>
        <v/>
      </c>
      <c r="CH939" s="1111">
        <f t="shared" si="3125"/>
        <v>0</v>
      </c>
      <c r="CI939" s="1111">
        <f t="shared" si="3125"/>
        <v>0</v>
      </c>
      <c r="CJ939" s="1111">
        <f t="shared" si="3125"/>
        <v>0</v>
      </c>
      <c r="CK939" s="1112">
        <f t="shared" si="3125"/>
        <v>0</v>
      </c>
      <c r="CL939" s="1112">
        <f t="shared" si="3125"/>
        <v>0</v>
      </c>
      <c r="CM939" s="1112">
        <f t="shared" si="3125"/>
        <v>0</v>
      </c>
      <c r="CN939" s="1111">
        <f t="shared" si="3125"/>
        <v>0</v>
      </c>
      <c r="CO939" s="1111">
        <f t="shared" si="3125"/>
        <v>0</v>
      </c>
      <c r="CP939" s="1111">
        <f t="shared" si="3125"/>
        <v>0</v>
      </c>
      <c r="CQ939" s="1111" t="str">
        <f t="shared" si="3125"/>
        <v/>
      </c>
      <c r="CR939" s="1111" t="str">
        <f t="shared" si="3125"/>
        <v/>
      </c>
      <c r="CS939" s="1110" t="str">
        <f t="shared" si="3125"/>
        <v/>
      </c>
      <c r="CT939" s="1113" t="str">
        <f t="shared" si="3125"/>
        <v/>
      </c>
      <c r="CU939" s="324" t="str">
        <f t="shared" si="3126"/>
        <v/>
      </c>
      <c r="CV939" s="325" t="str">
        <f t="shared" si="3127"/>
        <v/>
      </c>
      <c r="CW939" s="326" t="str">
        <f t="shared" si="3128"/>
        <v/>
      </c>
      <c r="CX939" s="326" t="str">
        <f t="shared" si="3129"/>
        <v/>
      </c>
      <c r="CY939" s="326">
        <f t="shared" si="3130"/>
        <v>0</v>
      </c>
      <c r="CZ939" s="326">
        <f t="shared" si="3131"/>
        <v>0</v>
      </c>
      <c r="DA939" s="326">
        <f t="shared" si="3132"/>
        <v>0</v>
      </c>
      <c r="DB939" s="327">
        <f t="shared" si="3133"/>
        <v>0</v>
      </c>
      <c r="DC939" s="327">
        <f t="shared" si="3134"/>
        <v>0</v>
      </c>
      <c r="DD939" s="327">
        <f t="shared" si="3135"/>
        <v>0</v>
      </c>
      <c r="DE939" s="326">
        <f t="shared" si="3136"/>
        <v>0</v>
      </c>
      <c r="DF939" s="326">
        <f t="shared" si="3137"/>
        <v>0</v>
      </c>
      <c r="DG939" s="326">
        <f t="shared" si="3138"/>
        <v>0</v>
      </c>
      <c r="DH939" s="326" t="str">
        <f t="shared" si="3139"/>
        <v/>
      </c>
      <c r="DI939" s="326" t="str">
        <f t="shared" si="3140"/>
        <v/>
      </c>
      <c r="DJ939" s="325" t="str">
        <f t="shared" si="3141"/>
        <v/>
      </c>
      <c r="DK939" s="324" t="str">
        <f t="shared" si="3142"/>
        <v/>
      </c>
      <c r="DL939" s="428">
        <f t="shared" si="3143"/>
        <v>9</v>
      </c>
      <c r="DM939" s="66">
        <f t="shared" si="3144"/>
        <v>9</v>
      </c>
      <c r="DN939" s="66">
        <f t="shared" si="3145"/>
        <v>9</v>
      </c>
      <c r="DO939" s="66">
        <f t="shared" si="3146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3184">SUM(B306)</f>
        <v>0</v>
      </c>
      <c r="C940" s="570">
        <f t="shared" si="3184"/>
        <v>0</v>
      </c>
      <c r="D940" s="570">
        <f t="shared" si="3184"/>
        <v>0</v>
      </c>
      <c r="E940" s="570">
        <f t="shared" si="3184"/>
        <v>0</v>
      </c>
      <c r="F940" s="570">
        <f t="shared" si="3184"/>
        <v>0</v>
      </c>
      <c r="G940" s="570">
        <f t="shared" si="3184"/>
        <v>0</v>
      </c>
      <c r="H940" s="570">
        <f t="shared" si="3184"/>
        <v>0</v>
      </c>
      <c r="I940" s="570">
        <f t="shared" si="3184"/>
        <v>0</v>
      </c>
      <c r="J940" s="570">
        <f t="shared" si="3184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3185">SUM(T306)</f>
        <v>0</v>
      </c>
      <c r="U940" s="570">
        <f t="shared" si="3185"/>
        <v>0</v>
      </c>
      <c r="V940" s="570">
        <f t="shared" si="3185"/>
        <v>0</v>
      </c>
      <c r="W940" s="570">
        <f t="shared" si="3185"/>
        <v>0</v>
      </c>
      <c r="X940" s="570">
        <f t="shared" si="3185"/>
        <v>0</v>
      </c>
      <c r="Y940" s="570">
        <f t="shared" si="3185"/>
        <v>0</v>
      </c>
      <c r="Z940" s="570">
        <f t="shared" si="3185"/>
        <v>0</v>
      </c>
      <c r="AA940" s="570">
        <f t="shared" si="3185"/>
        <v>0</v>
      </c>
      <c r="AB940" s="570">
        <f t="shared" si="3185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3186">SUM(AL306)</f>
        <v>0</v>
      </c>
      <c r="AM940" s="570">
        <f t="shared" si="3186"/>
        <v>0</v>
      </c>
      <c r="AN940" s="570">
        <f t="shared" si="3186"/>
        <v>0</v>
      </c>
      <c r="AO940" s="570">
        <f t="shared" si="3186"/>
        <v>0</v>
      </c>
      <c r="AP940" s="570">
        <f t="shared" si="3186"/>
        <v>0</v>
      </c>
      <c r="AQ940" s="570">
        <f t="shared" si="3186"/>
        <v>0</v>
      </c>
      <c r="AR940" s="570">
        <f t="shared" si="3186"/>
        <v>0</v>
      </c>
      <c r="AS940" s="570">
        <f t="shared" si="3186"/>
        <v>0</v>
      </c>
      <c r="AT940" s="570">
        <f t="shared" si="3186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3187">SUM(BD306)</f>
        <v>0</v>
      </c>
      <c r="BE940" s="570">
        <f t="shared" si="3187"/>
        <v>0</v>
      </c>
      <c r="BF940" s="570">
        <f t="shared" si="3187"/>
        <v>0</v>
      </c>
      <c r="BG940" s="570">
        <f t="shared" si="3187"/>
        <v>0</v>
      </c>
      <c r="BH940" s="570">
        <f t="shared" si="3187"/>
        <v>0</v>
      </c>
      <c r="BI940" s="570">
        <f t="shared" si="3187"/>
        <v>0</v>
      </c>
      <c r="BJ940" s="570">
        <f t="shared" si="3187"/>
        <v>0</v>
      </c>
      <c r="BK940" s="570">
        <f t="shared" si="3187"/>
        <v>0</v>
      </c>
      <c r="BL940" s="570">
        <f t="shared" si="3187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3120"/>
        <v>0</v>
      </c>
      <c r="CA940" s="373">
        <f t="shared" si="3121"/>
        <v>0</v>
      </c>
      <c r="CB940" s="373">
        <f t="shared" si="3122"/>
        <v>0</v>
      </c>
      <c r="CC940" s="373">
        <f t="shared" si="3123"/>
        <v>0</v>
      </c>
      <c r="CD940" s="1109" t="str">
        <f t="shared" si="3151"/>
        <v/>
      </c>
      <c r="CE940" s="1110" t="str">
        <f t="shared" si="3125"/>
        <v/>
      </c>
      <c r="CF940" s="1111" t="str">
        <f t="shared" si="3125"/>
        <v/>
      </c>
      <c r="CG940" s="1111" t="str">
        <f t="shared" si="3125"/>
        <v/>
      </c>
      <c r="CH940" s="1111">
        <f t="shared" si="3125"/>
        <v>0</v>
      </c>
      <c r="CI940" s="1111">
        <f t="shared" si="3125"/>
        <v>0</v>
      </c>
      <c r="CJ940" s="1111">
        <f t="shared" si="3125"/>
        <v>0</v>
      </c>
      <c r="CK940" s="1112">
        <f t="shared" si="3125"/>
        <v>0</v>
      </c>
      <c r="CL940" s="1112">
        <f t="shared" si="3125"/>
        <v>0</v>
      </c>
      <c r="CM940" s="1112">
        <f t="shared" si="3125"/>
        <v>0</v>
      </c>
      <c r="CN940" s="1111">
        <f t="shared" si="3125"/>
        <v>0</v>
      </c>
      <c r="CO940" s="1111">
        <f t="shared" si="3125"/>
        <v>0</v>
      </c>
      <c r="CP940" s="1111">
        <f t="shared" si="3125"/>
        <v>0</v>
      </c>
      <c r="CQ940" s="1111" t="str">
        <f t="shared" si="3125"/>
        <v/>
      </c>
      <c r="CR940" s="1111" t="str">
        <f t="shared" si="3125"/>
        <v/>
      </c>
      <c r="CS940" s="1110" t="str">
        <f t="shared" si="3125"/>
        <v/>
      </c>
      <c r="CT940" s="1113" t="str">
        <f t="shared" si="3125"/>
        <v/>
      </c>
      <c r="CU940" s="324" t="str">
        <f t="shared" si="3126"/>
        <v/>
      </c>
      <c r="CV940" s="325" t="str">
        <f t="shared" si="3127"/>
        <v/>
      </c>
      <c r="CW940" s="326" t="str">
        <f t="shared" si="3128"/>
        <v/>
      </c>
      <c r="CX940" s="326" t="str">
        <f t="shared" si="3129"/>
        <v/>
      </c>
      <c r="CY940" s="326">
        <f t="shared" si="3130"/>
        <v>0</v>
      </c>
      <c r="CZ940" s="326">
        <f t="shared" si="3131"/>
        <v>0</v>
      </c>
      <c r="DA940" s="326">
        <f t="shared" si="3132"/>
        <v>0</v>
      </c>
      <c r="DB940" s="327">
        <f t="shared" si="3133"/>
        <v>0</v>
      </c>
      <c r="DC940" s="327">
        <f t="shared" si="3134"/>
        <v>0</v>
      </c>
      <c r="DD940" s="327">
        <f t="shared" si="3135"/>
        <v>0</v>
      </c>
      <c r="DE940" s="326">
        <f t="shared" si="3136"/>
        <v>0</v>
      </c>
      <c r="DF940" s="326">
        <f t="shared" si="3137"/>
        <v>0</v>
      </c>
      <c r="DG940" s="326">
        <f t="shared" si="3138"/>
        <v>0</v>
      </c>
      <c r="DH940" s="326" t="str">
        <f t="shared" si="3139"/>
        <v/>
      </c>
      <c r="DI940" s="326" t="str">
        <f t="shared" si="3140"/>
        <v/>
      </c>
      <c r="DJ940" s="325" t="str">
        <f t="shared" si="3141"/>
        <v/>
      </c>
      <c r="DK940" s="324" t="str">
        <f t="shared" si="3142"/>
        <v/>
      </c>
      <c r="DL940" s="428">
        <f t="shared" si="3143"/>
        <v>9</v>
      </c>
      <c r="DM940" s="66">
        <f t="shared" si="3144"/>
        <v>9</v>
      </c>
      <c r="DN940" s="66">
        <f t="shared" si="3145"/>
        <v>9</v>
      </c>
      <c r="DO940" s="66">
        <f t="shared" si="3146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3188">SUM(B316)</f>
        <v>0</v>
      </c>
      <c r="C941" s="570">
        <f t="shared" si="3188"/>
        <v>0</v>
      </c>
      <c r="D941" s="570">
        <f t="shared" si="3188"/>
        <v>0</v>
      </c>
      <c r="E941" s="570">
        <f t="shared" si="3188"/>
        <v>0</v>
      </c>
      <c r="F941" s="570">
        <f t="shared" si="3188"/>
        <v>0</v>
      </c>
      <c r="G941" s="570">
        <f t="shared" si="3188"/>
        <v>0</v>
      </c>
      <c r="H941" s="570">
        <f t="shared" si="3188"/>
        <v>0</v>
      </c>
      <c r="I941" s="570">
        <f t="shared" si="3188"/>
        <v>0</v>
      </c>
      <c r="J941" s="570">
        <f t="shared" si="3188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3189">SUM(T316)</f>
        <v>0</v>
      </c>
      <c r="U941" s="570">
        <f t="shared" si="3189"/>
        <v>0</v>
      </c>
      <c r="V941" s="570">
        <f t="shared" si="3189"/>
        <v>0</v>
      </c>
      <c r="W941" s="570">
        <f t="shared" si="3189"/>
        <v>0</v>
      </c>
      <c r="X941" s="570">
        <f t="shared" si="3189"/>
        <v>0</v>
      </c>
      <c r="Y941" s="570">
        <f t="shared" si="3189"/>
        <v>0</v>
      </c>
      <c r="Z941" s="570">
        <f t="shared" si="3189"/>
        <v>0</v>
      </c>
      <c r="AA941" s="570">
        <f t="shared" si="3189"/>
        <v>0</v>
      </c>
      <c r="AB941" s="570">
        <f t="shared" si="3189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3190">SUM(AL316)</f>
        <v>275</v>
      </c>
      <c r="AM941" s="570">
        <f t="shared" si="3190"/>
        <v>240</v>
      </c>
      <c r="AN941" s="570">
        <f t="shared" si="3190"/>
        <v>40</v>
      </c>
      <c r="AO941" s="570">
        <f t="shared" si="3190"/>
        <v>0</v>
      </c>
      <c r="AP941" s="570">
        <f t="shared" si="3190"/>
        <v>0</v>
      </c>
      <c r="AQ941" s="570">
        <f t="shared" si="3190"/>
        <v>180</v>
      </c>
      <c r="AR941" s="570">
        <f t="shared" si="3190"/>
        <v>0</v>
      </c>
      <c r="AS941" s="570">
        <f t="shared" si="3190"/>
        <v>0</v>
      </c>
      <c r="AT941" s="570">
        <f t="shared" si="3190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3191">SUM(BD316)</f>
        <v>99.96</v>
      </c>
      <c r="BE941" s="570">
        <f t="shared" si="3191"/>
        <v>0</v>
      </c>
      <c r="BF941" s="570">
        <f t="shared" si="3191"/>
        <v>600</v>
      </c>
      <c r="BG941" s="570">
        <f t="shared" si="3191"/>
        <v>0</v>
      </c>
      <c r="BH941" s="570">
        <f t="shared" si="3191"/>
        <v>0</v>
      </c>
      <c r="BI941" s="570">
        <f t="shared" si="3191"/>
        <v>0</v>
      </c>
      <c r="BJ941" s="570">
        <f t="shared" si="3191"/>
        <v>0</v>
      </c>
      <c r="BK941" s="570">
        <f t="shared" si="3191"/>
        <v>0</v>
      </c>
      <c r="BL941" s="570">
        <f t="shared" si="3191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3120"/>
        <v>0</v>
      </c>
      <c r="CA941" s="373">
        <f t="shared" si="3121"/>
        <v>0</v>
      </c>
      <c r="CB941" s="373">
        <f t="shared" si="3122"/>
        <v>65.714285714285708</v>
      </c>
      <c r="CC941" s="373">
        <f t="shared" si="3123"/>
        <v>14.280000000000005</v>
      </c>
      <c r="CD941" s="1109" t="str">
        <f t="shared" si="3151"/>
        <v/>
      </c>
      <c r="CE941" s="1110" t="str">
        <f t="shared" si="3125"/>
        <v/>
      </c>
      <c r="CF941" s="1111" t="str">
        <f t="shared" si="3125"/>
        <v/>
      </c>
      <c r="CG941" s="1111" t="str">
        <f t="shared" si="3125"/>
        <v/>
      </c>
      <c r="CH941" s="1111">
        <f t="shared" si="3125"/>
        <v>0</v>
      </c>
      <c r="CI941" s="1111">
        <f t="shared" si="3125"/>
        <v>0</v>
      </c>
      <c r="CJ941" s="1111">
        <f t="shared" si="3125"/>
        <v>0</v>
      </c>
      <c r="CK941" s="1112">
        <f t="shared" si="3125"/>
        <v>0</v>
      </c>
      <c r="CL941" s="1112">
        <f t="shared" si="3125"/>
        <v>0</v>
      </c>
      <c r="CM941" s="1112">
        <f t="shared" si="3125"/>
        <v>0</v>
      </c>
      <c r="CN941" s="1111">
        <f t="shared" si="3125"/>
        <v>0</v>
      </c>
      <c r="CO941" s="1111">
        <f t="shared" si="3125"/>
        <v>0</v>
      </c>
      <c r="CP941" s="1111">
        <f t="shared" si="3125"/>
        <v>0</v>
      </c>
      <c r="CQ941" s="1111" t="str">
        <f t="shared" si="3125"/>
        <v/>
      </c>
      <c r="CR941" s="1111" t="str">
        <f t="shared" si="3125"/>
        <v/>
      </c>
      <c r="CS941" s="1110" t="str">
        <f t="shared" si="3125"/>
        <v/>
      </c>
      <c r="CT941" s="1113" t="str">
        <f t="shared" si="3125"/>
        <v/>
      </c>
      <c r="CU941" s="324" t="str">
        <f t="shared" si="3126"/>
        <v/>
      </c>
      <c r="CV941" s="325" t="str">
        <f t="shared" si="3127"/>
        <v/>
      </c>
      <c r="CW941" s="326" t="str">
        <f t="shared" si="3128"/>
        <v/>
      </c>
      <c r="CX941" s="326" t="str">
        <f t="shared" si="3129"/>
        <v/>
      </c>
      <c r="CY941" s="326">
        <f t="shared" si="3130"/>
        <v>0</v>
      </c>
      <c r="CZ941" s="326">
        <f t="shared" si="3131"/>
        <v>0</v>
      </c>
      <c r="DA941" s="326">
        <f t="shared" si="3132"/>
        <v>0</v>
      </c>
      <c r="DB941" s="327">
        <f t="shared" si="3133"/>
        <v>0</v>
      </c>
      <c r="DC941" s="327">
        <f t="shared" si="3134"/>
        <v>0</v>
      </c>
      <c r="DD941" s="327">
        <f t="shared" si="3135"/>
        <v>0</v>
      </c>
      <c r="DE941" s="326">
        <f t="shared" si="3136"/>
        <v>0</v>
      </c>
      <c r="DF941" s="326">
        <f t="shared" si="3137"/>
        <v>0</v>
      </c>
      <c r="DG941" s="326">
        <f t="shared" si="3138"/>
        <v>0</v>
      </c>
      <c r="DH941" s="326" t="str">
        <f t="shared" si="3139"/>
        <v/>
      </c>
      <c r="DI941" s="326" t="str">
        <f t="shared" si="3140"/>
        <v/>
      </c>
      <c r="DJ941" s="325" t="str">
        <f t="shared" si="3141"/>
        <v/>
      </c>
      <c r="DK941" s="324" t="str">
        <f t="shared" si="3142"/>
        <v/>
      </c>
      <c r="DL941" s="428">
        <f t="shared" si="3143"/>
        <v>9</v>
      </c>
      <c r="DM941" s="66">
        <f t="shared" si="3144"/>
        <v>9</v>
      </c>
      <c r="DN941" s="66">
        <f t="shared" si="3145"/>
        <v>9</v>
      </c>
      <c r="DO941" s="66">
        <f t="shared" si="3146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3192">SUM(B326)</f>
        <v>0</v>
      </c>
      <c r="C942" s="570">
        <f t="shared" si="3192"/>
        <v>0</v>
      </c>
      <c r="D942" s="570">
        <f t="shared" si="3192"/>
        <v>0</v>
      </c>
      <c r="E942" s="570">
        <f t="shared" si="3192"/>
        <v>0</v>
      </c>
      <c r="F942" s="570">
        <f t="shared" si="3192"/>
        <v>0</v>
      </c>
      <c r="G942" s="570">
        <f t="shared" si="3192"/>
        <v>0</v>
      </c>
      <c r="H942" s="570">
        <f t="shared" si="3192"/>
        <v>0</v>
      </c>
      <c r="I942" s="570">
        <f t="shared" si="3192"/>
        <v>0</v>
      </c>
      <c r="J942" s="570">
        <f t="shared" si="3192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3193">SUM(T326)</f>
        <v>0</v>
      </c>
      <c r="U942" s="570">
        <f t="shared" si="3193"/>
        <v>0</v>
      </c>
      <c r="V942" s="570">
        <f t="shared" si="3193"/>
        <v>0</v>
      </c>
      <c r="W942" s="570">
        <f t="shared" si="3193"/>
        <v>0</v>
      </c>
      <c r="X942" s="570">
        <f t="shared" si="3193"/>
        <v>0</v>
      </c>
      <c r="Y942" s="570">
        <f t="shared" si="3193"/>
        <v>0</v>
      </c>
      <c r="Z942" s="570">
        <f t="shared" si="3193"/>
        <v>0</v>
      </c>
      <c r="AA942" s="570">
        <f t="shared" si="3193"/>
        <v>0</v>
      </c>
      <c r="AB942" s="570">
        <f t="shared" si="3193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3194">SUM(AL326)</f>
        <v>0</v>
      </c>
      <c r="AM942" s="570">
        <f t="shared" si="3194"/>
        <v>0</v>
      </c>
      <c r="AN942" s="570">
        <f t="shared" si="3194"/>
        <v>0</v>
      </c>
      <c r="AO942" s="570">
        <f t="shared" si="3194"/>
        <v>0</v>
      </c>
      <c r="AP942" s="570">
        <f t="shared" si="3194"/>
        <v>0</v>
      </c>
      <c r="AQ942" s="570">
        <f t="shared" si="3194"/>
        <v>0</v>
      </c>
      <c r="AR942" s="570">
        <f t="shared" si="3194"/>
        <v>0</v>
      </c>
      <c r="AS942" s="570">
        <f t="shared" si="3194"/>
        <v>0</v>
      </c>
      <c r="AT942" s="570">
        <f t="shared" si="3194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3195">SUM(BD326)</f>
        <v>0</v>
      </c>
      <c r="BE942" s="570">
        <f t="shared" si="3195"/>
        <v>0</v>
      </c>
      <c r="BF942" s="570">
        <f t="shared" si="3195"/>
        <v>0</v>
      </c>
      <c r="BG942" s="570">
        <f t="shared" si="3195"/>
        <v>0</v>
      </c>
      <c r="BH942" s="570">
        <f t="shared" si="3195"/>
        <v>0</v>
      </c>
      <c r="BI942" s="570">
        <f t="shared" si="3195"/>
        <v>0</v>
      </c>
      <c r="BJ942" s="570">
        <f t="shared" si="3195"/>
        <v>0</v>
      </c>
      <c r="BK942" s="570">
        <f t="shared" si="3195"/>
        <v>0</v>
      </c>
      <c r="BL942" s="570">
        <f t="shared" si="3195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3120"/>
        <v>0</v>
      </c>
      <c r="CA942" s="373">
        <f t="shared" si="3121"/>
        <v>0</v>
      </c>
      <c r="CB942" s="373">
        <f t="shared" si="3122"/>
        <v>0</v>
      </c>
      <c r="CC942" s="373">
        <f t="shared" si="3123"/>
        <v>0</v>
      </c>
      <c r="CD942" s="1109" t="str">
        <f t="shared" si="3151"/>
        <v/>
      </c>
      <c r="CE942" s="1110" t="str">
        <f t="shared" si="3125"/>
        <v/>
      </c>
      <c r="CF942" s="1111" t="str">
        <f t="shared" si="3125"/>
        <v/>
      </c>
      <c r="CG942" s="1111" t="str">
        <f t="shared" si="3125"/>
        <v/>
      </c>
      <c r="CH942" s="1111">
        <f t="shared" si="3125"/>
        <v>0</v>
      </c>
      <c r="CI942" s="1111">
        <f t="shared" si="3125"/>
        <v>0</v>
      </c>
      <c r="CJ942" s="1111">
        <f t="shared" si="3125"/>
        <v>0</v>
      </c>
      <c r="CK942" s="1112">
        <f t="shared" si="3125"/>
        <v>0</v>
      </c>
      <c r="CL942" s="1112">
        <f t="shared" si="3125"/>
        <v>0</v>
      </c>
      <c r="CM942" s="1112">
        <f t="shared" si="3125"/>
        <v>0</v>
      </c>
      <c r="CN942" s="1111">
        <f t="shared" si="3125"/>
        <v>0</v>
      </c>
      <c r="CO942" s="1111">
        <f t="shared" si="3125"/>
        <v>0</v>
      </c>
      <c r="CP942" s="1111">
        <f t="shared" si="3125"/>
        <v>0</v>
      </c>
      <c r="CQ942" s="1111" t="str">
        <f t="shared" si="3125"/>
        <v/>
      </c>
      <c r="CR942" s="1111" t="str">
        <f t="shared" si="3125"/>
        <v/>
      </c>
      <c r="CS942" s="1110" t="str">
        <f t="shared" si="3125"/>
        <v/>
      </c>
      <c r="CT942" s="1113" t="str">
        <f t="shared" si="3125"/>
        <v/>
      </c>
      <c r="CU942" s="324" t="str">
        <f t="shared" si="3126"/>
        <v/>
      </c>
      <c r="CV942" s="325" t="str">
        <f t="shared" si="3127"/>
        <v/>
      </c>
      <c r="CW942" s="326" t="str">
        <f t="shared" si="3128"/>
        <v/>
      </c>
      <c r="CX942" s="326" t="str">
        <f t="shared" si="3129"/>
        <v/>
      </c>
      <c r="CY942" s="326">
        <f t="shared" si="3130"/>
        <v>0</v>
      </c>
      <c r="CZ942" s="326">
        <f t="shared" si="3131"/>
        <v>0</v>
      </c>
      <c r="DA942" s="326">
        <f t="shared" si="3132"/>
        <v>0</v>
      </c>
      <c r="DB942" s="327">
        <f t="shared" si="3133"/>
        <v>0</v>
      </c>
      <c r="DC942" s="327">
        <f t="shared" si="3134"/>
        <v>0</v>
      </c>
      <c r="DD942" s="327">
        <f t="shared" si="3135"/>
        <v>0</v>
      </c>
      <c r="DE942" s="326">
        <f t="shared" si="3136"/>
        <v>0</v>
      </c>
      <c r="DF942" s="326">
        <f t="shared" si="3137"/>
        <v>0</v>
      </c>
      <c r="DG942" s="326">
        <f t="shared" si="3138"/>
        <v>0</v>
      </c>
      <c r="DH942" s="326" t="str">
        <f t="shared" si="3139"/>
        <v/>
      </c>
      <c r="DI942" s="326" t="str">
        <f t="shared" si="3140"/>
        <v/>
      </c>
      <c r="DJ942" s="325" t="str">
        <f t="shared" si="3141"/>
        <v/>
      </c>
      <c r="DK942" s="324" t="str">
        <f t="shared" si="3142"/>
        <v/>
      </c>
      <c r="DL942" s="428">
        <f t="shared" si="3143"/>
        <v>9</v>
      </c>
      <c r="DM942" s="66">
        <f t="shared" si="3144"/>
        <v>9</v>
      </c>
      <c r="DN942" s="66">
        <f t="shared" si="3145"/>
        <v>9</v>
      </c>
      <c r="DO942" s="66">
        <f t="shared" si="3146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3196">SUM(B336)</f>
        <v>0</v>
      </c>
      <c r="C943" s="570">
        <f t="shared" si="3196"/>
        <v>0</v>
      </c>
      <c r="D943" s="570">
        <f t="shared" si="3196"/>
        <v>0</v>
      </c>
      <c r="E943" s="570">
        <f t="shared" si="3196"/>
        <v>0</v>
      </c>
      <c r="F943" s="570">
        <f t="shared" si="3196"/>
        <v>60</v>
      </c>
      <c r="G943" s="570">
        <f t="shared" si="3196"/>
        <v>60</v>
      </c>
      <c r="H943" s="570">
        <f t="shared" si="3196"/>
        <v>0</v>
      </c>
      <c r="I943" s="570">
        <f t="shared" si="3196"/>
        <v>0</v>
      </c>
      <c r="J943" s="570">
        <f t="shared" si="3196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3197">SUM(T336)</f>
        <v>0</v>
      </c>
      <c r="U943" s="570">
        <f t="shared" si="3197"/>
        <v>0</v>
      </c>
      <c r="V943" s="570">
        <f t="shared" si="3197"/>
        <v>0</v>
      </c>
      <c r="W943" s="570">
        <f t="shared" si="3197"/>
        <v>0</v>
      </c>
      <c r="X943" s="570">
        <f t="shared" si="3197"/>
        <v>10</v>
      </c>
      <c r="Y943" s="570">
        <f t="shared" si="3197"/>
        <v>0</v>
      </c>
      <c r="Z943" s="570">
        <f t="shared" si="3197"/>
        <v>0</v>
      </c>
      <c r="AA943" s="570">
        <f t="shared" si="3197"/>
        <v>0</v>
      </c>
      <c r="AB943" s="570">
        <f t="shared" si="3197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3198">SUM(AL336)</f>
        <v>96</v>
      </c>
      <c r="AM943" s="570">
        <f t="shared" si="3198"/>
        <v>100</v>
      </c>
      <c r="AN943" s="570">
        <f t="shared" si="3198"/>
        <v>75</v>
      </c>
      <c r="AO943" s="570">
        <f t="shared" si="3198"/>
        <v>35</v>
      </c>
      <c r="AP943" s="570">
        <f t="shared" si="3198"/>
        <v>0</v>
      </c>
      <c r="AQ943" s="570">
        <f t="shared" si="3198"/>
        <v>300</v>
      </c>
      <c r="AR943" s="570">
        <f t="shared" si="3198"/>
        <v>0</v>
      </c>
      <c r="AS943" s="570">
        <f t="shared" si="3198"/>
        <v>0</v>
      </c>
      <c r="AT943" s="570">
        <f t="shared" si="3198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3199">SUM(BD336)</f>
        <v>630</v>
      </c>
      <c r="BE943" s="570">
        <f t="shared" si="3199"/>
        <v>0</v>
      </c>
      <c r="BF943" s="570">
        <f t="shared" si="3199"/>
        <v>0</v>
      </c>
      <c r="BG943" s="570">
        <f t="shared" si="3199"/>
        <v>600</v>
      </c>
      <c r="BH943" s="570">
        <f t="shared" si="3199"/>
        <v>0</v>
      </c>
      <c r="BI943" s="570">
        <f t="shared" si="3199"/>
        <v>0</v>
      </c>
      <c r="BJ943" s="570">
        <f t="shared" si="3199"/>
        <v>0</v>
      </c>
      <c r="BK943" s="570">
        <f t="shared" si="3199"/>
        <v>0</v>
      </c>
      <c r="BL943" s="570">
        <f t="shared" si="3199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3120"/>
        <v>8.5714285714285712</v>
      </c>
      <c r="CA943" s="373">
        <f t="shared" si="3121"/>
        <v>0</v>
      </c>
      <c r="CB943" s="373">
        <f t="shared" si="3122"/>
        <v>75.857142857142861</v>
      </c>
      <c r="CC943" s="373">
        <f t="shared" si="3123"/>
        <v>85.714285714285708</v>
      </c>
      <c r="CD943" s="1109" t="str">
        <f t="shared" si="3151"/>
        <v/>
      </c>
      <c r="CE943" s="1110" t="str">
        <f t="shared" si="3125"/>
        <v/>
      </c>
      <c r="CF943" s="1111" t="str">
        <f t="shared" si="3125"/>
        <v/>
      </c>
      <c r="CG943" s="1111" t="str">
        <f t="shared" si="3125"/>
        <v/>
      </c>
      <c r="CH943" s="1111">
        <f t="shared" si="3125"/>
        <v>0</v>
      </c>
      <c r="CI943" s="1111">
        <f t="shared" si="3125"/>
        <v>0</v>
      </c>
      <c r="CJ943" s="1111">
        <f t="shared" si="3125"/>
        <v>0</v>
      </c>
      <c r="CK943" s="1112">
        <f t="shared" si="3125"/>
        <v>0</v>
      </c>
      <c r="CL943" s="1112">
        <f t="shared" si="3125"/>
        <v>0</v>
      </c>
      <c r="CM943" s="1112">
        <f t="shared" si="3125"/>
        <v>0</v>
      </c>
      <c r="CN943" s="1111">
        <f t="shared" si="3125"/>
        <v>0</v>
      </c>
      <c r="CO943" s="1111">
        <f t="shared" si="3125"/>
        <v>60</v>
      </c>
      <c r="CP943" s="1111">
        <f t="shared" si="3125"/>
        <v>60</v>
      </c>
      <c r="CQ943" s="1111" t="str">
        <f t="shared" si="3125"/>
        <v/>
      </c>
      <c r="CR943" s="1111" t="str">
        <f t="shared" si="3125"/>
        <v/>
      </c>
      <c r="CS943" s="1110" t="str">
        <f t="shared" si="3125"/>
        <v/>
      </c>
      <c r="CT943" s="1113" t="str">
        <f t="shared" si="3125"/>
        <v/>
      </c>
      <c r="CU943" s="324" t="str">
        <f t="shared" si="3126"/>
        <v/>
      </c>
      <c r="CV943" s="325" t="str">
        <f t="shared" si="3127"/>
        <v/>
      </c>
      <c r="CW943" s="326" t="str">
        <f t="shared" si="3128"/>
        <v/>
      </c>
      <c r="CX943" s="326" t="str">
        <f t="shared" si="3129"/>
        <v/>
      </c>
      <c r="CY943" s="326">
        <f t="shared" si="3130"/>
        <v>0</v>
      </c>
      <c r="CZ943" s="326">
        <f t="shared" si="3131"/>
        <v>0</v>
      </c>
      <c r="DA943" s="326">
        <f t="shared" si="3132"/>
        <v>0</v>
      </c>
      <c r="DB943" s="327">
        <f t="shared" si="3133"/>
        <v>0</v>
      </c>
      <c r="DC943" s="327">
        <f t="shared" si="3134"/>
        <v>0</v>
      </c>
      <c r="DD943" s="327">
        <f t="shared" si="3135"/>
        <v>0</v>
      </c>
      <c r="DE943" s="326">
        <f t="shared" si="3136"/>
        <v>0</v>
      </c>
      <c r="DF943" s="326">
        <f t="shared" si="3137"/>
        <v>0</v>
      </c>
      <c r="DG943" s="326">
        <f t="shared" si="3138"/>
        <v>10</v>
      </c>
      <c r="DH943" s="326" t="str">
        <f t="shared" si="3139"/>
        <v/>
      </c>
      <c r="DI943" s="326" t="str">
        <f t="shared" si="3140"/>
        <v/>
      </c>
      <c r="DJ943" s="325" t="str">
        <f t="shared" si="3141"/>
        <v/>
      </c>
      <c r="DK943" s="324" t="str">
        <f t="shared" si="3142"/>
        <v/>
      </c>
      <c r="DL943" s="428">
        <f t="shared" si="3143"/>
        <v>9</v>
      </c>
      <c r="DM943" s="66">
        <f t="shared" si="3144"/>
        <v>9</v>
      </c>
      <c r="DN943" s="66">
        <f t="shared" si="3145"/>
        <v>9</v>
      </c>
      <c r="DO943" s="66">
        <f t="shared" si="3146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3200">SUM(B346)</f>
        <v>0</v>
      </c>
      <c r="C944" s="570">
        <f t="shared" si="3200"/>
        <v>0</v>
      </c>
      <c r="D944" s="570">
        <f t="shared" si="3200"/>
        <v>0</v>
      </c>
      <c r="E944" s="570">
        <f t="shared" si="3200"/>
        <v>0</v>
      </c>
      <c r="F944" s="570">
        <f t="shared" si="3200"/>
        <v>0</v>
      </c>
      <c r="G944" s="570">
        <f t="shared" si="3200"/>
        <v>0</v>
      </c>
      <c r="H944" s="570">
        <f t="shared" si="3200"/>
        <v>0</v>
      </c>
      <c r="I944" s="570">
        <f t="shared" si="3200"/>
        <v>25</v>
      </c>
      <c r="J944" s="570">
        <f t="shared" si="3200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3201">SUM(T346)</f>
        <v>15</v>
      </c>
      <c r="U944" s="570">
        <f t="shared" si="3201"/>
        <v>0</v>
      </c>
      <c r="V944" s="570">
        <f t="shared" si="3201"/>
        <v>60</v>
      </c>
      <c r="W944" s="570">
        <f t="shared" si="3201"/>
        <v>0</v>
      </c>
      <c r="X944" s="570">
        <f t="shared" si="3201"/>
        <v>0</v>
      </c>
      <c r="Y944" s="570">
        <f t="shared" si="3201"/>
        <v>0</v>
      </c>
      <c r="Z944" s="570">
        <f t="shared" si="3201"/>
        <v>0</v>
      </c>
      <c r="AA944" s="570">
        <f t="shared" si="3201"/>
        <v>0</v>
      </c>
      <c r="AB944" s="570">
        <f t="shared" si="3201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3202">SUM(AL346)</f>
        <v>800</v>
      </c>
      <c r="AM944" s="570">
        <f t="shared" si="3202"/>
        <v>180</v>
      </c>
      <c r="AN944" s="570">
        <f t="shared" si="3202"/>
        <v>60</v>
      </c>
      <c r="AO944" s="570">
        <f t="shared" si="3202"/>
        <v>900</v>
      </c>
      <c r="AP944" s="570">
        <f t="shared" si="3202"/>
        <v>0</v>
      </c>
      <c r="AQ944" s="570">
        <f t="shared" si="3202"/>
        <v>600</v>
      </c>
      <c r="AR944" s="570">
        <f t="shared" si="3202"/>
        <v>240</v>
      </c>
      <c r="AS944" s="570">
        <f t="shared" si="3202"/>
        <v>50</v>
      </c>
      <c r="AT944" s="570">
        <f t="shared" si="3202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3203">SUM(BD346)</f>
        <v>50</v>
      </c>
      <c r="BE944" s="570">
        <f t="shared" si="3203"/>
        <v>0</v>
      </c>
      <c r="BF944" s="570">
        <f t="shared" si="3203"/>
        <v>900</v>
      </c>
      <c r="BG944" s="570">
        <f t="shared" si="3203"/>
        <v>0</v>
      </c>
      <c r="BH944" s="570">
        <f t="shared" si="3203"/>
        <v>2250</v>
      </c>
      <c r="BI944" s="570">
        <f t="shared" si="3203"/>
        <v>60</v>
      </c>
      <c r="BJ944" s="570">
        <f t="shared" si="3203"/>
        <v>480</v>
      </c>
      <c r="BK944" s="570">
        <f t="shared" si="3203"/>
        <v>1200</v>
      </c>
      <c r="BL944" s="570">
        <f t="shared" si="3203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3120"/>
        <v>0</v>
      </c>
      <c r="CA944" s="373">
        <f t="shared" si="3121"/>
        <v>2.1428571428571428</v>
      </c>
      <c r="CB944" s="373">
        <f t="shared" si="3122"/>
        <v>311.42857142857144</v>
      </c>
      <c r="CC944" s="373">
        <f t="shared" si="3123"/>
        <v>384.28571428571428</v>
      </c>
      <c r="CD944" s="1109" t="str">
        <f t="shared" si="3151"/>
        <v/>
      </c>
      <c r="CE944" s="1110" t="str">
        <f t="shared" si="3125"/>
        <v/>
      </c>
      <c r="CF944" s="1111" t="str">
        <f t="shared" si="3125"/>
        <v/>
      </c>
      <c r="CG944" s="1111" t="str">
        <f t="shared" si="3125"/>
        <v/>
      </c>
      <c r="CH944" s="1111">
        <f t="shared" si="3125"/>
        <v>0</v>
      </c>
      <c r="CI944" s="1111">
        <f t="shared" si="3125"/>
        <v>0</v>
      </c>
      <c r="CJ944" s="1111">
        <f t="shared" si="3125"/>
        <v>0</v>
      </c>
      <c r="CK944" s="1112">
        <f t="shared" si="3125"/>
        <v>0</v>
      </c>
      <c r="CL944" s="1112">
        <f t="shared" si="3125"/>
        <v>0</v>
      </c>
      <c r="CM944" s="1112">
        <f t="shared" si="3125"/>
        <v>0</v>
      </c>
      <c r="CN944" s="1111">
        <f t="shared" si="3125"/>
        <v>0</v>
      </c>
      <c r="CO944" s="1111">
        <f t="shared" si="3125"/>
        <v>0</v>
      </c>
      <c r="CP944" s="1111">
        <f t="shared" si="3125"/>
        <v>25</v>
      </c>
      <c r="CQ944" s="1111" t="str">
        <f t="shared" si="3125"/>
        <v/>
      </c>
      <c r="CR944" s="1111" t="str">
        <f t="shared" si="3125"/>
        <v/>
      </c>
      <c r="CS944" s="1110" t="str">
        <f t="shared" si="3125"/>
        <v/>
      </c>
      <c r="CT944" s="1113" t="str">
        <f t="shared" si="3125"/>
        <v/>
      </c>
      <c r="CU944" s="324" t="str">
        <f t="shared" si="3126"/>
        <v/>
      </c>
      <c r="CV944" s="325" t="str">
        <f t="shared" si="3127"/>
        <v/>
      </c>
      <c r="CW944" s="326" t="str">
        <f t="shared" si="3128"/>
        <v/>
      </c>
      <c r="CX944" s="326" t="str">
        <f t="shared" si="3129"/>
        <v/>
      </c>
      <c r="CY944" s="326">
        <f t="shared" si="3130"/>
        <v>0</v>
      </c>
      <c r="CZ944" s="326">
        <f t="shared" si="3131"/>
        <v>0</v>
      </c>
      <c r="DA944" s="326">
        <f t="shared" si="3132"/>
        <v>0</v>
      </c>
      <c r="DB944" s="327">
        <f t="shared" si="3133"/>
        <v>0</v>
      </c>
      <c r="DC944" s="327">
        <f t="shared" si="3134"/>
        <v>0</v>
      </c>
      <c r="DD944" s="327">
        <f t="shared" si="3135"/>
        <v>0</v>
      </c>
      <c r="DE944" s="326">
        <f t="shared" si="3136"/>
        <v>0</v>
      </c>
      <c r="DF944" s="326">
        <f t="shared" si="3137"/>
        <v>15</v>
      </c>
      <c r="DG944" s="326">
        <f t="shared" si="3138"/>
        <v>60</v>
      </c>
      <c r="DH944" s="326" t="str">
        <f t="shared" si="3139"/>
        <v/>
      </c>
      <c r="DI944" s="326" t="str">
        <f t="shared" si="3140"/>
        <v/>
      </c>
      <c r="DJ944" s="325" t="str">
        <f t="shared" si="3141"/>
        <v/>
      </c>
      <c r="DK944" s="324" t="str">
        <f t="shared" si="3142"/>
        <v/>
      </c>
      <c r="DL944" s="428">
        <f t="shared" si="3143"/>
        <v>9</v>
      </c>
      <c r="DM944" s="66">
        <f t="shared" si="3144"/>
        <v>9</v>
      </c>
      <c r="DN944" s="66">
        <f t="shared" si="3145"/>
        <v>9</v>
      </c>
      <c r="DO944" s="66">
        <f t="shared" si="3146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3204">SUM(B356)</f>
        <v>0</v>
      </c>
      <c r="C945" s="570">
        <f t="shared" si="3204"/>
        <v>0</v>
      </c>
      <c r="D945" s="570">
        <f t="shared" si="3204"/>
        <v>0</v>
      </c>
      <c r="E945" s="570">
        <f t="shared" si="3204"/>
        <v>0</v>
      </c>
      <c r="F945" s="570">
        <f t="shared" si="3204"/>
        <v>0</v>
      </c>
      <c r="G945" s="570">
        <f t="shared" si="3204"/>
        <v>0</v>
      </c>
      <c r="H945" s="570">
        <f t="shared" si="3204"/>
        <v>0</v>
      </c>
      <c r="I945" s="570">
        <f t="shared" si="3204"/>
        <v>0</v>
      </c>
      <c r="J945" s="570">
        <f t="shared" si="3204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3205">SUM(T356)</f>
        <v>0</v>
      </c>
      <c r="U945" s="570">
        <f t="shared" si="3205"/>
        <v>10</v>
      </c>
      <c r="V945" s="570">
        <f t="shared" si="3205"/>
        <v>0</v>
      </c>
      <c r="W945" s="570">
        <f t="shared" si="3205"/>
        <v>0</v>
      </c>
      <c r="X945" s="570">
        <f t="shared" si="3205"/>
        <v>0</v>
      </c>
      <c r="Y945" s="570">
        <f t="shared" si="3205"/>
        <v>0</v>
      </c>
      <c r="Z945" s="570">
        <f t="shared" si="3205"/>
        <v>0</v>
      </c>
      <c r="AA945" s="570">
        <f t="shared" si="3205"/>
        <v>0</v>
      </c>
      <c r="AB945" s="570">
        <f t="shared" si="3205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3206">SUM(AL356)</f>
        <v>0</v>
      </c>
      <c r="AM945" s="570">
        <f t="shared" si="3206"/>
        <v>0</v>
      </c>
      <c r="AN945" s="570">
        <f t="shared" si="3206"/>
        <v>0</v>
      </c>
      <c r="AO945" s="570">
        <f t="shared" si="3206"/>
        <v>0</v>
      </c>
      <c r="AP945" s="570">
        <f t="shared" si="3206"/>
        <v>0</v>
      </c>
      <c r="AQ945" s="570">
        <f t="shared" si="3206"/>
        <v>0</v>
      </c>
      <c r="AR945" s="570">
        <f t="shared" si="3206"/>
        <v>0</v>
      </c>
      <c r="AS945" s="570">
        <f t="shared" si="3206"/>
        <v>0</v>
      </c>
      <c r="AT945" s="570">
        <f t="shared" si="3206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3207">SUM(BD356)</f>
        <v>623.29999999999995</v>
      </c>
      <c r="BE945" s="570">
        <f t="shared" si="3207"/>
        <v>0</v>
      </c>
      <c r="BF945" s="570">
        <f t="shared" si="3207"/>
        <v>1900</v>
      </c>
      <c r="BG945" s="570">
        <f t="shared" si="3207"/>
        <v>0</v>
      </c>
      <c r="BH945" s="570">
        <f t="shared" si="3207"/>
        <v>0</v>
      </c>
      <c r="BI945" s="570">
        <f t="shared" si="3207"/>
        <v>0</v>
      </c>
      <c r="BJ945" s="570">
        <f t="shared" si="3207"/>
        <v>1000</v>
      </c>
      <c r="BK945" s="570">
        <f t="shared" si="3207"/>
        <v>150</v>
      </c>
      <c r="BL945" s="570">
        <f t="shared" si="3207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3120"/>
        <v>0</v>
      </c>
      <c r="CA945" s="373">
        <f t="shared" si="3121"/>
        <v>0</v>
      </c>
      <c r="CB945" s="373">
        <f t="shared" si="3122"/>
        <v>0</v>
      </c>
      <c r="CC945" s="373">
        <f t="shared" si="3123"/>
        <v>253.32857142857145</v>
      </c>
      <c r="CD945" s="1109" t="str">
        <f t="shared" si="3151"/>
        <v/>
      </c>
      <c r="CE945" s="1110" t="str">
        <f t="shared" si="3125"/>
        <v/>
      </c>
      <c r="CF945" s="1111" t="str">
        <f t="shared" si="3125"/>
        <v/>
      </c>
      <c r="CG945" s="1111" t="str">
        <f t="shared" si="3125"/>
        <v/>
      </c>
      <c r="CH945" s="1111">
        <f t="shared" si="3125"/>
        <v>0</v>
      </c>
      <c r="CI945" s="1111">
        <f t="shared" si="3125"/>
        <v>0</v>
      </c>
      <c r="CJ945" s="1111">
        <f t="shared" si="3125"/>
        <v>0</v>
      </c>
      <c r="CK945" s="1112">
        <f t="shared" si="3125"/>
        <v>0</v>
      </c>
      <c r="CL945" s="1112">
        <f t="shared" si="3125"/>
        <v>0</v>
      </c>
      <c r="CM945" s="1112">
        <f t="shared" si="3125"/>
        <v>0</v>
      </c>
      <c r="CN945" s="1111">
        <f t="shared" si="3125"/>
        <v>0</v>
      </c>
      <c r="CO945" s="1111">
        <f t="shared" si="3125"/>
        <v>0</v>
      </c>
      <c r="CP945" s="1111">
        <f t="shared" si="3125"/>
        <v>0</v>
      </c>
      <c r="CQ945" s="1111" t="str">
        <f t="shared" si="3125"/>
        <v/>
      </c>
      <c r="CR945" s="1111" t="str">
        <f t="shared" si="3125"/>
        <v/>
      </c>
      <c r="CS945" s="1110" t="str">
        <f t="shared" si="3125"/>
        <v/>
      </c>
      <c r="CT945" s="1113" t="str">
        <f t="shared" si="3125"/>
        <v/>
      </c>
      <c r="CU945" s="324" t="str">
        <f t="shared" si="3126"/>
        <v/>
      </c>
      <c r="CV945" s="325" t="str">
        <f t="shared" si="3127"/>
        <v/>
      </c>
      <c r="CW945" s="326" t="str">
        <f t="shared" si="3128"/>
        <v/>
      </c>
      <c r="CX945" s="326" t="str">
        <f t="shared" si="3129"/>
        <v/>
      </c>
      <c r="CY945" s="326">
        <f t="shared" si="3130"/>
        <v>0</v>
      </c>
      <c r="CZ945" s="326">
        <f t="shared" si="3131"/>
        <v>0</v>
      </c>
      <c r="DA945" s="326">
        <f t="shared" si="3132"/>
        <v>0</v>
      </c>
      <c r="DB945" s="327">
        <f t="shared" si="3133"/>
        <v>0</v>
      </c>
      <c r="DC945" s="327">
        <f t="shared" si="3134"/>
        <v>0</v>
      </c>
      <c r="DD945" s="327">
        <f t="shared" si="3135"/>
        <v>0</v>
      </c>
      <c r="DE945" s="326">
        <f t="shared" si="3136"/>
        <v>0</v>
      </c>
      <c r="DF945" s="326">
        <f t="shared" si="3137"/>
        <v>0</v>
      </c>
      <c r="DG945" s="326">
        <f t="shared" si="3138"/>
        <v>10</v>
      </c>
      <c r="DH945" s="326" t="str">
        <f t="shared" si="3139"/>
        <v/>
      </c>
      <c r="DI945" s="326" t="str">
        <f t="shared" si="3140"/>
        <v/>
      </c>
      <c r="DJ945" s="325" t="str">
        <f t="shared" si="3141"/>
        <v/>
      </c>
      <c r="DK945" s="324" t="str">
        <f t="shared" si="3142"/>
        <v/>
      </c>
      <c r="DL945" s="428">
        <f t="shared" si="3143"/>
        <v>9</v>
      </c>
      <c r="DM945" s="66">
        <f t="shared" si="3144"/>
        <v>9</v>
      </c>
      <c r="DN945" s="66">
        <f t="shared" si="3145"/>
        <v>9</v>
      </c>
      <c r="DO945" s="66">
        <f t="shared" si="3146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3208">SUM(B367)</f>
        <v>0</v>
      </c>
      <c r="C946" s="570">
        <f t="shared" si="3208"/>
        <v>0</v>
      </c>
      <c r="D946" s="570">
        <f t="shared" si="3208"/>
        <v>0</v>
      </c>
      <c r="E946" s="570">
        <f t="shared" si="3208"/>
        <v>0</v>
      </c>
      <c r="F946" s="570">
        <f t="shared" si="3208"/>
        <v>90</v>
      </c>
      <c r="G946" s="570">
        <f t="shared" si="3208"/>
        <v>0</v>
      </c>
      <c r="H946" s="570">
        <f t="shared" si="3208"/>
        <v>0</v>
      </c>
      <c r="I946" s="570">
        <f t="shared" si="3208"/>
        <v>20</v>
      </c>
      <c r="J946" s="570">
        <f t="shared" si="3208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3209">SUM(T367)</f>
        <v>0</v>
      </c>
      <c r="U946" s="570">
        <f t="shared" si="3209"/>
        <v>0</v>
      </c>
      <c r="V946" s="570">
        <f t="shared" si="3209"/>
        <v>0</v>
      </c>
      <c r="W946" s="570">
        <f t="shared" si="3209"/>
        <v>0</v>
      </c>
      <c r="X946" s="570">
        <f t="shared" si="3209"/>
        <v>24</v>
      </c>
      <c r="Y946" s="570">
        <f t="shared" si="3209"/>
        <v>45</v>
      </c>
      <c r="Z946" s="570">
        <f t="shared" si="3209"/>
        <v>0</v>
      </c>
      <c r="AA946" s="570">
        <f t="shared" si="3209"/>
        <v>0</v>
      </c>
      <c r="AB946" s="570">
        <f t="shared" si="3209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3210">SUM(AL367)</f>
        <v>540</v>
      </c>
      <c r="AM946" s="570">
        <f t="shared" si="3210"/>
        <v>612</v>
      </c>
      <c r="AN946" s="570">
        <f t="shared" si="3210"/>
        <v>0</v>
      </c>
      <c r="AO946" s="570">
        <f t="shared" si="3210"/>
        <v>144</v>
      </c>
      <c r="AP946" s="570">
        <f t="shared" si="3210"/>
        <v>540</v>
      </c>
      <c r="AQ946" s="570">
        <f t="shared" si="3210"/>
        <v>1380</v>
      </c>
      <c r="AR946" s="570">
        <f t="shared" si="3210"/>
        <v>489.99999999999994</v>
      </c>
      <c r="AS946" s="570">
        <f t="shared" si="3210"/>
        <v>160</v>
      </c>
      <c r="AT946" s="570">
        <f t="shared" si="3210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211">SUM(BD367)</f>
        <v>480</v>
      </c>
      <c r="BE946" s="570">
        <f t="shared" si="3211"/>
        <v>0</v>
      </c>
      <c r="BF946" s="570">
        <f t="shared" si="3211"/>
        <v>0</v>
      </c>
      <c r="BG946" s="570">
        <f t="shared" si="3211"/>
        <v>600</v>
      </c>
      <c r="BH946" s="570">
        <f t="shared" si="3211"/>
        <v>0</v>
      </c>
      <c r="BI946" s="570">
        <f t="shared" si="3211"/>
        <v>0</v>
      </c>
      <c r="BJ946" s="570">
        <f t="shared" si="3211"/>
        <v>0</v>
      </c>
      <c r="BK946" s="570">
        <f t="shared" si="3211"/>
        <v>352.24</v>
      </c>
      <c r="BL946" s="570">
        <f t="shared" si="3211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3120"/>
        <v>2.8571428571428572</v>
      </c>
      <c r="CA946" s="373">
        <f t="shared" si="3121"/>
        <v>3.4285714285714284</v>
      </c>
      <c r="CB946" s="373">
        <f t="shared" si="3122"/>
        <v>355.14285714285717</v>
      </c>
      <c r="CC946" s="373">
        <f t="shared" si="3123"/>
        <v>144.6057142857143</v>
      </c>
      <c r="CD946" s="1109" t="str">
        <f t="shared" si="3151"/>
        <v/>
      </c>
      <c r="CE946" s="1110" t="str">
        <f t="shared" si="3125"/>
        <v/>
      </c>
      <c r="CF946" s="1111" t="str">
        <f t="shared" si="3125"/>
        <v/>
      </c>
      <c r="CG946" s="1111" t="str">
        <f t="shared" si="3125"/>
        <v/>
      </c>
      <c r="CH946" s="1111">
        <f t="shared" si="3125"/>
        <v>0</v>
      </c>
      <c r="CI946" s="1111">
        <f t="shared" si="3125"/>
        <v>0</v>
      </c>
      <c r="CJ946" s="1111">
        <f t="shared" si="3125"/>
        <v>0</v>
      </c>
      <c r="CK946" s="1112">
        <f t="shared" si="3125"/>
        <v>0</v>
      </c>
      <c r="CL946" s="1112">
        <f t="shared" si="3125"/>
        <v>0</v>
      </c>
      <c r="CM946" s="1112">
        <f t="shared" si="3125"/>
        <v>0</v>
      </c>
      <c r="CN946" s="1111">
        <f t="shared" si="3125"/>
        <v>0</v>
      </c>
      <c r="CO946" s="1111">
        <f t="shared" si="3125"/>
        <v>20</v>
      </c>
      <c r="CP946" s="1111">
        <f t="shared" si="3125"/>
        <v>90</v>
      </c>
      <c r="CQ946" s="1111" t="str">
        <f t="shared" si="3125"/>
        <v/>
      </c>
      <c r="CR946" s="1111" t="str">
        <f t="shared" si="3125"/>
        <v/>
      </c>
      <c r="CS946" s="1110" t="str">
        <f t="shared" ref="CE946:CT959" si="321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3" t="str">
        <f t="shared" si="3212"/>
        <v/>
      </c>
      <c r="CU946" s="324" t="str">
        <f t="shared" si="3126"/>
        <v/>
      </c>
      <c r="CV946" s="325" t="str">
        <f t="shared" si="3127"/>
        <v/>
      </c>
      <c r="CW946" s="326" t="str">
        <f t="shared" si="3128"/>
        <v/>
      </c>
      <c r="CX946" s="326" t="str">
        <f t="shared" si="3129"/>
        <v/>
      </c>
      <c r="CY946" s="326">
        <f t="shared" si="3130"/>
        <v>0</v>
      </c>
      <c r="CZ946" s="326">
        <f t="shared" si="3131"/>
        <v>0</v>
      </c>
      <c r="DA946" s="326">
        <f t="shared" si="3132"/>
        <v>0</v>
      </c>
      <c r="DB946" s="327">
        <f t="shared" si="3133"/>
        <v>0</v>
      </c>
      <c r="DC946" s="327">
        <f t="shared" si="3134"/>
        <v>0</v>
      </c>
      <c r="DD946" s="327">
        <f t="shared" si="3135"/>
        <v>0</v>
      </c>
      <c r="DE946" s="326">
        <f t="shared" si="3136"/>
        <v>0</v>
      </c>
      <c r="DF946" s="326">
        <f t="shared" si="3137"/>
        <v>24</v>
      </c>
      <c r="DG946" s="326">
        <f t="shared" si="3138"/>
        <v>45</v>
      </c>
      <c r="DH946" s="326" t="str">
        <f t="shared" si="3139"/>
        <v/>
      </c>
      <c r="DI946" s="326" t="str">
        <f t="shared" si="3140"/>
        <v/>
      </c>
      <c r="DJ946" s="325" t="str">
        <f t="shared" si="3141"/>
        <v/>
      </c>
      <c r="DK946" s="324" t="str">
        <f t="shared" si="3142"/>
        <v/>
      </c>
      <c r="DL946" s="428">
        <f t="shared" si="3143"/>
        <v>9</v>
      </c>
      <c r="DM946" s="66">
        <f t="shared" si="3144"/>
        <v>9</v>
      </c>
      <c r="DN946" s="66">
        <f t="shared" si="3145"/>
        <v>9</v>
      </c>
      <c r="DO946" s="66">
        <f t="shared" si="3146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213">SUM(B378)</f>
        <v>0</v>
      </c>
      <c r="C947" s="570">
        <f t="shared" si="3213"/>
        <v>0</v>
      </c>
      <c r="D947" s="570">
        <f t="shared" si="3213"/>
        <v>0</v>
      </c>
      <c r="E947" s="570">
        <f t="shared" si="3213"/>
        <v>0</v>
      </c>
      <c r="F947" s="570">
        <f t="shared" si="3213"/>
        <v>0</v>
      </c>
      <c r="G947" s="570">
        <f t="shared" si="3213"/>
        <v>0</v>
      </c>
      <c r="H947" s="570">
        <f t="shared" si="3213"/>
        <v>0</v>
      </c>
      <c r="I947" s="570">
        <f t="shared" si="3213"/>
        <v>0</v>
      </c>
      <c r="J947" s="570">
        <f t="shared" si="3213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214">SUM(T378)</f>
        <v>0</v>
      </c>
      <c r="U947" s="570">
        <f t="shared" si="3214"/>
        <v>120</v>
      </c>
      <c r="V947" s="570">
        <f t="shared" si="3214"/>
        <v>160</v>
      </c>
      <c r="W947" s="570">
        <f t="shared" si="3214"/>
        <v>599.6</v>
      </c>
      <c r="X947" s="570">
        <f t="shared" si="3214"/>
        <v>0</v>
      </c>
      <c r="Y947" s="570">
        <f t="shared" si="3214"/>
        <v>300</v>
      </c>
      <c r="Z947" s="570">
        <f t="shared" si="3214"/>
        <v>0</v>
      </c>
      <c r="AA947" s="570">
        <f t="shared" si="3214"/>
        <v>70</v>
      </c>
      <c r="AB947" s="570">
        <f t="shared" si="3214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215">SUM(AL378)</f>
        <v>0</v>
      </c>
      <c r="AM947" s="570">
        <f t="shared" si="3215"/>
        <v>0</v>
      </c>
      <c r="AN947" s="570">
        <f t="shared" si="3215"/>
        <v>0</v>
      </c>
      <c r="AO947" s="570">
        <f t="shared" si="3215"/>
        <v>300</v>
      </c>
      <c r="AP947" s="570">
        <f t="shared" si="3215"/>
        <v>960</v>
      </c>
      <c r="AQ947" s="570">
        <f t="shared" si="3215"/>
        <v>0</v>
      </c>
      <c r="AR947" s="570">
        <f t="shared" si="3215"/>
        <v>200</v>
      </c>
      <c r="AS947" s="570">
        <f t="shared" si="3215"/>
        <v>40</v>
      </c>
      <c r="AT947" s="570">
        <f t="shared" si="3215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216">SUM(BD378)</f>
        <v>2470</v>
      </c>
      <c r="BE947" s="570">
        <f t="shared" si="3216"/>
        <v>2548</v>
      </c>
      <c r="BF947" s="570">
        <f t="shared" si="3216"/>
        <v>1170</v>
      </c>
      <c r="BG947" s="570">
        <f t="shared" si="3216"/>
        <v>0</v>
      </c>
      <c r="BH947" s="570">
        <f t="shared" si="3216"/>
        <v>1400</v>
      </c>
      <c r="BI947" s="570">
        <f t="shared" si="3216"/>
        <v>0</v>
      </c>
      <c r="BJ947" s="570">
        <f t="shared" si="3216"/>
        <v>4000</v>
      </c>
      <c r="BK947" s="570">
        <f t="shared" si="3216"/>
        <v>200</v>
      </c>
      <c r="BL947" s="570">
        <f t="shared" si="3216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3120"/>
        <v>0</v>
      </c>
      <c r="CA947" s="373">
        <f t="shared" si="3121"/>
        <v>92.857142857142847</v>
      </c>
      <c r="CB947" s="373">
        <f t="shared" si="3122"/>
        <v>77.142857142857139</v>
      </c>
      <c r="CC947" s="373">
        <f t="shared" si="3123"/>
        <v>1112.5714285714287</v>
      </c>
      <c r="CD947" s="1109" t="str">
        <f t="shared" si="3151"/>
        <v/>
      </c>
      <c r="CE947" s="1110" t="str">
        <f t="shared" si="3212"/>
        <v/>
      </c>
      <c r="CF947" s="1111" t="str">
        <f t="shared" si="3212"/>
        <v/>
      </c>
      <c r="CG947" s="1111" t="str">
        <f t="shared" si="3212"/>
        <v/>
      </c>
      <c r="CH947" s="1111">
        <f t="shared" si="3212"/>
        <v>0</v>
      </c>
      <c r="CI947" s="1111">
        <f t="shared" si="3212"/>
        <v>0</v>
      </c>
      <c r="CJ947" s="1111">
        <f t="shared" si="3212"/>
        <v>0</v>
      </c>
      <c r="CK947" s="1112">
        <f t="shared" si="3212"/>
        <v>0</v>
      </c>
      <c r="CL947" s="1112">
        <f t="shared" si="3212"/>
        <v>0</v>
      </c>
      <c r="CM947" s="1112">
        <f t="shared" si="3212"/>
        <v>0</v>
      </c>
      <c r="CN947" s="1111">
        <f t="shared" si="3212"/>
        <v>0</v>
      </c>
      <c r="CO947" s="1111">
        <f t="shared" si="3212"/>
        <v>0</v>
      </c>
      <c r="CP947" s="1111">
        <f t="shared" si="3212"/>
        <v>0</v>
      </c>
      <c r="CQ947" s="1111" t="str">
        <f t="shared" si="3212"/>
        <v/>
      </c>
      <c r="CR947" s="1111" t="str">
        <f t="shared" si="3212"/>
        <v/>
      </c>
      <c r="CS947" s="1110" t="str">
        <f t="shared" si="3212"/>
        <v/>
      </c>
      <c r="CT947" s="1113" t="str">
        <f t="shared" si="3212"/>
        <v/>
      </c>
      <c r="CU947" s="324" t="str">
        <f t="shared" si="3126"/>
        <v/>
      </c>
      <c r="CV947" s="325" t="str">
        <f t="shared" si="3127"/>
        <v/>
      </c>
      <c r="CW947" s="326" t="str">
        <f t="shared" si="3128"/>
        <v/>
      </c>
      <c r="CX947" s="326" t="str">
        <f t="shared" si="3129"/>
        <v/>
      </c>
      <c r="CY947" s="326">
        <f t="shared" si="3130"/>
        <v>0</v>
      </c>
      <c r="CZ947" s="326">
        <f t="shared" si="3131"/>
        <v>0</v>
      </c>
      <c r="DA947" s="326">
        <f t="shared" si="3132"/>
        <v>0</v>
      </c>
      <c r="DB947" s="327">
        <f t="shared" si="3133"/>
        <v>0</v>
      </c>
      <c r="DC947" s="327">
        <f t="shared" si="3134"/>
        <v>70</v>
      </c>
      <c r="DD947" s="327">
        <f t="shared" si="3135"/>
        <v>120</v>
      </c>
      <c r="DE947" s="326">
        <f t="shared" si="3136"/>
        <v>160</v>
      </c>
      <c r="DF947" s="326">
        <f t="shared" si="3137"/>
        <v>300</v>
      </c>
      <c r="DG947" s="326">
        <f t="shared" si="3138"/>
        <v>599.6</v>
      </c>
      <c r="DH947" s="326" t="str">
        <f t="shared" si="3139"/>
        <v/>
      </c>
      <c r="DI947" s="326" t="str">
        <f t="shared" si="3140"/>
        <v/>
      </c>
      <c r="DJ947" s="325" t="str">
        <f t="shared" si="3141"/>
        <v/>
      </c>
      <c r="DK947" s="324" t="str">
        <f t="shared" si="3142"/>
        <v/>
      </c>
      <c r="DL947" s="428">
        <f t="shared" si="3143"/>
        <v>9</v>
      </c>
      <c r="DM947" s="66">
        <f t="shared" si="3144"/>
        <v>9</v>
      </c>
      <c r="DN947" s="66">
        <f t="shared" si="3145"/>
        <v>9</v>
      </c>
      <c r="DO947" s="66">
        <f t="shared" si="3146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217">SUM(B388)</f>
        <v>0</v>
      </c>
      <c r="C948" s="570">
        <f t="shared" si="3217"/>
        <v>0</v>
      </c>
      <c r="D948" s="570">
        <f t="shared" si="3217"/>
        <v>0</v>
      </c>
      <c r="E948" s="570">
        <f t="shared" si="3217"/>
        <v>0</v>
      </c>
      <c r="F948" s="570">
        <f t="shared" si="3217"/>
        <v>0</v>
      </c>
      <c r="G948" s="570">
        <f t="shared" si="3217"/>
        <v>0</v>
      </c>
      <c r="H948" s="570">
        <f t="shared" si="3217"/>
        <v>0</v>
      </c>
      <c r="I948" s="570">
        <f t="shared" si="3217"/>
        <v>0</v>
      </c>
      <c r="J948" s="570">
        <f t="shared" si="3217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218">SUM(T388)</f>
        <v>0</v>
      </c>
      <c r="U948" s="570">
        <f t="shared" si="3218"/>
        <v>0</v>
      </c>
      <c r="V948" s="570">
        <f t="shared" si="3218"/>
        <v>0</v>
      </c>
      <c r="W948" s="570">
        <f t="shared" si="3218"/>
        <v>0</v>
      </c>
      <c r="X948" s="570">
        <f t="shared" si="3218"/>
        <v>0</v>
      </c>
      <c r="Y948" s="570">
        <f t="shared" si="3218"/>
        <v>0</v>
      </c>
      <c r="Z948" s="570">
        <f t="shared" si="3218"/>
        <v>0</v>
      </c>
      <c r="AA948" s="570">
        <f t="shared" si="3218"/>
        <v>0</v>
      </c>
      <c r="AB948" s="570">
        <f t="shared" si="3218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219">SUM(AL388)</f>
        <v>0</v>
      </c>
      <c r="AM948" s="570">
        <f t="shared" si="3219"/>
        <v>0</v>
      </c>
      <c r="AN948" s="570">
        <f t="shared" si="3219"/>
        <v>0</v>
      </c>
      <c r="AO948" s="570">
        <f t="shared" si="3219"/>
        <v>0</v>
      </c>
      <c r="AP948" s="570">
        <f t="shared" si="3219"/>
        <v>0</v>
      </c>
      <c r="AQ948" s="570">
        <f t="shared" si="3219"/>
        <v>0</v>
      </c>
      <c r="AR948" s="570">
        <f t="shared" si="3219"/>
        <v>0</v>
      </c>
      <c r="AS948" s="570">
        <f t="shared" si="3219"/>
        <v>0</v>
      </c>
      <c r="AT948" s="570">
        <f t="shared" si="3219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220">SUM(BD388)</f>
        <v>0</v>
      </c>
      <c r="BE948" s="570">
        <f t="shared" si="3220"/>
        <v>0</v>
      </c>
      <c r="BF948" s="570">
        <f t="shared" si="3220"/>
        <v>0</v>
      </c>
      <c r="BG948" s="570">
        <f t="shared" si="3220"/>
        <v>0</v>
      </c>
      <c r="BH948" s="570">
        <f t="shared" si="3220"/>
        <v>0</v>
      </c>
      <c r="BI948" s="570">
        <f t="shared" si="3220"/>
        <v>0</v>
      </c>
      <c r="BJ948" s="570">
        <f t="shared" si="3220"/>
        <v>0</v>
      </c>
      <c r="BK948" s="570">
        <f t="shared" si="3220"/>
        <v>0</v>
      </c>
      <c r="BL948" s="570">
        <f t="shared" si="3220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3120"/>
        <v>0</v>
      </c>
      <c r="CA948" s="373">
        <f t="shared" si="3121"/>
        <v>0</v>
      </c>
      <c r="CB948" s="373">
        <f t="shared" si="3122"/>
        <v>0</v>
      </c>
      <c r="CC948" s="373">
        <f t="shared" si="3123"/>
        <v>0</v>
      </c>
      <c r="CD948" s="1109" t="str">
        <f t="shared" si="3151"/>
        <v/>
      </c>
      <c r="CE948" s="1110" t="str">
        <f t="shared" si="3212"/>
        <v/>
      </c>
      <c r="CF948" s="1111" t="str">
        <f t="shared" si="3212"/>
        <v/>
      </c>
      <c r="CG948" s="1111" t="str">
        <f t="shared" si="3212"/>
        <v/>
      </c>
      <c r="CH948" s="1111">
        <f t="shared" si="3212"/>
        <v>0</v>
      </c>
      <c r="CI948" s="1111">
        <f t="shared" si="3212"/>
        <v>0</v>
      </c>
      <c r="CJ948" s="1111">
        <f t="shared" si="3212"/>
        <v>0</v>
      </c>
      <c r="CK948" s="1112">
        <f t="shared" si="3212"/>
        <v>0</v>
      </c>
      <c r="CL948" s="1112">
        <f t="shared" si="3212"/>
        <v>0</v>
      </c>
      <c r="CM948" s="1112">
        <f t="shared" si="3212"/>
        <v>0</v>
      </c>
      <c r="CN948" s="1111">
        <f t="shared" si="3212"/>
        <v>0</v>
      </c>
      <c r="CO948" s="1111">
        <f t="shared" si="3212"/>
        <v>0</v>
      </c>
      <c r="CP948" s="1111">
        <f t="shared" si="3212"/>
        <v>0</v>
      </c>
      <c r="CQ948" s="1111" t="str">
        <f t="shared" si="3212"/>
        <v/>
      </c>
      <c r="CR948" s="1111" t="str">
        <f t="shared" si="3212"/>
        <v/>
      </c>
      <c r="CS948" s="1110" t="str">
        <f t="shared" si="3212"/>
        <v/>
      </c>
      <c r="CT948" s="1113" t="str">
        <f t="shared" si="3212"/>
        <v/>
      </c>
      <c r="CU948" s="324" t="str">
        <f t="shared" si="3126"/>
        <v/>
      </c>
      <c r="CV948" s="325" t="str">
        <f t="shared" si="3127"/>
        <v/>
      </c>
      <c r="CW948" s="326" t="str">
        <f t="shared" si="3128"/>
        <v/>
      </c>
      <c r="CX948" s="326" t="str">
        <f t="shared" si="3129"/>
        <v/>
      </c>
      <c r="CY948" s="326">
        <f t="shared" si="3130"/>
        <v>0</v>
      </c>
      <c r="CZ948" s="326">
        <f t="shared" si="3131"/>
        <v>0</v>
      </c>
      <c r="DA948" s="326">
        <f t="shared" si="3132"/>
        <v>0</v>
      </c>
      <c r="DB948" s="327">
        <f t="shared" si="3133"/>
        <v>0</v>
      </c>
      <c r="DC948" s="327">
        <f t="shared" si="3134"/>
        <v>0</v>
      </c>
      <c r="DD948" s="327">
        <f t="shared" si="3135"/>
        <v>0</v>
      </c>
      <c r="DE948" s="326">
        <f t="shared" si="3136"/>
        <v>0</v>
      </c>
      <c r="DF948" s="326">
        <f t="shared" si="3137"/>
        <v>0</v>
      </c>
      <c r="DG948" s="326">
        <f t="shared" si="3138"/>
        <v>0</v>
      </c>
      <c r="DH948" s="326" t="str">
        <f t="shared" si="3139"/>
        <v/>
      </c>
      <c r="DI948" s="326" t="str">
        <f t="shared" si="3140"/>
        <v/>
      </c>
      <c r="DJ948" s="325" t="str">
        <f t="shared" si="3141"/>
        <v/>
      </c>
      <c r="DK948" s="324" t="str">
        <f t="shared" si="3142"/>
        <v/>
      </c>
      <c r="DL948" s="428">
        <f t="shared" si="3143"/>
        <v>9</v>
      </c>
      <c r="DM948" s="66">
        <f t="shared" si="3144"/>
        <v>9</v>
      </c>
      <c r="DN948" s="66">
        <f t="shared" si="3145"/>
        <v>9</v>
      </c>
      <c r="DO948" s="66">
        <f t="shared" si="3146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221">SUM(B393)</f>
        <v>0</v>
      </c>
      <c r="C949" s="570">
        <f t="shared" si="3221"/>
        <v>0</v>
      </c>
      <c r="D949" s="570">
        <f t="shared" si="3221"/>
        <v>0</v>
      </c>
      <c r="E949" s="570">
        <f t="shared" si="3221"/>
        <v>0</v>
      </c>
      <c r="F949" s="570">
        <f t="shared" si="3221"/>
        <v>0</v>
      </c>
      <c r="G949" s="570">
        <f t="shared" si="3221"/>
        <v>0</v>
      </c>
      <c r="H949" s="570">
        <f t="shared" si="3221"/>
        <v>0</v>
      </c>
      <c r="I949" s="570">
        <f t="shared" si="3221"/>
        <v>0</v>
      </c>
      <c r="J949" s="570">
        <f t="shared" si="3221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222">SUM(T393)</f>
        <v>0</v>
      </c>
      <c r="U949" s="570">
        <f t="shared" si="3222"/>
        <v>0</v>
      </c>
      <c r="V949" s="570">
        <f t="shared" si="3222"/>
        <v>0</v>
      </c>
      <c r="W949" s="570">
        <f t="shared" si="3222"/>
        <v>0</v>
      </c>
      <c r="X949" s="570">
        <f t="shared" si="3222"/>
        <v>0</v>
      </c>
      <c r="Y949" s="570">
        <f t="shared" si="3222"/>
        <v>0</v>
      </c>
      <c r="Z949" s="570">
        <f t="shared" si="3222"/>
        <v>0</v>
      </c>
      <c r="AA949" s="570">
        <f t="shared" si="3222"/>
        <v>0</v>
      </c>
      <c r="AB949" s="570">
        <f t="shared" si="3222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223">SUM(AL393)</f>
        <v>0</v>
      </c>
      <c r="AM949" s="570">
        <f t="shared" si="3223"/>
        <v>0</v>
      </c>
      <c r="AN949" s="570">
        <f t="shared" si="3223"/>
        <v>0</v>
      </c>
      <c r="AO949" s="570">
        <f t="shared" si="3223"/>
        <v>0</v>
      </c>
      <c r="AP949" s="570">
        <f t="shared" si="3223"/>
        <v>0</v>
      </c>
      <c r="AQ949" s="570">
        <f t="shared" si="3223"/>
        <v>0</v>
      </c>
      <c r="AR949" s="570">
        <f t="shared" si="3223"/>
        <v>0</v>
      </c>
      <c r="AS949" s="570">
        <f t="shared" si="3223"/>
        <v>0</v>
      </c>
      <c r="AT949" s="570">
        <f t="shared" si="3223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224">SUM(BD393)</f>
        <v>0</v>
      </c>
      <c r="BE949" s="570">
        <f t="shared" si="3224"/>
        <v>0</v>
      </c>
      <c r="BF949" s="570">
        <f t="shared" si="3224"/>
        <v>0</v>
      </c>
      <c r="BG949" s="570">
        <f t="shared" si="3224"/>
        <v>0</v>
      </c>
      <c r="BH949" s="570">
        <f t="shared" si="3224"/>
        <v>0</v>
      </c>
      <c r="BI949" s="570">
        <f t="shared" si="3224"/>
        <v>0</v>
      </c>
      <c r="BJ949" s="570">
        <f t="shared" si="3224"/>
        <v>0</v>
      </c>
      <c r="BK949" s="570">
        <f t="shared" si="3224"/>
        <v>0</v>
      </c>
      <c r="BL949" s="570">
        <f t="shared" si="3224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3120"/>
        <v>0</v>
      </c>
      <c r="CA949" s="373">
        <f t="shared" si="3121"/>
        <v>0</v>
      </c>
      <c r="CB949" s="373">
        <f t="shared" si="3122"/>
        <v>0</v>
      </c>
      <c r="CC949" s="373">
        <f t="shared" si="3123"/>
        <v>0</v>
      </c>
      <c r="CD949" s="1109" t="str">
        <f t="shared" si="3151"/>
        <v/>
      </c>
      <c r="CE949" s="1110" t="str">
        <f t="shared" si="3212"/>
        <v/>
      </c>
      <c r="CF949" s="1111" t="str">
        <f t="shared" si="3212"/>
        <v/>
      </c>
      <c r="CG949" s="1111" t="str">
        <f t="shared" si="3212"/>
        <v/>
      </c>
      <c r="CH949" s="1111">
        <f t="shared" si="3212"/>
        <v>0</v>
      </c>
      <c r="CI949" s="1111">
        <f t="shared" si="3212"/>
        <v>0</v>
      </c>
      <c r="CJ949" s="1111">
        <f t="shared" si="3212"/>
        <v>0</v>
      </c>
      <c r="CK949" s="1112">
        <f t="shared" si="3212"/>
        <v>0</v>
      </c>
      <c r="CL949" s="1112">
        <f t="shared" si="3212"/>
        <v>0</v>
      </c>
      <c r="CM949" s="1112">
        <f t="shared" si="3212"/>
        <v>0</v>
      </c>
      <c r="CN949" s="1111">
        <f t="shared" si="3212"/>
        <v>0</v>
      </c>
      <c r="CO949" s="1111">
        <f t="shared" si="3212"/>
        <v>0</v>
      </c>
      <c r="CP949" s="1111">
        <f t="shared" si="3212"/>
        <v>0</v>
      </c>
      <c r="CQ949" s="1111" t="str">
        <f t="shared" si="3212"/>
        <v/>
      </c>
      <c r="CR949" s="1111" t="str">
        <f t="shared" si="3212"/>
        <v/>
      </c>
      <c r="CS949" s="1110" t="str">
        <f t="shared" si="3212"/>
        <v/>
      </c>
      <c r="CT949" s="1113" t="str">
        <f t="shared" si="3212"/>
        <v/>
      </c>
      <c r="CU949" s="324" t="str">
        <f t="shared" si="3126"/>
        <v/>
      </c>
      <c r="CV949" s="325" t="str">
        <f t="shared" si="3127"/>
        <v/>
      </c>
      <c r="CW949" s="326" t="str">
        <f t="shared" si="3128"/>
        <v/>
      </c>
      <c r="CX949" s="326" t="str">
        <f t="shared" si="3129"/>
        <v/>
      </c>
      <c r="CY949" s="326">
        <f t="shared" si="3130"/>
        <v>0</v>
      </c>
      <c r="CZ949" s="326">
        <f t="shared" si="3131"/>
        <v>0</v>
      </c>
      <c r="DA949" s="326">
        <f t="shared" si="3132"/>
        <v>0</v>
      </c>
      <c r="DB949" s="327">
        <f t="shared" si="3133"/>
        <v>0</v>
      </c>
      <c r="DC949" s="327">
        <f t="shared" si="3134"/>
        <v>0</v>
      </c>
      <c r="DD949" s="327">
        <f t="shared" si="3135"/>
        <v>0</v>
      </c>
      <c r="DE949" s="326">
        <f t="shared" si="3136"/>
        <v>0</v>
      </c>
      <c r="DF949" s="326">
        <f t="shared" si="3137"/>
        <v>0</v>
      </c>
      <c r="DG949" s="326">
        <f t="shared" si="3138"/>
        <v>0</v>
      </c>
      <c r="DH949" s="326" t="str">
        <f t="shared" si="3139"/>
        <v/>
      </c>
      <c r="DI949" s="326" t="str">
        <f t="shared" si="3140"/>
        <v/>
      </c>
      <c r="DJ949" s="325" t="str">
        <f t="shared" si="3141"/>
        <v/>
      </c>
      <c r="DK949" s="324" t="str">
        <f t="shared" si="3142"/>
        <v/>
      </c>
      <c r="DL949" s="428">
        <f t="shared" si="3143"/>
        <v>9</v>
      </c>
      <c r="DM949" s="66">
        <f t="shared" si="3144"/>
        <v>9</v>
      </c>
      <c r="DN949" s="66">
        <f t="shared" si="3145"/>
        <v>9</v>
      </c>
      <c r="DO949" s="66">
        <f t="shared" si="3146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225">SUM(B396)</f>
        <v>0</v>
      </c>
      <c r="C950" s="570">
        <f t="shared" si="3225"/>
        <v>0</v>
      </c>
      <c r="D950" s="570">
        <f t="shared" si="3225"/>
        <v>0</v>
      </c>
      <c r="E950" s="570">
        <f t="shared" si="3225"/>
        <v>0</v>
      </c>
      <c r="F950" s="570">
        <f t="shared" si="3225"/>
        <v>0</v>
      </c>
      <c r="G950" s="570">
        <f t="shared" si="3225"/>
        <v>0</v>
      </c>
      <c r="H950" s="570">
        <f t="shared" si="3225"/>
        <v>0</v>
      </c>
      <c r="I950" s="570">
        <f t="shared" si="3225"/>
        <v>0</v>
      </c>
      <c r="J950" s="570">
        <f t="shared" si="3225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226">SUM(T396)</f>
        <v>0</v>
      </c>
      <c r="U950" s="570">
        <f t="shared" si="3226"/>
        <v>0</v>
      </c>
      <c r="V950" s="570">
        <f t="shared" si="3226"/>
        <v>0</v>
      </c>
      <c r="W950" s="570">
        <f t="shared" si="3226"/>
        <v>0</v>
      </c>
      <c r="X950" s="570">
        <f t="shared" si="3226"/>
        <v>0</v>
      </c>
      <c r="Y950" s="570">
        <f t="shared" si="3226"/>
        <v>0</v>
      </c>
      <c r="Z950" s="570">
        <f t="shared" si="3226"/>
        <v>0</v>
      </c>
      <c r="AA950" s="570">
        <f t="shared" si="3226"/>
        <v>0</v>
      </c>
      <c r="AB950" s="570">
        <f t="shared" si="3226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227">SUM(AL396)</f>
        <v>0</v>
      </c>
      <c r="AM950" s="570">
        <f t="shared" si="3227"/>
        <v>0</v>
      </c>
      <c r="AN950" s="570">
        <f t="shared" si="3227"/>
        <v>0</v>
      </c>
      <c r="AO950" s="570">
        <f t="shared" si="3227"/>
        <v>0</v>
      </c>
      <c r="AP950" s="570">
        <f t="shared" si="3227"/>
        <v>0</v>
      </c>
      <c r="AQ950" s="570">
        <f t="shared" si="3227"/>
        <v>0</v>
      </c>
      <c r="AR950" s="570">
        <f t="shared" si="3227"/>
        <v>0</v>
      </c>
      <c r="AS950" s="570">
        <f t="shared" si="3227"/>
        <v>0</v>
      </c>
      <c r="AT950" s="570">
        <f t="shared" si="3227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228">SUM(BD396)</f>
        <v>0</v>
      </c>
      <c r="BE950" s="570">
        <f t="shared" si="3228"/>
        <v>0</v>
      </c>
      <c r="BF950" s="570">
        <f t="shared" si="3228"/>
        <v>0</v>
      </c>
      <c r="BG950" s="570">
        <f t="shared" si="3228"/>
        <v>0</v>
      </c>
      <c r="BH950" s="570">
        <f t="shared" si="3228"/>
        <v>0</v>
      </c>
      <c r="BI950" s="570">
        <f t="shared" si="3228"/>
        <v>0</v>
      </c>
      <c r="BJ950" s="570">
        <f t="shared" si="3228"/>
        <v>0</v>
      </c>
      <c r="BK950" s="570">
        <f t="shared" si="3228"/>
        <v>0</v>
      </c>
      <c r="BL950" s="570">
        <f t="shared" si="3228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3120"/>
        <v>0</v>
      </c>
      <c r="CA950" s="373">
        <f t="shared" si="3121"/>
        <v>0</v>
      </c>
      <c r="CB950" s="373">
        <f t="shared" si="3122"/>
        <v>0</v>
      </c>
      <c r="CC950" s="373">
        <f t="shared" si="3123"/>
        <v>0</v>
      </c>
      <c r="CD950" s="1109" t="str">
        <f t="shared" si="3151"/>
        <v/>
      </c>
      <c r="CE950" s="1110" t="str">
        <f t="shared" si="3212"/>
        <v/>
      </c>
      <c r="CF950" s="1111" t="str">
        <f t="shared" si="3212"/>
        <v/>
      </c>
      <c r="CG950" s="1111" t="str">
        <f t="shared" si="3212"/>
        <v/>
      </c>
      <c r="CH950" s="1111">
        <f t="shared" si="3212"/>
        <v>0</v>
      </c>
      <c r="CI950" s="1111">
        <f t="shared" si="3212"/>
        <v>0</v>
      </c>
      <c r="CJ950" s="1111">
        <f t="shared" si="3212"/>
        <v>0</v>
      </c>
      <c r="CK950" s="1112">
        <f t="shared" si="3212"/>
        <v>0</v>
      </c>
      <c r="CL950" s="1112">
        <f t="shared" si="3212"/>
        <v>0</v>
      </c>
      <c r="CM950" s="1112">
        <f t="shared" si="3212"/>
        <v>0</v>
      </c>
      <c r="CN950" s="1111">
        <f t="shared" si="3212"/>
        <v>0</v>
      </c>
      <c r="CO950" s="1111">
        <f t="shared" si="3212"/>
        <v>0</v>
      </c>
      <c r="CP950" s="1111">
        <f t="shared" si="3212"/>
        <v>0</v>
      </c>
      <c r="CQ950" s="1111" t="str">
        <f t="shared" si="3212"/>
        <v/>
      </c>
      <c r="CR950" s="1111" t="str">
        <f t="shared" si="3212"/>
        <v/>
      </c>
      <c r="CS950" s="1110" t="str">
        <f t="shared" si="3212"/>
        <v/>
      </c>
      <c r="CT950" s="1113" t="str">
        <f t="shared" si="3212"/>
        <v/>
      </c>
      <c r="CU950" s="324" t="str">
        <f t="shared" si="3126"/>
        <v/>
      </c>
      <c r="CV950" s="325" t="str">
        <f t="shared" si="3127"/>
        <v/>
      </c>
      <c r="CW950" s="326" t="str">
        <f t="shared" si="3128"/>
        <v/>
      </c>
      <c r="CX950" s="326" t="str">
        <f t="shared" si="3129"/>
        <v/>
      </c>
      <c r="CY950" s="326">
        <f t="shared" si="3130"/>
        <v>0</v>
      </c>
      <c r="CZ950" s="326">
        <f t="shared" si="3131"/>
        <v>0</v>
      </c>
      <c r="DA950" s="326">
        <f t="shared" si="3132"/>
        <v>0</v>
      </c>
      <c r="DB950" s="327">
        <f t="shared" si="3133"/>
        <v>0</v>
      </c>
      <c r="DC950" s="327">
        <f t="shared" si="3134"/>
        <v>0</v>
      </c>
      <c r="DD950" s="327">
        <f t="shared" si="3135"/>
        <v>0</v>
      </c>
      <c r="DE950" s="326">
        <f t="shared" si="3136"/>
        <v>0</v>
      </c>
      <c r="DF950" s="326">
        <f t="shared" si="3137"/>
        <v>0</v>
      </c>
      <c r="DG950" s="326">
        <f t="shared" si="3138"/>
        <v>0</v>
      </c>
      <c r="DH950" s="326" t="str">
        <f t="shared" si="3139"/>
        <v/>
      </c>
      <c r="DI950" s="326" t="str">
        <f t="shared" si="3140"/>
        <v/>
      </c>
      <c r="DJ950" s="325" t="str">
        <f t="shared" si="3141"/>
        <v/>
      </c>
      <c r="DK950" s="324" t="str">
        <f t="shared" si="3142"/>
        <v/>
      </c>
      <c r="DL950" s="428">
        <f t="shared" si="3143"/>
        <v>9</v>
      </c>
      <c r="DM950" s="66">
        <f t="shared" si="3144"/>
        <v>9</v>
      </c>
      <c r="DN950" s="66">
        <f t="shared" si="3145"/>
        <v>9</v>
      </c>
      <c r="DO950" s="66">
        <f t="shared" si="3146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229">SUM(B399)</f>
        <v>0</v>
      </c>
      <c r="C951" s="570">
        <f t="shared" si="3229"/>
        <v>0</v>
      </c>
      <c r="D951" s="570">
        <f t="shared" si="3229"/>
        <v>0</v>
      </c>
      <c r="E951" s="570">
        <f t="shared" si="3229"/>
        <v>0</v>
      </c>
      <c r="F951" s="570">
        <f t="shared" si="3229"/>
        <v>0</v>
      </c>
      <c r="G951" s="570">
        <f t="shared" si="3229"/>
        <v>0</v>
      </c>
      <c r="H951" s="570">
        <f t="shared" si="3229"/>
        <v>0</v>
      </c>
      <c r="I951" s="570">
        <f t="shared" si="3229"/>
        <v>0</v>
      </c>
      <c r="J951" s="570">
        <f t="shared" si="3229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230">SUM(T399)</f>
        <v>0</v>
      </c>
      <c r="U951" s="570">
        <f t="shared" si="3230"/>
        <v>0</v>
      </c>
      <c r="V951" s="570">
        <f t="shared" si="3230"/>
        <v>0</v>
      </c>
      <c r="W951" s="570">
        <f t="shared" si="3230"/>
        <v>0</v>
      </c>
      <c r="X951" s="570">
        <f t="shared" si="3230"/>
        <v>0</v>
      </c>
      <c r="Y951" s="570">
        <f t="shared" si="3230"/>
        <v>0</v>
      </c>
      <c r="Z951" s="570">
        <f t="shared" si="3230"/>
        <v>0</v>
      </c>
      <c r="AA951" s="570">
        <f t="shared" si="3230"/>
        <v>0</v>
      </c>
      <c r="AB951" s="570">
        <f t="shared" si="3230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231">SUM(AL399)</f>
        <v>0</v>
      </c>
      <c r="AM951" s="570">
        <f t="shared" si="3231"/>
        <v>0</v>
      </c>
      <c r="AN951" s="570">
        <f t="shared" si="3231"/>
        <v>0</v>
      </c>
      <c r="AO951" s="570">
        <f t="shared" si="3231"/>
        <v>0</v>
      </c>
      <c r="AP951" s="570">
        <f t="shared" si="3231"/>
        <v>0</v>
      </c>
      <c r="AQ951" s="570">
        <f t="shared" si="3231"/>
        <v>0</v>
      </c>
      <c r="AR951" s="570">
        <f t="shared" si="3231"/>
        <v>0</v>
      </c>
      <c r="AS951" s="570">
        <f t="shared" si="3231"/>
        <v>0</v>
      </c>
      <c r="AT951" s="570">
        <f t="shared" si="3231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232">SUM(BD399)</f>
        <v>0</v>
      </c>
      <c r="BE951" s="570">
        <f t="shared" si="3232"/>
        <v>0</v>
      </c>
      <c r="BF951" s="570">
        <f t="shared" si="3232"/>
        <v>0</v>
      </c>
      <c r="BG951" s="570">
        <f t="shared" si="3232"/>
        <v>0</v>
      </c>
      <c r="BH951" s="570">
        <f t="shared" si="3232"/>
        <v>0</v>
      </c>
      <c r="BI951" s="570">
        <f t="shared" si="3232"/>
        <v>0</v>
      </c>
      <c r="BJ951" s="570">
        <f t="shared" si="3232"/>
        <v>0</v>
      </c>
      <c r="BK951" s="570">
        <f t="shared" si="3232"/>
        <v>0</v>
      </c>
      <c r="BL951" s="570">
        <f t="shared" si="3232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3120"/>
        <v>0</v>
      </c>
      <c r="CA951" s="373">
        <f t="shared" si="3121"/>
        <v>0</v>
      </c>
      <c r="CB951" s="373">
        <f t="shared" si="3122"/>
        <v>0</v>
      </c>
      <c r="CC951" s="373">
        <f t="shared" si="3123"/>
        <v>0</v>
      </c>
      <c r="CD951" s="1109" t="str">
        <f t="shared" si="3151"/>
        <v/>
      </c>
      <c r="CE951" s="1110" t="str">
        <f t="shared" si="3212"/>
        <v/>
      </c>
      <c r="CF951" s="1111" t="str">
        <f t="shared" si="3212"/>
        <v/>
      </c>
      <c r="CG951" s="1111" t="str">
        <f t="shared" si="3212"/>
        <v/>
      </c>
      <c r="CH951" s="1111">
        <f t="shared" si="3212"/>
        <v>0</v>
      </c>
      <c r="CI951" s="1111">
        <f t="shared" si="3212"/>
        <v>0</v>
      </c>
      <c r="CJ951" s="1111">
        <f t="shared" si="3212"/>
        <v>0</v>
      </c>
      <c r="CK951" s="1112">
        <f t="shared" si="3212"/>
        <v>0</v>
      </c>
      <c r="CL951" s="1112">
        <f t="shared" si="3212"/>
        <v>0</v>
      </c>
      <c r="CM951" s="1112">
        <f t="shared" si="3212"/>
        <v>0</v>
      </c>
      <c r="CN951" s="1111">
        <f t="shared" si="3212"/>
        <v>0</v>
      </c>
      <c r="CO951" s="1111">
        <f t="shared" si="3212"/>
        <v>0</v>
      </c>
      <c r="CP951" s="1111">
        <f t="shared" si="3212"/>
        <v>0</v>
      </c>
      <c r="CQ951" s="1111" t="str">
        <f t="shared" si="3212"/>
        <v/>
      </c>
      <c r="CR951" s="1111" t="str">
        <f t="shared" si="3212"/>
        <v/>
      </c>
      <c r="CS951" s="1110" t="str">
        <f t="shared" si="3212"/>
        <v/>
      </c>
      <c r="CT951" s="1113" t="str">
        <f t="shared" si="3212"/>
        <v/>
      </c>
      <c r="CU951" s="324" t="str">
        <f t="shared" si="3126"/>
        <v/>
      </c>
      <c r="CV951" s="325" t="str">
        <f t="shared" si="3127"/>
        <v/>
      </c>
      <c r="CW951" s="326" t="str">
        <f t="shared" si="3128"/>
        <v/>
      </c>
      <c r="CX951" s="326" t="str">
        <f t="shared" si="3129"/>
        <v/>
      </c>
      <c r="CY951" s="326">
        <f t="shared" si="3130"/>
        <v>0</v>
      </c>
      <c r="CZ951" s="326">
        <f t="shared" si="3131"/>
        <v>0</v>
      </c>
      <c r="DA951" s="326">
        <f t="shared" si="3132"/>
        <v>0</v>
      </c>
      <c r="DB951" s="327">
        <f t="shared" si="3133"/>
        <v>0</v>
      </c>
      <c r="DC951" s="327">
        <f t="shared" si="3134"/>
        <v>0</v>
      </c>
      <c r="DD951" s="327">
        <f t="shared" si="3135"/>
        <v>0</v>
      </c>
      <c r="DE951" s="326">
        <f t="shared" si="3136"/>
        <v>0</v>
      </c>
      <c r="DF951" s="326">
        <f t="shared" si="3137"/>
        <v>0</v>
      </c>
      <c r="DG951" s="326">
        <f t="shared" si="3138"/>
        <v>0</v>
      </c>
      <c r="DH951" s="326" t="str">
        <f t="shared" si="3139"/>
        <v/>
      </c>
      <c r="DI951" s="326" t="str">
        <f t="shared" si="3140"/>
        <v/>
      </c>
      <c r="DJ951" s="325" t="str">
        <f t="shared" si="3141"/>
        <v/>
      </c>
      <c r="DK951" s="324" t="str">
        <f t="shared" si="3142"/>
        <v/>
      </c>
      <c r="DL951" s="428">
        <f t="shared" si="3143"/>
        <v>9</v>
      </c>
      <c r="DM951" s="66">
        <f t="shared" si="3144"/>
        <v>9</v>
      </c>
      <c r="DN951" s="66">
        <f t="shared" si="3145"/>
        <v>9</v>
      </c>
      <c r="DO951" s="66">
        <f t="shared" si="3146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233">SUM(B402)</f>
        <v>0</v>
      </c>
      <c r="C952" s="570">
        <f t="shared" si="3233"/>
        <v>0</v>
      </c>
      <c r="D952" s="570">
        <f t="shared" si="3233"/>
        <v>0</v>
      </c>
      <c r="E952" s="570">
        <f t="shared" si="3233"/>
        <v>0</v>
      </c>
      <c r="F952" s="570">
        <f t="shared" si="3233"/>
        <v>0</v>
      </c>
      <c r="G952" s="570">
        <f t="shared" si="3233"/>
        <v>0</v>
      </c>
      <c r="H952" s="570">
        <f t="shared" si="3233"/>
        <v>0</v>
      </c>
      <c r="I952" s="570">
        <f t="shared" si="3233"/>
        <v>0</v>
      </c>
      <c r="J952" s="570">
        <f t="shared" si="3233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234">SUM(T402)</f>
        <v>0</v>
      </c>
      <c r="U952" s="570">
        <f t="shared" si="3234"/>
        <v>0</v>
      </c>
      <c r="V952" s="570">
        <f t="shared" si="3234"/>
        <v>0</v>
      </c>
      <c r="W952" s="570">
        <f t="shared" si="3234"/>
        <v>0</v>
      </c>
      <c r="X952" s="570">
        <f t="shared" si="3234"/>
        <v>0</v>
      </c>
      <c r="Y952" s="570">
        <f t="shared" si="3234"/>
        <v>0</v>
      </c>
      <c r="Z952" s="570">
        <f t="shared" si="3234"/>
        <v>0</v>
      </c>
      <c r="AA952" s="570">
        <f t="shared" si="3234"/>
        <v>0</v>
      </c>
      <c r="AB952" s="570">
        <f t="shared" si="3234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235">SUM(AL402)</f>
        <v>0</v>
      </c>
      <c r="AM952" s="570">
        <f t="shared" si="3235"/>
        <v>0</v>
      </c>
      <c r="AN952" s="570">
        <f t="shared" si="3235"/>
        <v>0</v>
      </c>
      <c r="AO952" s="570">
        <f t="shared" si="3235"/>
        <v>0</v>
      </c>
      <c r="AP952" s="570">
        <f t="shared" si="3235"/>
        <v>0</v>
      </c>
      <c r="AQ952" s="570">
        <f t="shared" si="3235"/>
        <v>0</v>
      </c>
      <c r="AR952" s="570">
        <f t="shared" si="3235"/>
        <v>0</v>
      </c>
      <c r="AS952" s="570">
        <f t="shared" si="3235"/>
        <v>0</v>
      </c>
      <c r="AT952" s="570">
        <f t="shared" si="3235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236">SUM(BD402)</f>
        <v>0</v>
      </c>
      <c r="BE952" s="570">
        <f t="shared" si="3236"/>
        <v>0</v>
      </c>
      <c r="BF952" s="570">
        <f t="shared" si="3236"/>
        <v>0</v>
      </c>
      <c r="BG952" s="570">
        <f t="shared" si="3236"/>
        <v>0</v>
      </c>
      <c r="BH952" s="570">
        <f t="shared" si="3236"/>
        <v>0</v>
      </c>
      <c r="BI952" s="570">
        <f t="shared" si="3236"/>
        <v>0</v>
      </c>
      <c r="BJ952" s="570">
        <f t="shared" si="3236"/>
        <v>0</v>
      </c>
      <c r="BK952" s="570">
        <f t="shared" si="3236"/>
        <v>0</v>
      </c>
      <c r="BL952" s="570">
        <f t="shared" si="3236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3120"/>
        <v>0</v>
      </c>
      <c r="CA952" s="373">
        <f t="shared" si="3121"/>
        <v>0</v>
      </c>
      <c r="CB952" s="373">
        <f t="shared" si="3122"/>
        <v>0</v>
      </c>
      <c r="CC952" s="373">
        <f t="shared" si="3123"/>
        <v>0</v>
      </c>
      <c r="CD952" s="1109" t="str">
        <f t="shared" si="3151"/>
        <v/>
      </c>
      <c r="CE952" s="1110" t="str">
        <f t="shared" si="3212"/>
        <v/>
      </c>
      <c r="CF952" s="1111" t="str">
        <f t="shared" si="3212"/>
        <v/>
      </c>
      <c r="CG952" s="1111" t="str">
        <f t="shared" si="3212"/>
        <v/>
      </c>
      <c r="CH952" s="1111">
        <f t="shared" si="3212"/>
        <v>0</v>
      </c>
      <c r="CI952" s="1111">
        <f t="shared" si="3212"/>
        <v>0</v>
      </c>
      <c r="CJ952" s="1111">
        <f t="shared" si="3212"/>
        <v>0</v>
      </c>
      <c r="CK952" s="1112">
        <f t="shared" si="3212"/>
        <v>0</v>
      </c>
      <c r="CL952" s="1112">
        <f t="shared" si="3212"/>
        <v>0</v>
      </c>
      <c r="CM952" s="1112">
        <f t="shared" si="3212"/>
        <v>0</v>
      </c>
      <c r="CN952" s="1111">
        <f t="shared" si="3212"/>
        <v>0</v>
      </c>
      <c r="CO952" s="1111">
        <f t="shared" si="3212"/>
        <v>0</v>
      </c>
      <c r="CP952" s="1111">
        <f t="shared" si="3212"/>
        <v>0</v>
      </c>
      <c r="CQ952" s="1111" t="str">
        <f t="shared" si="3212"/>
        <v/>
      </c>
      <c r="CR952" s="1111" t="str">
        <f t="shared" si="3212"/>
        <v/>
      </c>
      <c r="CS952" s="1110" t="str">
        <f t="shared" si="3212"/>
        <v/>
      </c>
      <c r="CT952" s="1113" t="str">
        <f t="shared" si="3212"/>
        <v/>
      </c>
      <c r="CU952" s="324" t="str">
        <f t="shared" si="3126"/>
        <v/>
      </c>
      <c r="CV952" s="325" t="str">
        <f t="shared" si="3127"/>
        <v/>
      </c>
      <c r="CW952" s="326" t="str">
        <f t="shared" si="3128"/>
        <v/>
      </c>
      <c r="CX952" s="326" t="str">
        <f t="shared" si="3129"/>
        <v/>
      </c>
      <c r="CY952" s="326">
        <f t="shared" si="3130"/>
        <v>0</v>
      </c>
      <c r="CZ952" s="326">
        <f t="shared" si="3131"/>
        <v>0</v>
      </c>
      <c r="DA952" s="326">
        <f t="shared" si="3132"/>
        <v>0</v>
      </c>
      <c r="DB952" s="327">
        <f t="shared" si="3133"/>
        <v>0</v>
      </c>
      <c r="DC952" s="327">
        <f t="shared" si="3134"/>
        <v>0</v>
      </c>
      <c r="DD952" s="327">
        <f t="shared" si="3135"/>
        <v>0</v>
      </c>
      <c r="DE952" s="326">
        <f t="shared" si="3136"/>
        <v>0</v>
      </c>
      <c r="DF952" s="326">
        <f t="shared" si="3137"/>
        <v>0</v>
      </c>
      <c r="DG952" s="326">
        <f t="shared" si="3138"/>
        <v>0</v>
      </c>
      <c r="DH952" s="326" t="str">
        <f t="shared" si="3139"/>
        <v/>
      </c>
      <c r="DI952" s="326" t="str">
        <f t="shared" si="3140"/>
        <v/>
      </c>
      <c r="DJ952" s="325" t="str">
        <f t="shared" si="3141"/>
        <v/>
      </c>
      <c r="DK952" s="324" t="str">
        <f t="shared" si="3142"/>
        <v/>
      </c>
      <c r="DL952" s="428">
        <f t="shared" si="3143"/>
        <v>9</v>
      </c>
      <c r="DM952" s="66">
        <f t="shared" si="3144"/>
        <v>9</v>
      </c>
      <c r="DN952" s="66">
        <f t="shared" si="3145"/>
        <v>9</v>
      </c>
      <c r="DO952" s="66">
        <f t="shared" si="3146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237">SUM(B405)</f>
        <v>0</v>
      </c>
      <c r="C953" s="570">
        <f t="shared" si="3237"/>
        <v>0</v>
      </c>
      <c r="D953" s="570">
        <f t="shared" si="3237"/>
        <v>0</v>
      </c>
      <c r="E953" s="570">
        <f t="shared" si="3237"/>
        <v>0</v>
      </c>
      <c r="F953" s="570">
        <f t="shared" si="3237"/>
        <v>0</v>
      </c>
      <c r="G953" s="570">
        <f t="shared" si="3237"/>
        <v>0</v>
      </c>
      <c r="H953" s="570">
        <f t="shared" si="3237"/>
        <v>0</v>
      </c>
      <c r="I953" s="570">
        <f t="shared" si="3237"/>
        <v>0</v>
      </c>
      <c r="J953" s="570">
        <f t="shared" si="3237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238">SUM(T405)</f>
        <v>0</v>
      </c>
      <c r="U953" s="570">
        <f t="shared" si="3238"/>
        <v>0</v>
      </c>
      <c r="V953" s="570">
        <f t="shared" si="3238"/>
        <v>0</v>
      </c>
      <c r="W953" s="570">
        <f t="shared" si="3238"/>
        <v>0</v>
      </c>
      <c r="X953" s="570">
        <f t="shared" si="3238"/>
        <v>0</v>
      </c>
      <c r="Y953" s="570">
        <f t="shared" si="3238"/>
        <v>0</v>
      </c>
      <c r="Z953" s="570">
        <f t="shared" si="3238"/>
        <v>0</v>
      </c>
      <c r="AA953" s="570">
        <f t="shared" si="3238"/>
        <v>0</v>
      </c>
      <c r="AB953" s="570">
        <f t="shared" si="3238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239">SUM(AL405)</f>
        <v>0</v>
      </c>
      <c r="AM953" s="570">
        <f t="shared" si="3239"/>
        <v>0</v>
      </c>
      <c r="AN953" s="570">
        <f t="shared" si="3239"/>
        <v>0</v>
      </c>
      <c r="AO953" s="570">
        <f t="shared" si="3239"/>
        <v>0</v>
      </c>
      <c r="AP953" s="570">
        <f t="shared" si="3239"/>
        <v>0</v>
      </c>
      <c r="AQ953" s="570">
        <f t="shared" si="3239"/>
        <v>0</v>
      </c>
      <c r="AR953" s="570">
        <f t="shared" si="3239"/>
        <v>0</v>
      </c>
      <c r="AS953" s="570">
        <f t="shared" si="3239"/>
        <v>0</v>
      </c>
      <c r="AT953" s="570">
        <f t="shared" si="3239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240">SUM(BD405)</f>
        <v>0</v>
      </c>
      <c r="BE953" s="570">
        <f t="shared" si="3240"/>
        <v>0</v>
      </c>
      <c r="BF953" s="570">
        <f t="shared" si="3240"/>
        <v>0</v>
      </c>
      <c r="BG953" s="570">
        <f t="shared" si="3240"/>
        <v>0</v>
      </c>
      <c r="BH953" s="570">
        <f t="shared" si="3240"/>
        <v>0</v>
      </c>
      <c r="BI953" s="570">
        <f t="shared" si="3240"/>
        <v>0</v>
      </c>
      <c r="BJ953" s="570">
        <f t="shared" si="3240"/>
        <v>0</v>
      </c>
      <c r="BK953" s="570">
        <f t="shared" si="3240"/>
        <v>0</v>
      </c>
      <c r="BL953" s="570">
        <f t="shared" si="3240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3120"/>
        <v>0</v>
      </c>
      <c r="CA953" s="373">
        <f t="shared" si="3121"/>
        <v>0</v>
      </c>
      <c r="CB953" s="373">
        <f t="shared" si="3122"/>
        <v>0</v>
      </c>
      <c r="CC953" s="373">
        <f t="shared" si="3123"/>
        <v>0</v>
      </c>
      <c r="CD953" s="1109" t="str">
        <f t="shared" si="3151"/>
        <v/>
      </c>
      <c r="CE953" s="1110" t="str">
        <f t="shared" si="3212"/>
        <v/>
      </c>
      <c r="CF953" s="1111" t="str">
        <f t="shared" si="3212"/>
        <v/>
      </c>
      <c r="CG953" s="1111" t="str">
        <f t="shared" si="3212"/>
        <v/>
      </c>
      <c r="CH953" s="1111">
        <f t="shared" si="3212"/>
        <v>0</v>
      </c>
      <c r="CI953" s="1111">
        <f t="shared" si="3212"/>
        <v>0</v>
      </c>
      <c r="CJ953" s="1111">
        <f t="shared" si="3212"/>
        <v>0</v>
      </c>
      <c r="CK953" s="1112">
        <f t="shared" si="3212"/>
        <v>0</v>
      </c>
      <c r="CL953" s="1112">
        <f t="shared" si="3212"/>
        <v>0</v>
      </c>
      <c r="CM953" s="1112">
        <f t="shared" si="3212"/>
        <v>0</v>
      </c>
      <c r="CN953" s="1111">
        <f t="shared" si="3212"/>
        <v>0</v>
      </c>
      <c r="CO953" s="1111">
        <f t="shared" si="3212"/>
        <v>0</v>
      </c>
      <c r="CP953" s="1111">
        <f t="shared" si="3212"/>
        <v>0</v>
      </c>
      <c r="CQ953" s="1111" t="str">
        <f t="shared" si="3212"/>
        <v/>
      </c>
      <c r="CR953" s="1111" t="str">
        <f t="shared" si="3212"/>
        <v/>
      </c>
      <c r="CS953" s="1110" t="str">
        <f t="shared" si="3212"/>
        <v/>
      </c>
      <c r="CT953" s="1113" t="str">
        <f t="shared" si="3212"/>
        <v/>
      </c>
      <c r="CU953" s="324" t="str">
        <f t="shared" si="3126"/>
        <v/>
      </c>
      <c r="CV953" s="325" t="str">
        <f t="shared" si="3127"/>
        <v/>
      </c>
      <c r="CW953" s="326" t="str">
        <f t="shared" si="3128"/>
        <v/>
      </c>
      <c r="CX953" s="326" t="str">
        <f t="shared" si="3129"/>
        <v/>
      </c>
      <c r="CY953" s="326">
        <f t="shared" si="3130"/>
        <v>0</v>
      </c>
      <c r="CZ953" s="326">
        <f t="shared" si="3131"/>
        <v>0</v>
      </c>
      <c r="DA953" s="326">
        <f t="shared" si="3132"/>
        <v>0</v>
      </c>
      <c r="DB953" s="327">
        <f t="shared" si="3133"/>
        <v>0</v>
      </c>
      <c r="DC953" s="327">
        <f t="shared" si="3134"/>
        <v>0</v>
      </c>
      <c r="DD953" s="327">
        <f t="shared" si="3135"/>
        <v>0</v>
      </c>
      <c r="DE953" s="326">
        <f t="shared" si="3136"/>
        <v>0</v>
      </c>
      <c r="DF953" s="326">
        <f t="shared" si="3137"/>
        <v>0</v>
      </c>
      <c r="DG953" s="326">
        <f t="shared" si="3138"/>
        <v>0</v>
      </c>
      <c r="DH953" s="326" t="str">
        <f t="shared" si="3139"/>
        <v/>
      </c>
      <c r="DI953" s="326" t="str">
        <f t="shared" si="3140"/>
        <v/>
      </c>
      <c r="DJ953" s="325" t="str">
        <f t="shared" si="3141"/>
        <v/>
      </c>
      <c r="DK953" s="324" t="str">
        <f t="shared" si="3142"/>
        <v/>
      </c>
      <c r="DL953" s="428">
        <f t="shared" si="3143"/>
        <v>9</v>
      </c>
      <c r="DM953" s="66">
        <f t="shared" si="3144"/>
        <v>9</v>
      </c>
      <c r="DN953" s="66">
        <f t="shared" si="3145"/>
        <v>9</v>
      </c>
      <c r="DO953" s="66">
        <f t="shared" si="3146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241">SUM(B408)</f>
        <v>0</v>
      </c>
      <c r="C954" s="570">
        <f t="shared" si="3241"/>
        <v>0</v>
      </c>
      <c r="D954" s="570">
        <f t="shared" si="3241"/>
        <v>0</v>
      </c>
      <c r="E954" s="570">
        <f t="shared" si="3241"/>
        <v>0</v>
      </c>
      <c r="F954" s="570">
        <f t="shared" si="3241"/>
        <v>0</v>
      </c>
      <c r="G954" s="570">
        <f t="shared" si="3241"/>
        <v>0</v>
      </c>
      <c r="H954" s="570">
        <f t="shared" si="3241"/>
        <v>0</v>
      </c>
      <c r="I954" s="570">
        <f t="shared" si="3241"/>
        <v>0</v>
      </c>
      <c r="J954" s="570">
        <f t="shared" si="3241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242">SUM(T408)</f>
        <v>0</v>
      </c>
      <c r="U954" s="570">
        <f t="shared" si="3242"/>
        <v>0</v>
      </c>
      <c r="V954" s="570">
        <f t="shared" si="3242"/>
        <v>0</v>
      </c>
      <c r="W954" s="570">
        <f t="shared" si="3242"/>
        <v>0</v>
      </c>
      <c r="X954" s="570">
        <f t="shared" si="3242"/>
        <v>0</v>
      </c>
      <c r="Y954" s="570">
        <f t="shared" si="3242"/>
        <v>0</v>
      </c>
      <c r="Z954" s="570">
        <f t="shared" si="3242"/>
        <v>0</v>
      </c>
      <c r="AA954" s="570">
        <f t="shared" si="3242"/>
        <v>0</v>
      </c>
      <c r="AB954" s="570">
        <f t="shared" si="3242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243">SUM(AL408)</f>
        <v>0</v>
      </c>
      <c r="AM954" s="570">
        <f t="shared" si="3243"/>
        <v>0</v>
      </c>
      <c r="AN954" s="570">
        <f t="shared" si="3243"/>
        <v>0</v>
      </c>
      <c r="AO954" s="570">
        <f t="shared" si="3243"/>
        <v>0</v>
      </c>
      <c r="AP954" s="570">
        <f t="shared" si="3243"/>
        <v>0</v>
      </c>
      <c r="AQ954" s="570">
        <f t="shared" si="3243"/>
        <v>0</v>
      </c>
      <c r="AR954" s="570">
        <f t="shared" si="3243"/>
        <v>0</v>
      </c>
      <c r="AS954" s="570">
        <f t="shared" si="3243"/>
        <v>0</v>
      </c>
      <c r="AT954" s="570">
        <f t="shared" si="3243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244">SUM(BD408)</f>
        <v>0</v>
      </c>
      <c r="BE954" s="570">
        <f t="shared" si="3244"/>
        <v>0</v>
      </c>
      <c r="BF954" s="570">
        <f t="shared" si="3244"/>
        <v>0</v>
      </c>
      <c r="BG954" s="570">
        <f t="shared" si="3244"/>
        <v>0</v>
      </c>
      <c r="BH954" s="570">
        <f t="shared" si="3244"/>
        <v>0</v>
      </c>
      <c r="BI954" s="570">
        <f t="shared" si="3244"/>
        <v>0</v>
      </c>
      <c r="BJ954" s="570">
        <f t="shared" si="3244"/>
        <v>0</v>
      </c>
      <c r="BK954" s="570">
        <f t="shared" si="3244"/>
        <v>0</v>
      </c>
      <c r="BL954" s="570">
        <f t="shared" si="3244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3120"/>
        <v>0</v>
      </c>
      <c r="CA954" s="373">
        <f t="shared" si="3121"/>
        <v>0</v>
      </c>
      <c r="CB954" s="373">
        <f t="shared" si="3122"/>
        <v>0</v>
      </c>
      <c r="CC954" s="373">
        <f t="shared" si="3123"/>
        <v>0</v>
      </c>
      <c r="CD954" s="1109" t="str">
        <f t="shared" si="3151"/>
        <v/>
      </c>
      <c r="CE954" s="1110" t="str">
        <f t="shared" si="3212"/>
        <v/>
      </c>
      <c r="CF954" s="1111" t="str">
        <f t="shared" si="3212"/>
        <v/>
      </c>
      <c r="CG954" s="1111" t="str">
        <f t="shared" si="3212"/>
        <v/>
      </c>
      <c r="CH954" s="1111">
        <f t="shared" si="3212"/>
        <v>0</v>
      </c>
      <c r="CI954" s="1111">
        <f t="shared" si="3212"/>
        <v>0</v>
      </c>
      <c r="CJ954" s="1111">
        <f t="shared" si="3212"/>
        <v>0</v>
      </c>
      <c r="CK954" s="1112">
        <f t="shared" si="3212"/>
        <v>0</v>
      </c>
      <c r="CL954" s="1112">
        <f t="shared" si="3212"/>
        <v>0</v>
      </c>
      <c r="CM954" s="1112">
        <f t="shared" si="3212"/>
        <v>0</v>
      </c>
      <c r="CN954" s="1111">
        <f t="shared" si="3212"/>
        <v>0</v>
      </c>
      <c r="CO954" s="1111">
        <f t="shared" si="3212"/>
        <v>0</v>
      </c>
      <c r="CP954" s="1111">
        <f t="shared" si="3212"/>
        <v>0</v>
      </c>
      <c r="CQ954" s="1111" t="str">
        <f t="shared" si="3212"/>
        <v/>
      </c>
      <c r="CR954" s="1111" t="str">
        <f t="shared" si="3212"/>
        <v/>
      </c>
      <c r="CS954" s="1110" t="str">
        <f t="shared" si="3212"/>
        <v/>
      </c>
      <c r="CT954" s="1113" t="str">
        <f t="shared" si="3212"/>
        <v/>
      </c>
      <c r="CU954" s="324" t="str">
        <f t="shared" si="3126"/>
        <v/>
      </c>
      <c r="CV954" s="325" t="str">
        <f t="shared" si="3127"/>
        <v/>
      </c>
      <c r="CW954" s="326" t="str">
        <f t="shared" si="3128"/>
        <v/>
      </c>
      <c r="CX954" s="326" t="str">
        <f t="shared" si="3129"/>
        <v/>
      </c>
      <c r="CY954" s="326">
        <f t="shared" si="3130"/>
        <v>0</v>
      </c>
      <c r="CZ954" s="326">
        <f t="shared" si="3131"/>
        <v>0</v>
      </c>
      <c r="DA954" s="326">
        <f t="shared" si="3132"/>
        <v>0</v>
      </c>
      <c r="DB954" s="327">
        <f t="shared" si="3133"/>
        <v>0</v>
      </c>
      <c r="DC954" s="327">
        <f t="shared" si="3134"/>
        <v>0</v>
      </c>
      <c r="DD954" s="327">
        <f t="shared" si="3135"/>
        <v>0</v>
      </c>
      <c r="DE954" s="326">
        <f t="shared" si="3136"/>
        <v>0</v>
      </c>
      <c r="DF954" s="326">
        <f t="shared" si="3137"/>
        <v>0</v>
      </c>
      <c r="DG954" s="326">
        <f t="shared" si="3138"/>
        <v>0</v>
      </c>
      <c r="DH954" s="326" t="str">
        <f t="shared" si="3139"/>
        <v/>
      </c>
      <c r="DI954" s="326" t="str">
        <f t="shared" si="3140"/>
        <v/>
      </c>
      <c r="DJ954" s="325" t="str">
        <f t="shared" si="3141"/>
        <v/>
      </c>
      <c r="DK954" s="324" t="str">
        <f t="shared" si="3142"/>
        <v/>
      </c>
      <c r="DL954" s="428">
        <f t="shared" si="3143"/>
        <v>9</v>
      </c>
      <c r="DM954" s="66">
        <f t="shared" si="3144"/>
        <v>9</v>
      </c>
      <c r="DN954" s="66">
        <f t="shared" si="3145"/>
        <v>9</v>
      </c>
      <c r="DO954" s="66">
        <f t="shared" si="3146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245">SUM(B411)</f>
        <v>0</v>
      </c>
      <c r="C955" s="570">
        <f t="shared" si="3245"/>
        <v>0</v>
      </c>
      <c r="D955" s="570">
        <f t="shared" si="3245"/>
        <v>0</v>
      </c>
      <c r="E955" s="570">
        <f t="shared" si="3245"/>
        <v>0</v>
      </c>
      <c r="F955" s="570">
        <f t="shared" si="3245"/>
        <v>0</v>
      </c>
      <c r="G955" s="570">
        <f t="shared" si="3245"/>
        <v>0</v>
      </c>
      <c r="H955" s="570">
        <f t="shared" si="3245"/>
        <v>0</v>
      </c>
      <c r="I955" s="570">
        <f t="shared" si="3245"/>
        <v>0</v>
      </c>
      <c r="J955" s="570">
        <f t="shared" si="3245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246">SUM(T411)</f>
        <v>0</v>
      </c>
      <c r="U955" s="570">
        <f t="shared" si="3246"/>
        <v>0</v>
      </c>
      <c r="V955" s="570">
        <f t="shared" si="3246"/>
        <v>0</v>
      </c>
      <c r="W955" s="570">
        <f t="shared" si="3246"/>
        <v>0</v>
      </c>
      <c r="X955" s="570">
        <f t="shared" si="3246"/>
        <v>0</v>
      </c>
      <c r="Y955" s="570">
        <f t="shared" si="3246"/>
        <v>0</v>
      </c>
      <c r="Z955" s="570">
        <f t="shared" si="3246"/>
        <v>0</v>
      </c>
      <c r="AA955" s="570">
        <f t="shared" si="3246"/>
        <v>0</v>
      </c>
      <c r="AB955" s="570">
        <f t="shared" si="3246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247">SUM(AL411)</f>
        <v>0</v>
      </c>
      <c r="AM955" s="570">
        <f t="shared" si="3247"/>
        <v>0</v>
      </c>
      <c r="AN955" s="570">
        <f t="shared" si="3247"/>
        <v>0</v>
      </c>
      <c r="AO955" s="570">
        <f t="shared" si="3247"/>
        <v>0</v>
      </c>
      <c r="AP955" s="570">
        <f t="shared" si="3247"/>
        <v>0</v>
      </c>
      <c r="AQ955" s="570">
        <f t="shared" si="3247"/>
        <v>0</v>
      </c>
      <c r="AR955" s="570">
        <f t="shared" si="3247"/>
        <v>0</v>
      </c>
      <c r="AS955" s="570">
        <f t="shared" si="3247"/>
        <v>0</v>
      </c>
      <c r="AT955" s="570">
        <f t="shared" si="3247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248">SUM(BD411)</f>
        <v>0</v>
      </c>
      <c r="BE955" s="570">
        <f t="shared" si="3248"/>
        <v>0</v>
      </c>
      <c r="BF955" s="570">
        <f t="shared" si="3248"/>
        <v>0</v>
      </c>
      <c r="BG955" s="570">
        <f t="shared" si="3248"/>
        <v>0</v>
      </c>
      <c r="BH955" s="570">
        <f t="shared" si="3248"/>
        <v>0</v>
      </c>
      <c r="BI955" s="570">
        <f t="shared" si="3248"/>
        <v>0</v>
      </c>
      <c r="BJ955" s="570">
        <f t="shared" si="3248"/>
        <v>0</v>
      </c>
      <c r="BK955" s="570">
        <f t="shared" si="3248"/>
        <v>0</v>
      </c>
      <c r="BL955" s="570">
        <f t="shared" si="3248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3120"/>
        <v>0</v>
      </c>
      <c r="CA955" s="373">
        <f t="shared" si="3121"/>
        <v>0</v>
      </c>
      <c r="CB955" s="373">
        <f t="shared" si="3122"/>
        <v>0</v>
      </c>
      <c r="CC955" s="373">
        <f t="shared" si="3123"/>
        <v>0</v>
      </c>
      <c r="CD955" s="1109" t="str">
        <f t="shared" si="3151"/>
        <v/>
      </c>
      <c r="CE955" s="1110" t="str">
        <f t="shared" si="3212"/>
        <v/>
      </c>
      <c r="CF955" s="1111" t="str">
        <f t="shared" si="3212"/>
        <v/>
      </c>
      <c r="CG955" s="1111" t="str">
        <f t="shared" si="3212"/>
        <v/>
      </c>
      <c r="CH955" s="1111">
        <f t="shared" si="3212"/>
        <v>0</v>
      </c>
      <c r="CI955" s="1111">
        <f t="shared" si="3212"/>
        <v>0</v>
      </c>
      <c r="CJ955" s="1111">
        <f t="shared" si="3212"/>
        <v>0</v>
      </c>
      <c r="CK955" s="1112">
        <f t="shared" si="3212"/>
        <v>0</v>
      </c>
      <c r="CL955" s="1112">
        <f t="shared" si="3212"/>
        <v>0</v>
      </c>
      <c r="CM955" s="1112">
        <f t="shared" si="3212"/>
        <v>0</v>
      </c>
      <c r="CN955" s="1111">
        <f t="shared" si="3212"/>
        <v>0</v>
      </c>
      <c r="CO955" s="1111">
        <f t="shared" si="3212"/>
        <v>0</v>
      </c>
      <c r="CP955" s="1111">
        <f t="shared" si="3212"/>
        <v>0</v>
      </c>
      <c r="CQ955" s="1111" t="str">
        <f t="shared" si="3212"/>
        <v/>
      </c>
      <c r="CR955" s="1111" t="str">
        <f t="shared" si="3212"/>
        <v/>
      </c>
      <c r="CS955" s="1110" t="str">
        <f t="shared" si="3212"/>
        <v/>
      </c>
      <c r="CT955" s="1113" t="str">
        <f t="shared" si="3212"/>
        <v/>
      </c>
      <c r="CU955" s="324" t="str">
        <f t="shared" si="3126"/>
        <v/>
      </c>
      <c r="CV955" s="325" t="str">
        <f t="shared" si="3127"/>
        <v/>
      </c>
      <c r="CW955" s="326" t="str">
        <f t="shared" si="3128"/>
        <v/>
      </c>
      <c r="CX955" s="326" t="str">
        <f t="shared" si="3129"/>
        <v/>
      </c>
      <c r="CY955" s="326">
        <f t="shared" si="3130"/>
        <v>0</v>
      </c>
      <c r="CZ955" s="326">
        <f t="shared" si="3131"/>
        <v>0</v>
      </c>
      <c r="DA955" s="326">
        <f t="shared" si="3132"/>
        <v>0</v>
      </c>
      <c r="DB955" s="327">
        <f t="shared" si="3133"/>
        <v>0</v>
      </c>
      <c r="DC955" s="327">
        <f t="shared" si="3134"/>
        <v>0</v>
      </c>
      <c r="DD955" s="327">
        <f t="shared" si="3135"/>
        <v>0</v>
      </c>
      <c r="DE955" s="326">
        <f t="shared" si="3136"/>
        <v>0</v>
      </c>
      <c r="DF955" s="326">
        <f t="shared" si="3137"/>
        <v>0</v>
      </c>
      <c r="DG955" s="326">
        <f t="shared" si="3138"/>
        <v>0</v>
      </c>
      <c r="DH955" s="326" t="str">
        <f t="shared" si="3139"/>
        <v/>
      </c>
      <c r="DI955" s="326" t="str">
        <f t="shared" si="3140"/>
        <v/>
      </c>
      <c r="DJ955" s="325" t="str">
        <f t="shared" si="3141"/>
        <v/>
      </c>
      <c r="DK955" s="324" t="str">
        <f t="shared" si="3142"/>
        <v/>
      </c>
      <c r="DL955" s="428">
        <f t="shared" si="3143"/>
        <v>9</v>
      </c>
      <c r="DM955" s="66">
        <f t="shared" si="3144"/>
        <v>9</v>
      </c>
      <c r="DN955" s="66">
        <f t="shared" si="3145"/>
        <v>9</v>
      </c>
      <c r="DO955" s="66">
        <f t="shared" si="3146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249">SUM(B414)</f>
        <v>0</v>
      </c>
      <c r="C956" s="570">
        <f t="shared" si="3249"/>
        <v>0</v>
      </c>
      <c r="D956" s="570">
        <f t="shared" si="3249"/>
        <v>0</v>
      </c>
      <c r="E956" s="570">
        <f t="shared" si="3249"/>
        <v>0</v>
      </c>
      <c r="F956" s="570">
        <f t="shared" si="3249"/>
        <v>0</v>
      </c>
      <c r="G956" s="570">
        <f t="shared" si="3249"/>
        <v>0</v>
      </c>
      <c r="H956" s="570">
        <f t="shared" si="3249"/>
        <v>0</v>
      </c>
      <c r="I956" s="570">
        <f t="shared" si="3249"/>
        <v>0</v>
      </c>
      <c r="J956" s="570">
        <f t="shared" si="3249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250">SUM(T414)</f>
        <v>0</v>
      </c>
      <c r="U956" s="570">
        <f t="shared" si="3250"/>
        <v>0</v>
      </c>
      <c r="V956" s="570">
        <f t="shared" si="3250"/>
        <v>0</v>
      </c>
      <c r="W956" s="570">
        <f t="shared" si="3250"/>
        <v>0</v>
      </c>
      <c r="X956" s="570">
        <f t="shared" si="3250"/>
        <v>0</v>
      </c>
      <c r="Y956" s="570">
        <f t="shared" si="3250"/>
        <v>0</v>
      </c>
      <c r="Z956" s="570">
        <f t="shared" si="3250"/>
        <v>0</v>
      </c>
      <c r="AA956" s="570">
        <f t="shared" si="3250"/>
        <v>0</v>
      </c>
      <c r="AB956" s="570">
        <f t="shared" si="3250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251">SUM(AL414)</f>
        <v>0</v>
      </c>
      <c r="AM956" s="570">
        <f t="shared" si="3251"/>
        <v>0</v>
      </c>
      <c r="AN956" s="570">
        <f t="shared" si="3251"/>
        <v>0</v>
      </c>
      <c r="AO956" s="570">
        <f t="shared" si="3251"/>
        <v>0</v>
      </c>
      <c r="AP956" s="570">
        <f t="shared" si="3251"/>
        <v>0</v>
      </c>
      <c r="AQ956" s="570">
        <f t="shared" si="3251"/>
        <v>0</v>
      </c>
      <c r="AR956" s="570">
        <f t="shared" si="3251"/>
        <v>0</v>
      </c>
      <c r="AS956" s="570">
        <f t="shared" si="3251"/>
        <v>0</v>
      </c>
      <c r="AT956" s="570">
        <f t="shared" si="3251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252">SUM(BD414)</f>
        <v>0</v>
      </c>
      <c r="BE956" s="570">
        <f t="shared" si="3252"/>
        <v>0</v>
      </c>
      <c r="BF956" s="570">
        <f t="shared" si="3252"/>
        <v>0</v>
      </c>
      <c r="BG956" s="570">
        <f t="shared" si="3252"/>
        <v>0</v>
      </c>
      <c r="BH956" s="570">
        <f t="shared" si="3252"/>
        <v>0</v>
      </c>
      <c r="BI956" s="570">
        <f t="shared" si="3252"/>
        <v>0</v>
      </c>
      <c r="BJ956" s="570">
        <f t="shared" si="3252"/>
        <v>0</v>
      </c>
      <c r="BK956" s="570">
        <f t="shared" si="3252"/>
        <v>0</v>
      </c>
      <c r="BL956" s="570">
        <f t="shared" si="3252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3120"/>
        <v>0</v>
      </c>
      <c r="CA956" s="373">
        <f t="shared" si="3121"/>
        <v>0</v>
      </c>
      <c r="CB956" s="373">
        <f t="shared" si="3122"/>
        <v>0</v>
      </c>
      <c r="CC956" s="373">
        <f t="shared" si="3123"/>
        <v>0</v>
      </c>
      <c r="CD956" s="1109" t="str">
        <f t="shared" si="3151"/>
        <v/>
      </c>
      <c r="CE956" s="1110" t="str">
        <f t="shared" si="3212"/>
        <v/>
      </c>
      <c r="CF956" s="1111" t="str">
        <f t="shared" si="3212"/>
        <v/>
      </c>
      <c r="CG956" s="1111" t="str">
        <f t="shared" si="3212"/>
        <v/>
      </c>
      <c r="CH956" s="1111">
        <f t="shared" si="3212"/>
        <v>0</v>
      </c>
      <c r="CI956" s="1111">
        <f t="shared" si="3212"/>
        <v>0</v>
      </c>
      <c r="CJ956" s="1111">
        <f t="shared" si="3212"/>
        <v>0</v>
      </c>
      <c r="CK956" s="1112">
        <f t="shared" si="3212"/>
        <v>0</v>
      </c>
      <c r="CL956" s="1112">
        <f t="shared" si="3212"/>
        <v>0</v>
      </c>
      <c r="CM956" s="1112">
        <f t="shared" si="3212"/>
        <v>0</v>
      </c>
      <c r="CN956" s="1111">
        <f t="shared" si="3212"/>
        <v>0</v>
      </c>
      <c r="CO956" s="1111">
        <f t="shared" si="3212"/>
        <v>0</v>
      </c>
      <c r="CP956" s="1111">
        <f t="shared" si="3212"/>
        <v>0</v>
      </c>
      <c r="CQ956" s="1111" t="str">
        <f t="shared" si="3212"/>
        <v/>
      </c>
      <c r="CR956" s="1111" t="str">
        <f t="shared" si="3212"/>
        <v/>
      </c>
      <c r="CS956" s="1110" t="str">
        <f t="shared" si="3212"/>
        <v/>
      </c>
      <c r="CT956" s="1113" t="str">
        <f t="shared" si="3212"/>
        <v/>
      </c>
      <c r="CU956" s="324" t="str">
        <f t="shared" si="3126"/>
        <v/>
      </c>
      <c r="CV956" s="325" t="str">
        <f t="shared" si="3127"/>
        <v/>
      </c>
      <c r="CW956" s="326" t="str">
        <f t="shared" si="3128"/>
        <v/>
      </c>
      <c r="CX956" s="326" t="str">
        <f t="shared" si="3129"/>
        <v/>
      </c>
      <c r="CY956" s="326">
        <f t="shared" si="3130"/>
        <v>0</v>
      </c>
      <c r="CZ956" s="326">
        <f t="shared" si="3131"/>
        <v>0</v>
      </c>
      <c r="DA956" s="326">
        <f t="shared" si="3132"/>
        <v>0</v>
      </c>
      <c r="DB956" s="327">
        <f t="shared" si="3133"/>
        <v>0</v>
      </c>
      <c r="DC956" s="327">
        <f t="shared" si="3134"/>
        <v>0</v>
      </c>
      <c r="DD956" s="327">
        <f t="shared" si="3135"/>
        <v>0</v>
      </c>
      <c r="DE956" s="326">
        <f t="shared" si="3136"/>
        <v>0</v>
      </c>
      <c r="DF956" s="326">
        <f t="shared" si="3137"/>
        <v>0</v>
      </c>
      <c r="DG956" s="326">
        <f t="shared" si="3138"/>
        <v>0</v>
      </c>
      <c r="DH956" s="326" t="str">
        <f t="shared" si="3139"/>
        <v/>
      </c>
      <c r="DI956" s="326" t="str">
        <f t="shared" si="3140"/>
        <v/>
      </c>
      <c r="DJ956" s="325" t="str">
        <f t="shared" si="3141"/>
        <v/>
      </c>
      <c r="DK956" s="324" t="str">
        <f t="shared" si="3142"/>
        <v/>
      </c>
      <c r="DL956" s="428">
        <f t="shared" si="3143"/>
        <v>9</v>
      </c>
      <c r="DM956" s="66">
        <f t="shared" si="3144"/>
        <v>9</v>
      </c>
      <c r="DN956" s="66">
        <f t="shared" si="3145"/>
        <v>9</v>
      </c>
      <c r="DO956" s="66">
        <f t="shared" si="3146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253">SUM(B417)</f>
        <v>0</v>
      </c>
      <c r="C957" s="570">
        <f t="shared" si="3253"/>
        <v>0</v>
      </c>
      <c r="D957" s="570">
        <f t="shared" si="3253"/>
        <v>0</v>
      </c>
      <c r="E957" s="570">
        <f t="shared" si="3253"/>
        <v>0</v>
      </c>
      <c r="F957" s="570">
        <f t="shared" si="3253"/>
        <v>0</v>
      </c>
      <c r="G957" s="570">
        <f t="shared" si="3253"/>
        <v>0</v>
      </c>
      <c r="H957" s="570">
        <f t="shared" si="3253"/>
        <v>0</v>
      </c>
      <c r="I957" s="570">
        <f t="shared" si="3253"/>
        <v>0</v>
      </c>
      <c r="J957" s="570">
        <f t="shared" si="3253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254">SUM(T417)</f>
        <v>0</v>
      </c>
      <c r="U957" s="570">
        <f t="shared" si="3254"/>
        <v>0</v>
      </c>
      <c r="V957" s="570">
        <f t="shared" si="3254"/>
        <v>0</v>
      </c>
      <c r="W957" s="570">
        <f t="shared" si="3254"/>
        <v>0</v>
      </c>
      <c r="X957" s="570">
        <f t="shared" si="3254"/>
        <v>0</v>
      </c>
      <c r="Y957" s="570">
        <f t="shared" si="3254"/>
        <v>0</v>
      </c>
      <c r="Z957" s="570">
        <f t="shared" si="3254"/>
        <v>0</v>
      </c>
      <c r="AA957" s="570">
        <f t="shared" si="3254"/>
        <v>0</v>
      </c>
      <c r="AB957" s="570">
        <f t="shared" si="3254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255">SUM(AL417)</f>
        <v>0</v>
      </c>
      <c r="AM957" s="570">
        <f t="shared" si="3255"/>
        <v>0</v>
      </c>
      <c r="AN957" s="570">
        <f t="shared" si="3255"/>
        <v>0</v>
      </c>
      <c r="AO957" s="570">
        <f t="shared" si="3255"/>
        <v>0</v>
      </c>
      <c r="AP957" s="570">
        <f t="shared" si="3255"/>
        <v>0</v>
      </c>
      <c r="AQ957" s="570">
        <f t="shared" si="3255"/>
        <v>0</v>
      </c>
      <c r="AR957" s="570">
        <f t="shared" si="3255"/>
        <v>0</v>
      </c>
      <c r="AS957" s="570">
        <f t="shared" si="3255"/>
        <v>0</v>
      </c>
      <c r="AT957" s="570">
        <f t="shared" si="3255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256">SUM(BD417)</f>
        <v>0</v>
      </c>
      <c r="BE957" s="570">
        <f t="shared" si="3256"/>
        <v>0</v>
      </c>
      <c r="BF957" s="570">
        <f t="shared" si="3256"/>
        <v>0</v>
      </c>
      <c r="BG957" s="570">
        <f t="shared" si="3256"/>
        <v>0</v>
      </c>
      <c r="BH957" s="570">
        <f t="shared" si="3256"/>
        <v>0</v>
      </c>
      <c r="BI957" s="570">
        <f t="shared" si="3256"/>
        <v>0</v>
      </c>
      <c r="BJ957" s="570">
        <f t="shared" si="3256"/>
        <v>0</v>
      </c>
      <c r="BK957" s="570">
        <f t="shared" si="3256"/>
        <v>0</v>
      </c>
      <c r="BL957" s="570">
        <f t="shared" si="3256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3120"/>
        <v>0</v>
      </c>
      <c r="CA957" s="373">
        <f t="shared" si="3121"/>
        <v>0</v>
      </c>
      <c r="CB957" s="373">
        <f t="shared" si="3122"/>
        <v>0</v>
      </c>
      <c r="CC957" s="373">
        <f t="shared" si="3123"/>
        <v>0</v>
      </c>
      <c r="CD957" s="1109" t="str">
        <f t="shared" si="3151"/>
        <v/>
      </c>
      <c r="CE957" s="1110" t="str">
        <f t="shared" si="3212"/>
        <v/>
      </c>
      <c r="CF957" s="1111" t="str">
        <f t="shared" si="3212"/>
        <v/>
      </c>
      <c r="CG957" s="1111" t="str">
        <f t="shared" si="3212"/>
        <v/>
      </c>
      <c r="CH957" s="1111">
        <f t="shared" si="3212"/>
        <v>0</v>
      </c>
      <c r="CI957" s="1111">
        <f t="shared" si="3212"/>
        <v>0</v>
      </c>
      <c r="CJ957" s="1111">
        <f t="shared" si="3212"/>
        <v>0</v>
      </c>
      <c r="CK957" s="1112">
        <f t="shared" si="3212"/>
        <v>0</v>
      </c>
      <c r="CL957" s="1112">
        <f t="shared" si="3212"/>
        <v>0</v>
      </c>
      <c r="CM957" s="1112">
        <f t="shared" si="3212"/>
        <v>0</v>
      </c>
      <c r="CN957" s="1111">
        <f t="shared" si="3212"/>
        <v>0</v>
      </c>
      <c r="CO957" s="1111">
        <f t="shared" si="3212"/>
        <v>0</v>
      </c>
      <c r="CP957" s="1111">
        <f t="shared" si="3212"/>
        <v>0</v>
      </c>
      <c r="CQ957" s="1111" t="str">
        <f t="shared" si="3212"/>
        <v/>
      </c>
      <c r="CR957" s="1111" t="str">
        <f t="shared" si="3212"/>
        <v/>
      </c>
      <c r="CS957" s="1110" t="str">
        <f t="shared" si="3212"/>
        <v/>
      </c>
      <c r="CT957" s="1113" t="str">
        <f t="shared" si="3212"/>
        <v/>
      </c>
      <c r="CU957" s="324" t="str">
        <f t="shared" si="3126"/>
        <v/>
      </c>
      <c r="CV957" s="325" t="str">
        <f t="shared" si="3127"/>
        <v/>
      </c>
      <c r="CW957" s="326" t="str">
        <f t="shared" si="3128"/>
        <v/>
      </c>
      <c r="CX957" s="326" t="str">
        <f t="shared" si="3129"/>
        <v/>
      </c>
      <c r="CY957" s="326">
        <f t="shared" si="3130"/>
        <v>0</v>
      </c>
      <c r="CZ957" s="326">
        <f t="shared" si="3131"/>
        <v>0</v>
      </c>
      <c r="DA957" s="326">
        <f t="shared" si="3132"/>
        <v>0</v>
      </c>
      <c r="DB957" s="327">
        <f t="shared" si="3133"/>
        <v>0</v>
      </c>
      <c r="DC957" s="327">
        <f t="shared" si="3134"/>
        <v>0</v>
      </c>
      <c r="DD957" s="327">
        <f t="shared" si="3135"/>
        <v>0</v>
      </c>
      <c r="DE957" s="326">
        <f t="shared" si="3136"/>
        <v>0</v>
      </c>
      <c r="DF957" s="326">
        <f t="shared" si="3137"/>
        <v>0</v>
      </c>
      <c r="DG957" s="326">
        <f t="shared" si="3138"/>
        <v>0</v>
      </c>
      <c r="DH957" s="326" t="str">
        <f t="shared" si="3139"/>
        <v/>
      </c>
      <c r="DI957" s="326" t="str">
        <f t="shared" si="3140"/>
        <v/>
      </c>
      <c r="DJ957" s="325" t="str">
        <f t="shared" si="3141"/>
        <v/>
      </c>
      <c r="DK957" s="324" t="str">
        <f t="shared" si="3142"/>
        <v/>
      </c>
      <c r="DL957" s="428">
        <f t="shared" si="3143"/>
        <v>9</v>
      </c>
      <c r="DM957" s="66">
        <f t="shared" si="3144"/>
        <v>9</v>
      </c>
      <c r="DN957" s="66">
        <f t="shared" si="3145"/>
        <v>9</v>
      </c>
      <c r="DO957" s="66">
        <f t="shared" si="3146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257">SUM(B421)</f>
        <v>0</v>
      </c>
      <c r="C958" s="570">
        <f t="shared" si="3257"/>
        <v>0</v>
      </c>
      <c r="D958" s="570">
        <f t="shared" si="3257"/>
        <v>0</v>
      </c>
      <c r="E958" s="570">
        <f t="shared" si="3257"/>
        <v>0</v>
      </c>
      <c r="F958" s="570">
        <f t="shared" si="3257"/>
        <v>0</v>
      </c>
      <c r="G958" s="570">
        <f t="shared" si="3257"/>
        <v>0</v>
      </c>
      <c r="H958" s="570">
        <f t="shared" si="3257"/>
        <v>0</v>
      </c>
      <c r="I958" s="570">
        <f t="shared" si="3257"/>
        <v>0</v>
      </c>
      <c r="J958" s="570">
        <f t="shared" si="3257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258">SUM(T421)</f>
        <v>0</v>
      </c>
      <c r="U958" s="570">
        <f t="shared" si="3258"/>
        <v>0</v>
      </c>
      <c r="V958" s="570">
        <f t="shared" si="3258"/>
        <v>0</v>
      </c>
      <c r="W958" s="570">
        <f t="shared" si="3258"/>
        <v>0</v>
      </c>
      <c r="X958" s="570">
        <f t="shared" si="3258"/>
        <v>0</v>
      </c>
      <c r="Y958" s="570">
        <f t="shared" si="3258"/>
        <v>0</v>
      </c>
      <c r="Z958" s="570">
        <f t="shared" si="3258"/>
        <v>0</v>
      </c>
      <c r="AA958" s="570">
        <f t="shared" si="3258"/>
        <v>0</v>
      </c>
      <c r="AB958" s="570">
        <f t="shared" si="3258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259">SUM(AL421)</f>
        <v>0</v>
      </c>
      <c r="AM958" s="570">
        <f t="shared" si="3259"/>
        <v>0</v>
      </c>
      <c r="AN958" s="570">
        <f t="shared" si="3259"/>
        <v>0</v>
      </c>
      <c r="AO958" s="570">
        <f t="shared" si="3259"/>
        <v>0</v>
      </c>
      <c r="AP958" s="570">
        <f t="shared" si="3259"/>
        <v>0</v>
      </c>
      <c r="AQ958" s="570">
        <f t="shared" si="3259"/>
        <v>0</v>
      </c>
      <c r="AR958" s="570">
        <f t="shared" si="3259"/>
        <v>0</v>
      </c>
      <c r="AS958" s="570">
        <f t="shared" si="3259"/>
        <v>0</v>
      </c>
      <c r="AT958" s="570">
        <f t="shared" si="3259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260">SUM(BD421)</f>
        <v>0</v>
      </c>
      <c r="BE958" s="570">
        <f t="shared" si="3260"/>
        <v>0</v>
      </c>
      <c r="BF958" s="570">
        <f t="shared" si="3260"/>
        <v>0</v>
      </c>
      <c r="BG958" s="570">
        <f t="shared" si="3260"/>
        <v>0</v>
      </c>
      <c r="BH958" s="570">
        <f t="shared" si="3260"/>
        <v>0</v>
      </c>
      <c r="BI958" s="570">
        <f t="shared" si="3260"/>
        <v>0</v>
      </c>
      <c r="BJ958" s="570">
        <f t="shared" si="3260"/>
        <v>0</v>
      </c>
      <c r="BK958" s="570">
        <f t="shared" si="3260"/>
        <v>0</v>
      </c>
      <c r="BL958" s="570">
        <f t="shared" si="3260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3120"/>
        <v>0</v>
      </c>
      <c r="CA958" s="373">
        <f t="shared" si="3121"/>
        <v>0</v>
      </c>
      <c r="CB958" s="373">
        <f t="shared" si="3122"/>
        <v>0</v>
      </c>
      <c r="CC958" s="373">
        <f t="shared" si="3123"/>
        <v>0</v>
      </c>
      <c r="CD958" s="1109" t="str">
        <f t="shared" si="3151"/>
        <v/>
      </c>
      <c r="CE958" s="1110" t="str">
        <f t="shared" si="3212"/>
        <v/>
      </c>
      <c r="CF958" s="1111" t="str">
        <f t="shared" si="3212"/>
        <v/>
      </c>
      <c r="CG958" s="1111" t="str">
        <f t="shared" si="3212"/>
        <v/>
      </c>
      <c r="CH958" s="1111">
        <f t="shared" si="3212"/>
        <v>0</v>
      </c>
      <c r="CI958" s="1111">
        <f t="shared" si="3212"/>
        <v>0</v>
      </c>
      <c r="CJ958" s="1111">
        <f t="shared" si="3212"/>
        <v>0</v>
      </c>
      <c r="CK958" s="1112">
        <f t="shared" si="3212"/>
        <v>0</v>
      </c>
      <c r="CL958" s="1112">
        <f t="shared" si="3212"/>
        <v>0</v>
      </c>
      <c r="CM958" s="1112">
        <f t="shared" si="3212"/>
        <v>0</v>
      </c>
      <c r="CN958" s="1111">
        <f t="shared" si="3212"/>
        <v>0</v>
      </c>
      <c r="CO958" s="1111">
        <f t="shared" si="3212"/>
        <v>0</v>
      </c>
      <c r="CP958" s="1111">
        <f t="shared" si="3212"/>
        <v>0</v>
      </c>
      <c r="CQ958" s="1111" t="str">
        <f t="shared" si="3212"/>
        <v/>
      </c>
      <c r="CR958" s="1111" t="str">
        <f t="shared" si="3212"/>
        <v/>
      </c>
      <c r="CS958" s="1110" t="str">
        <f t="shared" si="3212"/>
        <v/>
      </c>
      <c r="CT958" s="1113" t="str">
        <f t="shared" si="3212"/>
        <v/>
      </c>
      <c r="CU958" s="324" t="str">
        <f t="shared" si="3126"/>
        <v/>
      </c>
      <c r="CV958" s="325" t="str">
        <f t="shared" si="3127"/>
        <v/>
      </c>
      <c r="CW958" s="326" t="str">
        <f t="shared" si="3128"/>
        <v/>
      </c>
      <c r="CX958" s="326" t="str">
        <f t="shared" si="3129"/>
        <v/>
      </c>
      <c r="CY958" s="326">
        <f t="shared" si="3130"/>
        <v>0</v>
      </c>
      <c r="CZ958" s="326">
        <f t="shared" si="3131"/>
        <v>0</v>
      </c>
      <c r="DA958" s="326">
        <f t="shared" si="3132"/>
        <v>0</v>
      </c>
      <c r="DB958" s="327">
        <f t="shared" si="3133"/>
        <v>0</v>
      </c>
      <c r="DC958" s="327">
        <f t="shared" si="3134"/>
        <v>0</v>
      </c>
      <c r="DD958" s="327">
        <f t="shared" si="3135"/>
        <v>0</v>
      </c>
      <c r="DE958" s="326">
        <f t="shared" si="3136"/>
        <v>0</v>
      </c>
      <c r="DF958" s="326">
        <f t="shared" si="3137"/>
        <v>0</v>
      </c>
      <c r="DG958" s="326">
        <f t="shared" si="3138"/>
        <v>0</v>
      </c>
      <c r="DH958" s="326" t="str">
        <f t="shared" si="3139"/>
        <v/>
      </c>
      <c r="DI958" s="326" t="str">
        <f t="shared" si="3140"/>
        <v/>
      </c>
      <c r="DJ958" s="325" t="str">
        <f t="shared" si="3141"/>
        <v/>
      </c>
      <c r="DK958" s="324" t="str">
        <f t="shared" si="3142"/>
        <v/>
      </c>
      <c r="DL958" s="428">
        <f t="shared" si="3143"/>
        <v>9</v>
      </c>
      <c r="DM958" s="66">
        <f t="shared" si="3144"/>
        <v>9</v>
      </c>
      <c r="DN958" s="66">
        <f t="shared" si="3145"/>
        <v>9</v>
      </c>
      <c r="DO958" s="66">
        <f t="shared" si="3146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261">SUM(B425)</f>
        <v>0</v>
      </c>
      <c r="C959" s="570">
        <f t="shared" si="3261"/>
        <v>0</v>
      </c>
      <c r="D959" s="570">
        <f t="shared" si="3261"/>
        <v>0</v>
      </c>
      <c r="E959" s="570">
        <f t="shared" si="3261"/>
        <v>0</v>
      </c>
      <c r="F959" s="570">
        <f t="shared" si="3261"/>
        <v>0</v>
      </c>
      <c r="G959" s="570">
        <f t="shared" si="3261"/>
        <v>0</v>
      </c>
      <c r="H959" s="570">
        <f t="shared" si="3261"/>
        <v>0</v>
      </c>
      <c r="I959" s="570">
        <f t="shared" si="3261"/>
        <v>0</v>
      </c>
      <c r="J959" s="570">
        <f t="shared" si="3261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262">SUM(T425)</f>
        <v>0</v>
      </c>
      <c r="U959" s="570">
        <f t="shared" si="3262"/>
        <v>0</v>
      </c>
      <c r="V959" s="570">
        <f t="shared" si="3262"/>
        <v>0</v>
      </c>
      <c r="W959" s="570">
        <f t="shared" si="3262"/>
        <v>0</v>
      </c>
      <c r="X959" s="570">
        <f t="shared" si="3262"/>
        <v>0</v>
      </c>
      <c r="Y959" s="570">
        <f t="shared" si="3262"/>
        <v>0</v>
      </c>
      <c r="Z959" s="570">
        <f t="shared" si="3262"/>
        <v>0</v>
      </c>
      <c r="AA959" s="570">
        <f t="shared" si="3262"/>
        <v>0</v>
      </c>
      <c r="AB959" s="570">
        <f t="shared" si="3262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263">SUM(AL425)</f>
        <v>0</v>
      </c>
      <c r="AM959" s="570">
        <f t="shared" si="3263"/>
        <v>0</v>
      </c>
      <c r="AN959" s="570">
        <f t="shared" si="3263"/>
        <v>0</v>
      </c>
      <c r="AO959" s="570">
        <f t="shared" si="3263"/>
        <v>0</v>
      </c>
      <c r="AP959" s="570">
        <f t="shared" si="3263"/>
        <v>0</v>
      </c>
      <c r="AQ959" s="570">
        <f t="shared" si="3263"/>
        <v>0</v>
      </c>
      <c r="AR959" s="570">
        <f t="shared" si="3263"/>
        <v>0</v>
      </c>
      <c r="AS959" s="570">
        <f t="shared" si="3263"/>
        <v>0</v>
      </c>
      <c r="AT959" s="570">
        <f t="shared" si="3263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264">SUM(BD425)</f>
        <v>0</v>
      </c>
      <c r="BE959" s="570">
        <f t="shared" si="3264"/>
        <v>0</v>
      </c>
      <c r="BF959" s="570">
        <f t="shared" si="3264"/>
        <v>0</v>
      </c>
      <c r="BG959" s="570">
        <f t="shared" si="3264"/>
        <v>0</v>
      </c>
      <c r="BH959" s="570">
        <f t="shared" si="3264"/>
        <v>0</v>
      </c>
      <c r="BI959" s="570">
        <f t="shared" si="3264"/>
        <v>0</v>
      </c>
      <c r="BJ959" s="570">
        <f t="shared" si="3264"/>
        <v>0</v>
      </c>
      <c r="BK959" s="570">
        <f t="shared" si="3264"/>
        <v>0</v>
      </c>
      <c r="BL959" s="570">
        <f t="shared" si="3264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3120"/>
        <v>0</v>
      </c>
      <c r="CA959" s="373">
        <f t="shared" si="3121"/>
        <v>0</v>
      </c>
      <c r="CB959" s="373">
        <f t="shared" si="3122"/>
        <v>0</v>
      </c>
      <c r="CC959" s="373">
        <f t="shared" si="3123"/>
        <v>0</v>
      </c>
      <c r="CD959" s="1109" t="str">
        <f t="shared" si="3151"/>
        <v/>
      </c>
      <c r="CE959" s="1110" t="str">
        <f t="shared" si="3212"/>
        <v/>
      </c>
      <c r="CF959" s="1111" t="str">
        <f t="shared" si="3212"/>
        <v/>
      </c>
      <c r="CG959" s="1111" t="str">
        <f t="shared" si="3212"/>
        <v/>
      </c>
      <c r="CH959" s="1111">
        <f t="shared" si="3212"/>
        <v>0</v>
      </c>
      <c r="CI959" s="1111">
        <f t="shared" si="3212"/>
        <v>0</v>
      </c>
      <c r="CJ959" s="1111">
        <f t="shared" si="3212"/>
        <v>0</v>
      </c>
      <c r="CK959" s="1112">
        <f t="shared" si="3212"/>
        <v>0</v>
      </c>
      <c r="CL959" s="1112">
        <f t="shared" si="3212"/>
        <v>0</v>
      </c>
      <c r="CM959" s="1112">
        <f t="shared" si="3212"/>
        <v>0</v>
      </c>
      <c r="CN959" s="1111">
        <f t="shared" si="3212"/>
        <v>0</v>
      </c>
      <c r="CO959" s="1111">
        <f t="shared" si="3212"/>
        <v>0</v>
      </c>
      <c r="CP959" s="1111">
        <f t="shared" si="3212"/>
        <v>0</v>
      </c>
      <c r="CQ959" s="1111" t="str">
        <f t="shared" si="3212"/>
        <v/>
      </c>
      <c r="CR959" s="1111" t="str">
        <f t="shared" si="3212"/>
        <v/>
      </c>
      <c r="CS959" s="1110" t="str">
        <f t="shared" si="3212"/>
        <v/>
      </c>
      <c r="CT959" s="1113" t="str">
        <f t="shared" si="3212"/>
        <v/>
      </c>
      <c r="CU959" s="324" t="str">
        <f t="shared" si="3126"/>
        <v/>
      </c>
      <c r="CV959" s="325" t="str">
        <f t="shared" si="3127"/>
        <v/>
      </c>
      <c r="CW959" s="326" t="str">
        <f t="shared" si="3128"/>
        <v/>
      </c>
      <c r="CX959" s="326" t="str">
        <f t="shared" si="3129"/>
        <v/>
      </c>
      <c r="CY959" s="326">
        <f t="shared" si="3130"/>
        <v>0</v>
      </c>
      <c r="CZ959" s="326">
        <f t="shared" si="3131"/>
        <v>0</v>
      </c>
      <c r="DA959" s="326">
        <f t="shared" si="3132"/>
        <v>0</v>
      </c>
      <c r="DB959" s="327">
        <f t="shared" si="3133"/>
        <v>0</v>
      </c>
      <c r="DC959" s="327">
        <f t="shared" si="3134"/>
        <v>0</v>
      </c>
      <c r="DD959" s="327">
        <f t="shared" si="3135"/>
        <v>0</v>
      </c>
      <c r="DE959" s="326">
        <f t="shared" si="3136"/>
        <v>0</v>
      </c>
      <c r="DF959" s="326">
        <f t="shared" si="3137"/>
        <v>0</v>
      </c>
      <c r="DG959" s="326">
        <f t="shared" si="3138"/>
        <v>0</v>
      </c>
      <c r="DH959" s="326" t="str">
        <f t="shared" si="3139"/>
        <v/>
      </c>
      <c r="DI959" s="326" t="str">
        <f t="shared" si="3140"/>
        <v/>
      </c>
      <c r="DJ959" s="325" t="str">
        <f t="shared" si="3141"/>
        <v/>
      </c>
      <c r="DK959" s="324" t="str">
        <f t="shared" si="3142"/>
        <v/>
      </c>
      <c r="DL959" s="428">
        <f t="shared" si="3143"/>
        <v>9</v>
      </c>
      <c r="DM959" s="66">
        <f t="shared" si="3144"/>
        <v>9</v>
      </c>
      <c r="DN959" s="66">
        <f t="shared" si="3145"/>
        <v>9</v>
      </c>
      <c r="DO959" s="66">
        <f t="shared" si="3146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3"/>
      <c r="CE960" s="1134"/>
      <c r="CF960" s="1134"/>
      <c r="CG960" s="1134"/>
      <c r="CH960" s="1134"/>
      <c r="CI960" s="1134"/>
      <c r="CJ960" s="1134"/>
      <c r="CK960" s="1134"/>
      <c r="CL960" s="1134"/>
      <c r="CM960" s="1134"/>
      <c r="CN960" s="1134"/>
      <c r="CO960" s="1134"/>
      <c r="CP960" s="1134"/>
      <c r="CQ960" s="1134"/>
      <c r="CR960" s="1134"/>
      <c r="CS960" s="1134"/>
      <c r="CT960" s="1135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265">SUM(B434)</f>
        <v>0</v>
      </c>
      <c r="C961" s="570">
        <f t="shared" si="3265"/>
        <v>0</v>
      </c>
      <c r="D961" s="570">
        <f t="shared" si="3265"/>
        <v>0</v>
      </c>
      <c r="E961" s="570">
        <f t="shared" si="3265"/>
        <v>0</v>
      </c>
      <c r="F961" s="570">
        <f t="shared" si="3265"/>
        <v>0</v>
      </c>
      <c r="G961" s="570">
        <f t="shared" si="3265"/>
        <v>0</v>
      </c>
      <c r="H961" s="570">
        <f t="shared" si="3265"/>
        <v>0</v>
      </c>
      <c r="I961" s="570">
        <f t="shared" si="3265"/>
        <v>0</v>
      </c>
      <c r="J961" s="570">
        <f t="shared" si="3265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266">SUM(T434)</f>
        <v>0</v>
      </c>
      <c r="U961" s="570">
        <f t="shared" si="3266"/>
        <v>0</v>
      </c>
      <c r="V961" s="570">
        <f t="shared" si="3266"/>
        <v>0</v>
      </c>
      <c r="W961" s="570">
        <f t="shared" si="3266"/>
        <v>0</v>
      </c>
      <c r="X961" s="570">
        <f t="shared" si="3266"/>
        <v>0</v>
      </c>
      <c r="Y961" s="570">
        <f t="shared" si="3266"/>
        <v>0</v>
      </c>
      <c r="Z961" s="570">
        <f t="shared" si="3266"/>
        <v>0</v>
      </c>
      <c r="AA961" s="570">
        <f t="shared" si="3266"/>
        <v>0</v>
      </c>
      <c r="AB961" s="570">
        <f t="shared" si="3266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267">SUM(AL434)</f>
        <v>0</v>
      </c>
      <c r="AM961" s="570">
        <f t="shared" si="3267"/>
        <v>0</v>
      </c>
      <c r="AN961" s="570">
        <f t="shared" si="3267"/>
        <v>0</v>
      </c>
      <c r="AO961" s="570">
        <f t="shared" si="3267"/>
        <v>0</v>
      </c>
      <c r="AP961" s="570">
        <f t="shared" si="3267"/>
        <v>0</v>
      </c>
      <c r="AQ961" s="570">
        <f t="shared" si="3267"/>
        <v>0</v>
      </c>
      <c r="AR961" s="570">
        <f t="shared" si="3267"/>
        <v>0</v>
      </c>
      <c r="AS961" s="570">
        <f t="shared" si="3267"/>
        <v>0</v>
      </c>
      <c r="AT961" s="570">
        <f t="shared" si="3267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268">SUM(BD434)</f>
        <v>0</v>
      </c>
      <c r="BE961" s="570">
        <f t="shared" si="3268"/>
        <v>0</v>
      </c>
      <c r="BF961" s="570">
        <f t="shared" si="3268"/>
        <v>0</v>
      </c>
      <c r="BG961" s="570">
        <f t="shared" si="3268"/>
        <v>0</v>
      </c>
      <c r="BH961" s="570">
        <f t="shared" si="3268"/>
        <v>0</v>
      </c>
      <c r="BI961" s="570">
        <f t="shared" si="3268"/>
        <v>0</v>
      </c>
      <c r="BJ961" s="570">
        <f t="shared" si="3268"/>
        <v>0</v>
      </c>
      <c r="BK961" s="570">
        <f t="shared" si="3268"/>
        <v>0</v>
      </c>
      <c r="BL961" s="570">
        <f t="shared" si="3268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9" t="str">
        <f t="shared" ref="CD961:CS962" si="326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0" t="str">
        <f t="shared" si="3269"/>
        <v/>
      </c>
      <c r="CF961" s="1111" t="str">
        <f t="shared" si="3269"/>
        <v/>
      </c>
      <c r="CG961" s="1111" t="str">
        <f t="shared" si="3269"/>
        <v/>
      </c>
      <c r="CH961" s="1111">
        <f t="shared" si="3269"/>
        <v>0</v>
      </c>
      <c r="CI961" s="1111">
        <f t="shared" si="3269"/>
        <v>0</v>
      </c>
      <c r="CJ961" s="1111">
        <f t="shared" si="3269"/>
        <v>0</v>
      </c>
      <c r="CK961" s="1112">
        <f t="shared" si="3269"/>
        <v>0</v>
      </c>
      <c r="CL961" s="1112">
        <f t="shared" si="3269"/>
        <v>0</v>
      </c>
      <c r="CM961" s="1112">
        <f t="shared" si="3269"/>
        <v>0</v>
      </c>
      <c r="CN961" s="1111">
        <f t="shared" si="3269"/>
        <v>0</v>
      </c>
      <c r="CO961" s="1111">
        <f t="shared" si="3269"/>
        <v>0</v>
      </c>
      <c r="CP961" s="1111">
        <f t="shared" si="3269"/>
        <v>0</v>
      </c>
      <c r="CQ961" s="1111" t="str">
        <f t="shared" si="3269"/>
        <v/>
      </c>
      <c r="CR961" s="1111" t="str">
        <f t="shared" si="3269"/>
        <v/>
      </c>
      <c r="CS961" s="1110" t="str">
        <f t="shared" si="3269"/>
        <v/>
      </c>
      <c r="CT961" s="1113" t="str">
        <f t="shared" ref="CE961:CT962" si="327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27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271"/>
        <v/>
      </c>
      <c r="CW961" s="326" t="str">
        <f t="shared" si="3271"/>
        <v/>
      </c>
      <c r="CX961" s="326" t="str">
        <f t="shared" si="3271"/>
        <v/>
      </c>
      <c r="CY961" s="326">
        <f t="shared" si="3271"/>
        <v>0</v>
      </c>
      <c r="CZ961" s="326">
        <f t="shared" si="3271"/>
        <v>0</v>
      </c>
      <c r="DA961" s="326">
        <f t="shared" si="3271"/>
        <v>0</v>
      </c>
      <c r="DB961" s="327">
        <f t="shared" si="3271"/>
        <v>0</v>
      </c>
      <c r="DC961" s="327">
        <f t="shared" si="3271"/>
        <v>0</v>
      </c>
      <c r="DD961" s="327">
        <f t="shared" si="3271"/>
        <v>0</v>
      </c>
      <c r="DE961" s="326">
        <f t="shared" ref="DE961:DK962" si="327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272"/>
        <v>0</v>
      </c>
      <c r="DG961" s="326">
        <f t="shared" si="3272"/>
        <v>0</v>
      </c>
      <c r="DH961" s="326" t="str">
        <f t="shared" si="3272"/>
        <v/>
      </c>
      <c r="DI961" s="326" t="str">
        <f t="shared" si="3272"/>
        <v/>
      </c>
      <c r="DJ961" s="325" t="str">
        <f t="shared" si="3272"/>
        <v/>
      </c>
      <c r="DK961" s="324" t="str">
        <f t="shared" si="3272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273">SUM(B444)</f>
        <v>0</v>
      </c>
      <c r="C962" s="570">
        <f t="shared" si="3273"/>
        <v>0</v>
      </c>
      <c r="D962" s="570">
        <f t="shared" si="3273"/>
        <v>0</v>
      </c>
      <c r="E962" s="570">
        <f t="shared" si="3273"/>
        <v>0</v>
      </c>
      <c r="F962" s="570">
        <f t="shared" si="3273"/>
        <v>0</v>
      </c>
      <c r="G962" s="570">
        <f t="shared" si="3273"/>
        <v>0</v>
      </c>
      <c r="H962" s="570">
        <f t="shared" si="3273"/>
        <v>0</v>
      </c>
      <c r="I962" s="570">
        <f t="shared" si="3273"/>
        <v>0</v>
      </c>
      <c r="J962" s="570">
        <f t="shared" si="3273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274">SUM(T444)</f>
        <v>0</v>
      </c>
      <c r="U962" s="570">
        <f t="shared" si="3274"/>
        <v>0</v>
      </c>
      <c r="V962" s="570">
        <f t="shared" si="3274"/>
        <v>0</v>
      </c>
      <c r="W962" s="570">
        <f t="shared" si="3274"/>
        <v>0</v>
      </c>
      <c r="X962" s="570">
        <f t="shared" si="3274"/>
        <v>0</v>
      </c>
      <c r="Y962" s="570">
        <f t="shared" si="3274"/>
        <v>0</v>
      </c>
      <c r="Z962" s="570">
        <f t="shared" si="3274"/>
        <v>0</v>
      </c>
      <c r="AA962" s="570">
        <f t="shared" si="3274"/>
        <v>0</v>
      </c>
      <c r="AB962" s="570">
        <f t="shared" si="3274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275">SUM(AL444)</f>
        <v>0</v>
      </c>
      <c r="AM962" s="570">
        <f t="shared" si="3275"/>
        <v>0</v>
      </c>
      <c r="AN962" s="570">
        <f t="shared" si="3275"/>
        <v>0</v>
      </c>
      <c r="AO962" s="570">
        <f t="shared" si="3275"/>
        <v>0</v>
      </c>
      <c r="AP962" s="570">
        <f t="shared" si="3275"/>
        <v>0</v>
      </c>
      <c r="AQ962" s="570">
        <f t="shared" si="3275"/>
        <v>0</v>
      </c>
      <c r="AR962" s="570">
        <f t="shared" si="3275"/>
        <v>0</v>
      </c>
      <c r="AS962" s="570">
        <f t="shared" si="3275"/>
        <v>0</v>
      </c>
      <c r="AT962" s="570">
        <f t="shared" si="3275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276">SUM(BD444)</f>
        <v>0</v>
      </c>
      <c r="BE962" s="570">
        <f t="shared" si="3276"/>
        <v>0</v>
      </c>
      <c r="BF962" s="570">
        <f t="shared" si="3276"/>
        <v>0</v>
      </c>
      <c r="BG962" s="570">
        <f t="shared" si="3276"/>
        <v>0</v>
      </c>
      <c r="BH962" s="570">
        <f t="shared" si="3276"/>
        <v>0</v>
      </c>
      <c r="BI962" s="570">
        <f t="shared" si="3276"/>
        <v>0</v>
      </c>
      <c r="BJ962" s="570">
        <f t="shared" si="3276"/>
        <v>0</v>
      </c>
      <c r="BK962" s="570">
        <f t="shared" si="3276"/>
        <v>0</v>
      </c>
      <c r="BL962" s="570">
        <f t="shared" si="3276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9" t="str">
        <f t="shared" si="3269"/>
        <v/>
      </c>
      <c r="CE962" s="1110" t="str">
        <f t="shared" si="3270"/>
        <v/>
      </c>
      <c r="CF962" s="1111" t="str">
        <f t="shared" si="3270"/>
        <v/>
      </c>
      <c r="CG962" s="1111" t="str">
        <f t="shared" si="3270"/>
        <v/>
      </c>
      <c r="CH962" s="1111">
        <f t="shared" si="3270"/>
        <v>0</v>
      </c>
      <c r="CI962" s="1111">
        <f t="shared" si="3270"/>
        <v>0</v>
      </c>
      <c r="CJ962" s="1111">
        <f t="shared" si="3270"/>
        <v>0</v>
      </c>
      <c r="CK962" s="1112">
        <f t="shared" si="3270"/>
        <v>0</v>
      </c>
      <c r="CL962" s="1112">
        <f t="shared" si="3270"/>
        <v>0</v>
      </c>
      <c r="CM962" s="1112">
        <f t="shared" si="3270"/>
        <v>0</v>
      </c>
      <c r="CN962" s="1111">
        <f t="shared" si="3270"/>
        <v>0</v>
      </c>
      <c r="CO962" s="1111">
        <f t="shared" si="3270"/>
        <v>0</v>
      </c>
      <c r="CP962" s="1111">
        <f t="shared" si="3270"/>
        <v>0</v>
      </c>
      <c r="CQ962" s="1111" t="str">
        <f t="shared" si="3270"/>
        <v/>
      </c>
      <c r="CR962" s="1111" t="str">
        <f t="shared" si="3270"/>
        <v/>
      </c>
      <c r="CS962" s="1110" t="str">
        <f t="shared" si="3270"/>
        <v/>
      </c>
      <c r="CT962" s="1113" t="str">
        <f t="shared" si="3270"/>
        <v/>
      </c>
      <c r="CU962" s="324" t="str">
        <f t="shared" si="3271"/>
        <v/>
      </c>
      <c r="CV962" s="325" t="str">
        <f t="shared" si="3271"/>
        <v/>
      </c>
      <c r="CW962" s="326" t="str">
        <f t="shared" si="3271"/>
        <v/>
      </c>
      <c r="CX962" s="326" t="str">
        <f t="shared" si="3271"/>
        <v/>
      </c>
      <c r="CY962" s="326">
        <f t="shared" si="3271"/>
        <v>0</v>
      </c>
      <c r="CZ962" s="326">
        <f t="shared" si="3271"/>
        <v>0</v>
      </c>
      <c r="DA962" s="326">
        <f t="shared" si="3271"/>
        <v>0</v>
      </c>
      <c r="DB962" s="327">
        <f t="shared" si="3271"/>
        <v>0</v>
      </c>
      <c r="DC962" s="327">
        <f t="shared" si="3271"/>
        <v>0</v>
      </c>
      <c r="DD962" s="327">
        <f t="shared" si="3271"/>
        <v>0</v>
      </c>
      <c r="DE962" s="326">
        <f t="shared" si="3272"/>
        <v>0</v>
      </c>
      <c r="DF962" s="326">
        <f t="shared" si="3272"/>
        <v>0</v>
      </c>
      <c r="DG962" s="326">
        <f t="shared" si="3272"/>
        <v>0</v>
      </c>
      <c r="DH962" s="326" t="str">
        <f t="shared" si="3272"/>
        <v/>
      </c>
      <c r="DI962" s="326" t="str">
        <f t="shared" si="3272"/>
        <v/>
      </c>
      <c r="DJ962" s="325" t="str">
        <f t="shared" si="3272"/>
        <v/>
      </c>
      <c r="DK962" s="324" t="str">
        <f t="shared" si="3272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19"/>
      <c r="CE963" s="1120"/>
      <c r="CF963" s="1120"/>
      <c r="CG963" s="1120"/>
      <c r="CH963" s="1120"/>
      <c r="CI963" s="1120"/>
      <c r="CJ963" s="1120"/>
      <c r="CK963" s="1120"/>
      <c r="CL963" s="1120"/>
      <c r="CM963" s="1120"/>
      <c r="CN963" s="1120"/>
      <c r="CO963" s="1120"/>
      <c r="CP963" s="1120"/>
      <c r="CQ963" s="1120"/>
      <c r="CR963" s="1120"/>
      <c r="CS963" s="1120"/>
      <c r="CT963" s="1121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277">SUM(B707)</f>
        <v>2600</v>
      </c>
      <c r="C964" s="570">
        <f t="shared" si="3277"/>
        <v>4380</v>
      </c>
      <c r="D964" s="570">
        <f t="shared" si="3277"/>
        <v>2380</v>
      </c>
      <c r="E964" s="570">
        <f t="shared" si="3277"/>
        <v>3720</v>
      </c>
      <c r="F964" s="570">
        <f t="shared" si="3277"/>
        <v>1740</v>
      </c>
      <c r="G964" s="570">
        <f t="shared" si="3277"/>
        <v>2130</v>
      </c>
      <c r="H964" s="570">
        <f t="shared" si="3277"/>
        <v>1480</v>
      </c>
      <c r="I964" s="570">
        <f t="shared" si="3277"/>
        <v>1840</v>
      </c>
      <c r="J964" s="570">
        <f t="shared" si="3277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278">SUM(T707)</f>
        <v>6020</v>
      </c>
      <c r="U964" s="570">
        <f t="shared" si="3278"/>
        <v>1140</v>
      </c>
      <c r="V964" s="570">
        <f t="shared" si="3278"/>
        <v>960</v>
      </c>
      <c r="W964" s="570">
        <f t="shared" si="3278"/>
        <v>540</v>
      </c>
      <c r="X964" s="570">
        <f t="shared" si="3278"/>
        <v>1820</v>
      </c>
      <c r="Y964" s="570">
        <f t="shared" si="3278"/>
        <v>2440</v>
      </c>
      <c r="Z964" s="570">
        <f t="shared" si="3278"/>
        <v>1500</v>
      </c>
      <c r="AA964" s="570">
        <f t="shared" si="3278"/>
        <v>661.5</v>
      </c>
      <c r="AB964" s="570">
        <f t="shared" si="3278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279">SUM(AL707)</f>
        <v>460</v>
      </c>
      <c r="AM964" s="570">
        <f t="shared" si="3279"/>
        <v>0</v>
      </c>
      <c r="AN964" s="570">
        <f t="shared" si="3279"/>
        <v>1410</v>
      </c>
      <c r="AO964" s="570">
        <f t="shared" si="3279"/>
        <v>3890</v>
      </c>
      <c r="AP964" s="570">
        <f t="shared" si="3279"/>
        <v>0</v>
      </c>
      <c r="AQ964" s="570">
        <f t="shared" si="3279"/>
        <v>2300</v>
      </c>
      <c r="AR964" s="570">
        <f t="shared" si="3279"/>
        <v>0</v>
      </c>
      <c r="AS964" s="570">
        <f t="shared" si="3279"/>
        <v>0</v>
      </c>
      <c r="AT964" s="570">
        <f t="shared" si="3279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280">SUM(BD707)</f>
        <v>0</v>
      </c>
      <c r="BE964" s="570">
        <f t="shared" si="3280"/>
        <v>0</v>
      </c>
      <c r="BF964" s="570">
        <f t="shared" si="3280"/>
        <v>0</v>
      </c>
      <c r="BG964" s="570">
        <f t="shared" si="3280"/>
        <v>0</v>
      </c>
      <c r="BH964" s="570">
        <f t="shared" si="3280"/>
        <v>0</v>
      </c>
      <c r="BI964" s="570">
        <f t="shared" si="3280"/>
        <v>0</v>
      </c>
      <c r="BJ964" s="570">
        <f t="shared" si="3280"/>
        <v>0</v>
      </c>
      <c r="BK964" s="570">
        <f t="shared" si="3280"/>
        <v>0</v>
      </c>
      <c r="BL964" s="570">
        <f t="shared" si="3280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09" t="str">
        <f t="shared" ref="CD964:CS964" si="328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0" t="str">
        <f t="shared" si="3281"/>
        <v/>
      </c>
      <c r="CF964" s="1111" t="str">
        <f t="shared" si="3281"/>
        <v/>
      </c>
      <c r="CG964" s="1111" t="str">
        <f t="shared" si="3281"/>
        <v/>
      </c>
      <c r="CH964" s="1111">
        <f t="shared" si="3281"/>
        <v>850</v>
      </c>
      <c r="CI964" s="1111">
        <f t="shared" si="3281"/>
        <v>1480</v>
      </c>
      <c r="CJ964" s="1111">
        <f t="shared" si="3281"/>
        <v>1740</v>
      </c>
      <c r="CK964" s="1112">
        <f t="shared" si="3281"/>
        <v>1840</v>
      </c>
      <c r="CL964" s="1112">
        <f t="shared" si="3281"/>
        <v>2130</v>
      </c>
      <c r="CM964" s="1112">
        <f t="shared" si="3281"/>
        <v>2380</v>
      </c>
      <c r="CN964" s="1111">
        <f t="shared" si="3281"/>
        <v>2600</v>
      </c>
      <c r="CO964" s="1111">
        <f t="shared" si="3281"/>
        <v>3720</v>
      </c>
      <c r="CP964" s="1111">
        <f t="shared" si="3281"/>
        <v>4380</v>
      </c>
      <c r="CQ964" s="1111" t="str">
        <f t="shared" si="3281"/>
        <v/>
      </c>
      <c r="CR964" s="1111" t="str">
        <f t="shared" si="3281"/>
        <v/>
      </c>
      <c r="CS964" s="1110" t="str">
        <f t="shared" si="3281"/>
        <v/>
      </c>
      <c r="CT964" s="1113" t="str">
        <f t="shared" ref="CE964:CT966" si="328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28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283"/>
        <v/>
      </c>
      <c r="CW964" s="326" t="str">
        <f t="shared" si="3283"/>
        <v/>
      </c>
      <c r="CX964" s="326" t="str">
        <f t="shared" si="3283"/>
        <v/>
      </c>
      <c r="CY964" s="326">
        <f t="shared" si="3283"/>
        <v>540</v>
      </c>
      <c r="CZ964" s="326">
        <f t="shared" si="3283"/>
        <v>661.5</v>
      </c>
      <c r="DA964" s="326">
        <f t="shared" si="3283"/>
        <v>960</v>
      </c>
      <c r="DB964" s="327">
        <f t="shared" si="3283"/>
        <v>1140</v>
      </c>
      <c r="DC964" s="327">
        <f t="shared" si="3283"/>
        <v>1500</v>
      </c>
      <c r="DD964" s="327">
        <f t="shared" si="3283"/>
        <v>1820</v>
      </c>
      <c r="DE964" s="326">
        <f t="shared" ref="DE964:DK966" si="328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284"/>
        <v>2440</v>
      </c>
      <c r="DG964" s="326">
        <f t="shared" si="3284"/>
        <v>6020</v>
      </c>
      <c r="DH964" s="326" t="str">
        <f t="shared" si="3284"/>
        <v/>
      </c>
      <c r="DI964" s="326" t="str">
        <f t="shared" si="3284"/>
        <v/>
      </c>
      <c r="DJ964" s="325" t="str">
        <f t="shared" si="3284"/>
        <v/>
      </c>
      <c r="DK964" s="324" t="str">
        <f t="shared" si="3284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285">SUM(B713)</f>
        <v>320</v>
      </c>
      <c r="C965" s="570">
        <f t="shared" si="3285"/>
        <v>720</v>
      </c>
      <c r="D965" s="570">
        <f t="shared" si="3285"/>
        <v>0</v>
      </c>
      <c r="E965" s="570">
        <f t="shared" si="3285"/>
        <v>0</v>
      </c>
      <c r="F965" s="570">
        <f t="shared" si="3285"/>
        <v>0</v>
      </c>
      <c r="G965" s="570">
        <f t="shared" si="3285"/>
        <v>0</v>
      </c>
      <c r="H965" s="570">
        <f t="shared" si="3285"/>
        <v>0</v>
      </c>
      <c r="I965" s="570">
        <f t="shared" si="3285"/>
        <v>0</v>
      </c>
      <c r="J965" s="570">
        <f t="shared" si="3285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286">SUM(T713)</f>
        <v>900</v>
      </c>
      <c r="U965" s="570">
        <f t="shared" si="3286"/>
        <v>100</v>
      </c>
      <c r="V965" s="570">
        <f t="shared" si="3286"/>
        <v>600</v>
      </c>
      <c r="W965" s="570">
        <f t="shared" si="3286"/>
        <v>1125</v>
      </c>
      <c r="X965" s="570">
        <f t="shared" si="3286"/>
        <v>0</v>
      </c>
      <c r="Y965" s="570">
        <f t="shared" si="3286"/>
        <v>0</v>
      </c>
      <c r="Z965" s="570">
        <f t="shared" si="3286"/>
        <v>250</v>
      </c>
      <c r="AA965" s="570">
        <f t="shared" si="3286"/>
        <v>820</v>
      </c>
      <c r="AB965" s="570">
        <f t="shared" si="3286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287">SUM(AL713)</f>
        <v>0</v>
      </c>
      <c r="AM965" s="570">
        <f t="shared" si="3287"/>
        <v>0</v>
      </c>
      <c r="AN965" s="570">
        <f t="shared" si="3287"/>
        <v>600</v>
      </c>
      <c r="AO965" s="570">
        <f t="shared" si="3287"/>
        <v>0</v>
      </c>
      <c r="AP965" s="570">
        <f t="shared" si="3287"/>
        <v>0</v>
      </c>
      <c r="AQ965" s="570">
        <f t="shared" si="3287"/>
        <v>0</v>
      </c>
      <c r="AR965" s="570">
        <f t="shared" si="3287"/>
        <v>0</v>
      </c>
      <c r="AS965" s="570">
        <f t="shared" si="3287"/>
        <v>0</v>
      </c>
      <c r="AT965" s="570">
        <f t="shared" si="3287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288">SUM(BD713)</f>
        <v>0</v>
      </c>
      <c r="BE965" s="570">
        <f t="shared" si="3288"/>
        <v>2100</v>
      </c>
      <c r="BF965" s="570">
        <f t="shared" si="3288"/>
        <v>0</v>
      </c>
      <c r="BG965" s="570">
        <f t="shared" si="3288"/>
        <v>0</v>
      </c>
      <c r="BH965" s="570">
        <f t="shared" si="3288"/>
        <v>0</v>
      </c>
      <c r="BI965" s="570">
        <f t="shared" si="3288"/>
        <v>1500</v>
      </c>
      <c r="BJ965" s="570">
        <f t="shared" si="3288"/>
        <v>1800</v>
      </c>
      <c r="BK965" s="570">
        <f t="shared" si="3288"/>
        <v>0</v>
      </c>
      <c r="BL965" s="570">
        <f t="shared" si="3288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09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0" t="str">
        <f t="shared" si="3282"/>
        <v/>
      </c>
      <c r="CF965" s="1111" t="str">
        <f t="shared" si="3282"/>
        <v/>
      </c>
      <c r="CG965" s="1111" t="str">
        <f t="shared" si="3282"/>
        <v/>
      </c>
      <c r="CH965" s="1111">
        <f t="shared" si="3282"/>
        <v>0</v>
      </c>
      <c r="CI965" s="1111">
        <f t="shared" si="3282"/>
        <v>0</v>
      </c>
      <c r="CJ965" s="1111">
        <f t="shared" si="3282"/>
        <v>0</v>
      </c>
      <c r="CK965" s="1112">
        <f t="shared" si="3282"/>
        <v>0</v>
      </c>
      <c r="CL965" s="1112">
        <f t="shared" si="3282"/>
        <v>0</v>
      </c>
      <c r="CM965" s="1112">
        <f t="shared" si="3282"/>
        <v>0</v>
      </c>
      <c r="CN965" s="1111">
        <f t="shared" si="3282"/>
        <v>0</v>
      </c>
      <c r="CO965" s="1111">
        <f t="shared" si="3282"/>
        <v>320</v>
      </c>
      <c r="CP965" s="1111">
        <f t="shared" si="3282"/>
        <v>720</v>
      </c>
      <c r="CQ965" s="1111" t="str">
        <f t="shared" si="3282"/>
        <v/>
      </c>
      <c r="CR965" s="1111" t="str">
        <f t="shared" si="3282"/>
        <v/>
      </c>
      <c r="CS965" s="1110" t="str">
        <f t="shared" si="3282"/>
        <v/>
      </c>
      <c r="CT965" s="1113" t="str">
        <f t="shared" si="3282"/>
        <v/>
      </c>
      <c r="CU965" s="324" t="str">
        <f t="shared" si="3283"/>
        <v/>
      </c>
      <c r="CV965" s="325" t="str">
        <f t="shared" si="3283"/>
        <v/>
      </c>
      <c r="CW965" s="326" t="str">
        <f t="shared" si="3283"/>
        <v/>
      </c>
      <c r="CX965" s="326" t="str">
        <f t="shared" si="3283"/>
        <v/>
      </c>
      <c r="CY965" s="326">
        <f t="shared" si="3283"/>
        <v>0</v>
      </c>
      <c r="CZ965" s="326">
        <f t="shared" si="3283"/>
        <v>0</v>
      </c>
      <c r="DA965" s="326">
        <f t="shared" si="3283"/>
        <v>0</v>
      </c>
      <c r="DB965" s="327">
        <f t="shared" si="3283"/>
        <v>100</v>
      </c>
      <c r="DC965" s="327">
        <f t="shared" si="3283"/>
        <v>250</v>
      </c>
      <c r="DD965" s="327">
        <f t="shared" si="3283"/>
        <v>600</v>
      </c>
      <c r="DE965" s="326">
        <f t="shared" si="3284"/>
        <v>820</v>
      </c>
      <c r="DF965" s="326">
        <f t="shared" si="3284"/>
        <v>900</v>
      </c>
      <c r="DG965" s="326">
        <f t="shared" si="3284"/>
        <v>1125</v>
      </c>
      <c r="DH965" s="326" t="str">
        <f t="shared" si="3284"/>
        <v/>
      </c>
      <c r="DI965" s="326" t="str">
        <f t="shared" si="3284"/>
        <v/>
      </c>
      <c r="DJ965" s="325" t="str">
        <f t="shared" si="3284"/>
        <v/>
      </c>
      <c r="DK965" s="324" t="str">
        <f t="shared" si="3284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289">SUM(B719)</f>
        <v>96</v>
      </c>
      <c r="C966" s="570">
        <f t="shared" si="3289"/>
        <v>120</v>
      </c>
      <c r="D966" s="570">
        <f t="shared" si="3289"/>
        <v>1080</v>
      </c>
      <c r="E966" s="570">
        <f t="shared" si="3289"/>
        <v>0</v>
      </c>
      <c r="F966" s="570">
        <f t="shared" si="3289"/>
        <v>0</v>
      </c>
      <c r="G966" s="570">
        <f t="shared" si="3289"/>
        <v>0</v>
      </c>
      <c r="H966" s="570">
        <f t="shared" si="3289"/>
        <v>0</v>
      </c>
      <c r="I966" s="570">
        <f t="shared" si="3289"/>
        <v>0</v>
      </c>
      <c r="J966" s="570">
        <f t="shared" si="3289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290">SUM(T719)</f>
        <v>0</v>
      </c>
      <c r="U966" s="570">
        <f t="shared" si="3290"/>
        <v>0</v>
      </c>
      <c r="V966" s="570">
        <f t="shared" si="3290"/>
        <v>0</v>
      </c>
      <c r="W966" s="570">
        <f t="shared" si="3290"/>
        <v>504</v>
      </c>
      <c r="X966" s="570">
        <f t="shared" si="3290"/>
        <v>0</v>
      </c>
      <c r="Y966" s="570">
        <f t="shared" si="3290"/>
        <v>0</v>
      </c>
      <c r="Z966" s="570">
        <f t="shared" si="3290"/>
        <v>0</v>
      </c>
      <c r="AA966" s="570">
        <f t="shared" si="3290"/>
        <v>240</v>
      </c>
      <c r="AB966" s="570">
        <f t="shared" si="3290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291">SUM(AL719)</f>
        <v>0</v>
      </c>
      <c r="AM966" s="570">
        <f t="shared" si="3291"/>
        <v>0</v>
      </c>
      <c r="AN966" s="570">
        <f t="shared" si="3291"/>
        <v>0</v>
      </c>
      <c r="AO966" s="570">
        <f t="shared" si="3291"/>
        <v>0</v>
      </c>
      <c r="AP966" s="570">
        <f t="shared" si="3291"/>
        <v>0</v>
      </c>
      <c r="AQ966" s="570">
        <f t="shared" si="3291"/>
        <v>0</v>
      </c>
      <c r="AR966" s="570">
        <f t="shared" si="3291"/>
        <v>0</v>
      </c>
      <c r="AS966" s="570">
        <f t="shared" si="3291"/>
        <v>0</v>
      </c>
      <c r="AT966" s="570">
        <f t="shared" si="3291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292">SUM(BD719)</f>
        <v>0</v>
      </c>
      <c r="BE966" s="570">
        <f t="shared" si="3292"/>
        <v>0</v>
      </c>
      <c r="BF966" s="570">
        <f t="shared" si="3292"/>
        <v>0</v>
      </c>
      <c r="BG966" s="570">
        <f t="shared" si="3292"/>
        <v>0</v>
      </c>
      <c r="BH966" s="570">
        <f t="shared" si="3292"/>
        <v>0</v>
      </c>
      <c r="BI966" s="570">
        <f t="shared" si="3292"/>
        <v>0</v>
      </c>
      <c r="BJ966" s="570">
        <f t="shared" si="3292"/>
        <v>6000</v>
      </c>
      <c r="BK966" s="570">
        <f t="shared" si="3292"/>
        <v>0</v>
      </c>
      <c r="BL966" s="570">
        <f t="shared" si="3292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9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0" t="str">
        <f t="shared" si="3282"/>
        <v/>
      </c>
      <c r="CF966" s="1111" t="str">
        <f t="shared" si="3282"/>
        <v/>
      </c>
      <c r="CG966" s="1111" t="str">
        <f t="shared" si="3282"/>
        <v/>
      </c>
      <c r="CH966" s="1111">
        <f t="shared" si="3282"/>
        <v>0</v>
      </c>
      <c r="CI966" s="1111">
        <f t="shared" si="3282"/>
        <v>0</v>
      </c>
      <c r="CJ966" s="1111">
        <f t="shared" si="3282"/>
        <v>0</v>
      </c>
      <c r="CK966" s="1112">
        <f t="shared" si="3282"/>
        <v>0</v>
      </c>
      <c r="CL966" s="1112">
        <f t="shared" si="3282"/>
        <v>0</v>
      </c>
      <c r="CM966" s="1112">
        <f t="shared" si="3282"/>
        <v>0</v>
      </c>
      <c r="CN966" s="1111">
        <f t="shared" si="3282"/>
        <v>96</v>
      </c>
      <c r="CO966" s="1111">
        <f t="shared" si="3282"/>
        <v>120</v>
      </c>
      <c r="CP966" s="1111">
        <f t="shared" si="3282"/>
        <v>1080</v>
      </c>
      <c r="CQ966" s="1111" t="str">
        <f t="shared" si="3282"/>
        <v/>
      </c>
      <c r="CR966" s="1111" t="str">
        <f t="shared" si="3282"/>
        <v/>
      </c>
      <c r="CS966" s="1110" t="str">
        <f t="shared" si="3282"/>
        <v/>
      </c>
      <c r="CT966" s="1113" t="str">
        <f t="shared" si="3282"/>
        <v/>
      </c>
      <c r="CU966" s="324" t="str">
        <f t="shared" si="3283"/>
        <v/>
      </c>
      <c r="CV966" s="325" t="str">
        <f t="shared" si="3283"/>
        <v/>
      </c>
      <c r="CW966" s="326" t="str">
        <f t="shared" si="3283"/>
        <v/>
      </c>
      <c r="CX966" s="326" t="str">
        <f t="shared" si="3283"/>
        <v/>
      </c>
      <c r="CY966" s="326">
        <f t="shared" si="3283"/>
        <v>0</v>
      </c>
      <c r="CZ966" s="326">
        <f t="shared" si="3283"/>
        <v>0</v>
      </c>
      <c r="DA966" s="326">
        <f t="shared" si="3283"/>
        <v>0</v>
      </c>
      <c r="DB966" s="327">
        <f t="shared" si="3283"/>
        <v>0</v>
      </c>
      <c r="DC966" s="327">
        <f t="shared" si="3283"/>
        <v>0</v>
      </c>
      <c r="DD966" s="327">
        <f t="shared" si="3283"/>
        <v>0</v>
      </c>
      <c r="DE966" s="326">
        <f t="shared" si="3284"/>
        <v>0</v>
      </c>
      <c r="DF966" s="326">
        <f t="shared" si="3284"/>
        <v>240</v>
      </c>
      <c r="DG966" s="326">
        <f t="shared" si="3284"/>
        <v>504</v>
      </c>
      <c r="DH966" s="326" t="str">
        <f t="shared" si="3284"/>
        <v/>
      </c>
      <c r="DI966" s="326" t="str">
        <f t="shared" si="3284"/>
        <v/>
      </c>
      <c r="DJ966" s="325" t="str">
        <f t="shared" si="3284"/>
        <v/>
      </c>
      <c r="DK966" s="324" t="str">
        <f t="shared" si="3284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3"/>
      <c r="CE967" s="1134"/>
      <c r="CF967" s="1134"/>
      <c r="CG967" s="1134"/>
      <c r="CH967" s="1134"/>
      <c r="CI967" s="1134"/>
      <c r="CJ967" s="1134"/>
      <c r="CK967" s="1134"/>
      <c r="CL967" s="1134"/>
      <c r="CM967" s="1134"/>
      <c r="CN967" s="1134"/>
      <c r="CO967" s="1134"/>
      <c r="CP967" s="1134"/>
      <c r="CQ967" s="1134"/>
      <c r="CR967" s="1134"/>
      <c r="CS967" s="1134"/>
      <c r="CT967" s="1135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293">SUM(B723)</f>
        <v>0</v>
      </c>
      <c r="C968" s="570">
        <f t="shared" si="3293"/>
        <v>0</v>
      </c>
      <c r="D968" s="570">
        <f t="shared" si="3293"/>
        <v>0</v>
      </c>
      <c r="E968" s="570">
        <f t="shared" si="3293"/>
        <v>0</v>
      </c>
      <c r="F968" s="570">
        <f t="shared" si="3293"/>
        <v>0</v>
      </c>
      <c r="G968" s="570">
        <f t="shared" si="3293"/>
        <v>0</v>
      </c>
      <c r="H968" s="570">
        <f t="shared" si="3293"/>
        <v>0</v>
      </c>
      <c r="I968" s="570">
        <f t="shared" si="3293"/>
        <v>0</v>
      </c>
      <c r="J968" s="570">
        <f t="shared" si="3293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294">SUM(T723)</f>
        <v>0</v>
      </c>
      <c r="U968" s="570">
        <f t="shared" si="3294"/>
        <v>0</v>
      </c>
      <c r="V968" s="570">
        <f t="shared" si="3294"/>
        <v>0</v>
      </c>
      <c r="W968" s="570">
        <f t="shared" si="3294"/>
        <v>0</v>
      </c>
      <c r="X968" s="570">
        <f t="shared" si="3294"/>
        <v>0</v>
      </c>
      <c r="Y968" s="570">
        <f t="shared" si="3294"/>
        <v>0</v>
      </c>
      <c r="Z968" s="570">
        <f t="shared" si="3294"/>
        <v>0</v>
      </c>
      <c r="AA968" s="570">
        <f t="shared" si="3294"/>
        <v>0</v>
      </c>
      <c r="AB968" s="570">
        <f t="shared" si="3294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295">SUM(AL723)</f>
        <v>0</v>
      </c>
      <c r="AM968" s="570">
        <f t="shared" si="3295"/>
        <v>0</v>
      </c>
      <c r="AN968" s="570">
        <f t="shared" si="3295"/>
        <v>0</v>
      </c>
      <c r="AO968" s="570">
        <f t="shared" si="3295"/>
        <v>0</v>
      </c>
      <c r="AP968" s="570">
        <f t="shared" si="3295"/>
        <v>0</v>
      </c>
      <c r="AQ968" s="570">
        <f t="shared" si="3295"/>
        <v>0</v>
      </c>
      <c r="AR968" s="570">
        <f t="shared" si="3295"/>
        <v>0</v>
      </c>
      <c r="AS968" s="570">
        <f t="shared" si="3295"/>
        <v>0</v>
      </c>
      <c r="AT968" s="570">
        <f t="shared" si="3295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296">SUM(BD723)</f>
        <v>0</v>
      </c>
      <c r="BE968" s="570">
        <f t="shared" si="3296"/>
        <v>0</v>
      </c>
      <c r="BF968" s="570">
        <f t="shared" si="3296"/>
        <v>0</v>
      </c>
      <c r="BG968" s="570">
        <f t="shared" si="3296"/>
        <v>0</v>
      </c>
      <c r="BH968" s="570">
        <f t="shared" si="3296"/>
        <v>0</v>
      </c>
      <c r="BI968" s="570">
        <f t="shared" si="3296"/>
        <v>0</v>
      </c>
      <c r="BJ968" s="570">
        <f t="shared" si="3296"/>
        <v>0</v>
      </c>
      <c r="BK968" s="570">
        <f t="shared" si="3296"/>
        <v>0</v>
      </c>
      <c r="BL968" s="570">
        <f t="shared" si="3296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9" t="str">
        <f t="shared" ref="CD968:CS969" si="329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0" t="str">
        <f t="shared" si="3297"/>
        <v/>
      </c>
      <c r="CF968" s="1111" t="str">
        <f t="shared" si="3297"/>
        <v/>
      </c>
      <c r="CG968" s="1111" t="str">
        <f t="shared" si="3297"/>
        <v/>
      </c>
      <c r="CH968" s="1111">
        <f t="shared" si="3297"/>
        <v>0</v>
      </c>
      <c r="CI968" s="1111">
        <f t="shared" si="3297"/>
        <v>0</v>
      </c>
      <c r="CJ968" s="1111">
        <f t="shared" si="3297"/>
        <v>0</v>
      </c>
      <c r="CK968" s="1112">
        <f t="shared" si="3297"/>
        <v>0</v>
      </c>
      <c r="CL968" s="1112">
        <f t="shared" si="3297"/>
        <v>0</v>
      </c>
      <c r="CM968" s="1112">
        <f t="shared" si="3297"/>
        <v>0</v>
      </c>
      <c r="CN968" s="1111">
        <f t="shared" si="3297"/>
        <v>0</v>
      </c>
      <c r="CO968" s="1111">
        <f t="shared" si="3297"/>
        <v>0</v>
      </c>
      <c r="CP968" s="1111">
        <f t="shared" si="3297"/>
        <v>0</v>
      </c>
      <c r="CQ968" s="1111" t="str">
        <f t="shared" si="3297"/>
        <v/>
      </c>
      <c r="CR968" s="1111" t="str">
        <f t="shared" si="3297"/>
        <v/>
      </c>
      <c r="CS968" s="1110" t="str">
        <f t="shared" si="3297"/>
        <v/>
      </c>
      <c r="CT968" s="1113" t="str">
        <f t="shared" ref="CE968:CT969" si="329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29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299"/>
        <v/>
      </c>
      <c r="CW968" s="326" t="str">
        <f t="shared" si="3299"/>
        <v/>
      </c>
      <c r="CX968" s="326" t="str">
        <f t="shared" si="3299"/>
        <v/>
      </c>
      <c r="CY968" s="326">
        <f t="shared" si="3299"/>
        <v>0</v>
      </c>
      <c r="CZ968" s="326">
        <f t="shared" si="3299"/>
        <v>0</v>
      </c>
      <c r="DA968" s="326">
        <f t="shared" si="3299"/>
        <v>0</v>
      </c>
      <c r="DB968" s="327">
        <f t="shared" si="3299"/>
        <v>0</v>
      </c>
      <c r="DC968" s="327">
        <f t="shared" si="3299"/>
        <v>0</v>
      </c>
      <c r="DD968" s="327">
        <f t="shared" si="3299"/>
        <v>0</v>
      </c>
      <c r="DE968" s="326">
        <f t="shared" ref="DE968:DK969" si="330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300"/>
        <v>0</v>
      </c>
      <c r="DG968" s="326">
        <f t="shared" si="3300"/>
        <v>0</v>
      </c>
      <c r="DH968" s="326" t="str">
        <f t="shared" si="3300"/>
        <v/>
      </c>
      <c r="DI968" s="326" t="str">
        <f t="shared" si="3300"/>
        <v/>
      </c>
      <c r="DJ968" s="325" t="str">
        <f t="shared" si="3300"/>
        <v/>
      </c>
      <c r="DK968" s="324" t="str">
        <f t="shared" si="3300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301">SUM(B736)</f>
        <v>0</v>
      </c>
      <c r="C969" s="570">
        <f t="shared" si="3301"/>
        <v>0</v>
      </c>
      <c r="D969" s="570">
        <f t="shared" si="3301"/>
        <v>0</v>
      </c>
      <c r="E969" s="570">
        <f t="shared" si="3301"/>
        <v>0</v>
      </c>
      <c r="F969" s="570">
        <f t="shared" si="3301"/>
        <v>0</v>
      </c>
      <c r="G969" s="570">
        <f t="shared" si="3301"/>
        <v>0</v>
      </c>
      <c r="H969" s="570">
        <f t="shared" si="3301"/>
        <v>0</v>
      </c>
      <c r="I969" s="570">
        <f t="shared" si="3301"/>
        <v>0</v>
      </c>
      <c r="J969" s="570">
        <f t="shared" si="3301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302">SUM(T736)</f>
        <v>0</v>
      </c>
      <c r="U969" s="570">
        <f t="shared" si="3302"/>
        <v>0</v>
      </c>
      <c r="V969" s="570">
        <f t="shared" si="3302"/>
        <v>0</v>
      </c>
      <c r="W969" s="570">
        <f t="shared" si="3302"/>
        <v>0</v>
      </c>
      <c r="X969" s="570">
        <f t="shared" si="3302"/>
        <v>0</v>
      </c>
      <c r="Y969" s="570">
        <f t="shared" si="3302"/>
        <v>0</v>
      </c>
      <c r="Z969" s="570">
        <f t="shared" si="3302"/>
        <v>0</v>
      </c>
      <c r="AA969" s="570">
        <f t="shared" si="3302"/>
        <v>0</v>
      </c>
      <c r="AB969" s="570">
        <f t="shared" si="3302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303">SUM(AL736)</f>
        <v>0</v>
      </c>
      <c r="AM969" s="570">
        <f t="shared" si="3303"/>
        <v>0</v>
      </c>
      <c r="AN969" s="570">
        <f t="shared" si="3303"/>
        <v>0</v>
      </c>
      <c r="AO969" s="570">
        <f t="shared" si="3303"/>
        <v>0</v>
      </c>
      <c r="AP969" s="570">
        <f t="shared" si="3303"/>
        <v>0</v>
      </c>
      <c r="AQ969" s="570">
        <f t="shared" si="3303"/>
        <v>0</v>
      </c>
      <c r="AR969" s="570">
        <f t="shared" si="3303"/>
        <v>0</v>
      </c>
      <c r="AS969" s="570">
        <f t="shared" si="3303"/>
        <v>0</v>
      </c>
      <c r="AT969" s="570">
        <f t="shared" si="3303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304">SUM(BD736)</f>
        <v>0</v>
      </c>
      <c r="BE969" s="570">
        <f t="shared" si="3304"/>
        <v>0</v>
      </c>
      <c r="BF969" s="570">
        <f t="shared" si="3304"/>
        <v>0</v>
      </c>
      <c r="BG969" s="570">
        <f t="shared" si="3304"/>
        <v>0</v>
      </c>
      <c r="BH969" s="570">
        <f t="shared" si="3304"/>
        <v>0</v>
      </c>
      <c r="BI969" s="570">
        <f t="shared" si="3304"/>
        <v>0</v>
      </c>
      <c r="BJ969" s="570">
        <f t="shared" si="3304"/>
        <v>0</v>
      </c>
      <c r="BK969" s="570">
        <f t="shared" si="3304"/>
        <v>0</v>
      </c>
      <c r="BL969" s="570">
        <f t="shared" si="3304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9" t="str">
        <f t="shared" si="3297"/>
        <v/>
      </c>
      <c r="CE969" s="1110" t="str">
        <f t="shared" si="3298"/>
        <v/>
      </c>
      <c r="CF969" s="1111" t="str">
        <f t="shared" si="3298"/>
        <v/>
      </c>
      <c r="CG969" s="1111" t="str">
        <f t="shared" si="3298"/>
        <v/>
      </c>
      <c r="CH969" s="1111">
        <f t="shared" si="3298"/>
        <v>0</v>
      </c>
      <c r="CI969" s="1111">
        <f t="shared" si="3298"/>
        <v>0</v>
      </c>
      <c r="CJ969" s="1111">
        <f t="shared" si="3298"/>
        <v>0</v>
      </c>
      <c r="CK969" s="1112">
        <f t="shared" si="3298"/>
        <v>0</v>
      </c>
      <c r="CL969" s="1112">
        <f t="shared" si="3298"/>
        <v>0</v>
      </c>
      <c r="CM969" s="1112">
        <f t="shared" si="3298"/>
        <v>0</v>
      </c>
      <c r="CN969" s="1111">
        <f t="shared" si="3298"/>
        <v>0</v>
      </c>
      <c r="CO969" s="1111">
        <f t="shared" si="3298"/>
        <v>0</v>
      </c>
      <c r="CP969" s="1111">
        <f t="shared" si="3298"/>
        <v>0</v>
      </c>
      <c r="CQ969" s="1111" t="str">
        <f t="shared" si="3298"/>
        <v/>
      </c>
      <c r="CR969" s="1111" t="str">
        <f t="shared" si="3298"/>
        <v/>
      </c>
      <c r="CS969" s="1110" t="str">
        <f t="shared" si="3298"/>
        <v/>
      </c>
      <c r="CT969" s="1113" t="str">
        <f t="shared" si="3298"/>
        <v/>
      </c>
      <c r="CU969" s="324" t="str">
        <f t="shared" si="3299"/>
        <v/>
      </c>
      <c r="CV969" s="325" t="str">
        <f t="shared" si="3299"/>
        <v/>
      </c>
      <c r="CW969" s="326" t="str">
        <f t="shared" si="3299"/>
        <v/>
      </c>
      <c r="CX969" s="326" t="str">
        <f t="shared" si="3299"/>
        <v/>
      </c>
      <c r="CY969" s="326">
        <f t="shared" si="3299"/>
        <v>0</v>
      </c>
      <c r="CZ969" s="326">
        <f t="shared" si="3299"/>
        <v>0</v>
      </c>
      <c r="DA969" s="326">
        <f t="shared" si="3299"/>
        <v>0</v>
      </c>
      <c r="DB969" s="327">
        <f t="shared" si="3299"/>
        <v>0</v>
      </c>
      <c r="DC969" s="327">
        <f t="shared" si="3299"/>
        <v>0</v>
      </c>
      <c r="DD969" s="327">
        <f t="shared" si="3299"/>
        <v>0</v>
      </c>
      <c r="DE969" s="326">
        <f t="shared" si="3300"/>
        <v>0</v>
      </c>
      <c r="DF969" s="326">
        <f t="shared" si="3300"/>
        <v>0</v>
      </c>
      <c r="DG969" s="326">
        <f t="shared" si="3300"/>
        <v>0</v>
      </c>
      <c r="DH969" s="326" t="str">
        <f t="shared" si="3300"/>
        <v/>
      </c>
      <c r="DI969" s="326" t="str">
        <f t="shared" si="3300"/>
        <v/>
      </c>
      <c r="DJ969" s="325" t="str">
        <f t="shared" si="3300"/>
        <v/>
      </c>
      <c r="DK969" s="324" t="str">
        <f t="shared" si="3300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19"/>
      <c r="CE970" s="1120"/>
      <c r="CF970" s="1120"/>
      <c r="CG970" s="1120"/>
      <c r="CH970" s="1120"/>
      <c r="CI970" s="1120"/>
      <c r="CJ970" s="1120"/>
      <c r="CK970" s="1120"/>
      <c r="CL970" s="1120"/>
      <c r="CM970" s="1120"/>
      <c r="CN970" s="1120"/>
      <c r="CO970" s="1120"/>
      <c r="CP970" s="1120"/>
      <c r="CQ970" s="1120"/>
      <c r="CR970" s="1120"/>
      <c r="CS970" s="1120"/>
      <c r="CT970" s="1121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305">SUM(B731)</f>
        <v>0</v>
      </c>
      <c r="C971" s="570">
        <f t="shared" si="3305"/>
        <v>0</v>
      </c>
      <c r="D971" s="570">
        <f t="shared" si="3305"/>
        <v>0</v>
      </c>
      <c r="E971" s="570">
        <f t="shared" si="3305"/>
        <v>0</v>
      </c>
      <c r="F971" s="570">
        <f t="shared" si="3305"/>
        <v>0</v>
      </c>
      <c r="G971" s="570">
        <f t="shared" si="3305"/>
        <v>0</v>
      </c>
      <c r="H971" s="570">
        <f t="shared" si="3305"/>
        <v>0</v>
      </c>
      <c r="I971" s="570">
        <f t="shared" si="3305"/>
        <v>0</v>
      </c>
      <c r="J971" s="570">
        <f t="shared" si="3305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306">SUM(T731)</f>
        <v>0</v>
      </c>
      <c r="U971" s="570">
        <f t="shared" si="3306"/>
        <v>0</v>
      </c>
      <c r="V971" s="570">
        <f t="shared" si="3306"/>
        <v>0</v>
      </c>
      <c r="W971" s="570">
        <f t="shared" si="3306"/>
        <v>0</v>
      </c>
      <c r="X971" s="570">
        <f t="shared" si="3306"/>
        <v>0</v>
      </c>
      <c r="Y971" s="570">
        <f t="shared" si="3306"/>
        <v>0</v>
      </c>
      <c r="Z971" s="570">
        <f t="shared" si="3306"/>
        <v>0</v>
      </c>
      <c r="AA971" s="570">
        <f t="shared" si="3306"/>
        <v>0</v>
      </c>
      <c r="AB971" s="570">
        <f t="shared" si="3306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307">SUM(AL731)</f>
        <v>0</v>
      </c>
      <c r="AM971" s="570">
        <f t="shared" si="3307"/>
        <v>0</v>
      </c>
      <c r="AN971" s="570">
        <f t="shared" si="3307"/>
        <v>0</v>
      </c>
      <c r="AO971" s="570">
        <f t="shared" si="3307"/>
        <v>0</v>
      </c>
      <c r="AP971" s="570">
        <f t="shared" si="3307"/>
        <v>0</v>
      </c>
      <c r="AQ971" s="570">
        <f t="shared" si="3307"/>
        <v>0</v>
      </c>
      <c r="AR971" s="570">
        <f t="shared" si="3307"/>
        <v>0</v>
      </c>
      <c r="AS971" s="570">
        <f t="shared" si="3307"/>
        <v>0</v>
      </c>
      <c r="AT971" s="570">
        <f t="shared" si="3307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308">SUM(BH731)</f>
        <v>0</v>
      </c>
      <c r="BI971" s="570">
        <f t="shared" si="3308"/>
        <v>0</v>
      </c>
      <c r="BJ971" s="570">
        <f t="shared" si="3308"/>
        <v>0</v>
      </c>
      <c r="BK971" s="570">
        <f t="shared" ref="BK971:BL971" si="3309">SUM(BK731)</f>
        <v>0</v>
      </c>
      <c r="BL971" s="570">
        <f t="shared" si="3309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9" t="str">
        <f t="shared" ref="CD971:CS972" si="331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0" t="str">
        <f t="shared" si="3310"/>
        <v/>
      </c>
      <c r="CF971" s="1111" t="str">
        <f t="shared" si="3310"/>
        <v/>
      </c>
      <c r="CG971" s="1111" t="str">
        <f t="shared" si="3310"/>
        <v/>
      </c>
      <c r="CH971" s="1111">
        <f t="shared" si="3310"/>
        <v>0</v>
      </c>
      <c r="CI971" s="1111">
        <f t="shared" si="3310"/>
        <v>0</v>
      </c>
      <c r="CJ971" s="1111">
        <f t="shared" si="3310"/>
        <v>0</v>
      </c>
      <c r="CK971" s="1112">
        <f t="shared" si="3310"/>
        <v>0</v>
      </c>
      <c r="CL971" s="1112">
        <f t="shared" si="3310"/>
        <v>0</v>
      </c>
      <c r="CM971" s="1112">
        <f t="shared" si="3310"/>
        <v>0</v>
      </c>
      <c r="CN971" s="1111">
        <f t="shared" si="3310"/>
        <v>0</v>
      </c>
      <c r="CO971" s="1111">
        <f t="shared" si="3310"/>
        <v>0</v>
      </c>
      <c r="CP971" s="1111">
        <f t="shared" si="3310"/>
        <v>0</v>
      </c>
      <c r="CQ971" s="1111" t="str">
        <f t="shared" si="3310"/>
        <v/>
      </c>
      <c r="CR971" s="1111" t="str">
        <f t="shared" si="3310"/>
        <v/>
      </c>
      <c r="CS971" s="1110" t="str">
        <f t="shared" si="3310"/>
        <v/>
      </c>
      <c r="CT971" s="1113" t="str">
        <f t="shared" ref="CE971:CT972" si="331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31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312"/>
        <v/>
      </c>
      <c r="CW971" s="326" t="str">
        <f t="shared" si="3312"/>
        <v/>
      </c>
      <c r="CX971" s="326" t="str">
        <f t="shared" si="3312"/>
        <v/>
      </c>
      <c r="CY971" s="326">
        <f t="shared" si="3312"/>
        <v>0</v>
      </c>
      <c r="CZ971" s="326">
        <f t="shared" si="3312"/>
        <v>0</v>
      </c>
      <c r="DA971" s="326">
        <f t="shared" si="3312"/>
        <v>0</v>
      </c>
      <c r="DB971" s="327">
        <f t="shared" si="3312"/>
        <v>0</v>
      </c>
      <c r="DC971" s="327">
        <f t="shared" si="3312"/>
        <v>0</v>
      </c>
      <c r="DD971" s="327">
        <f t="shared" si="3312"/>
        <v>0</v>
      </c>
      <c r="DE971" s="326">
        <f t="shared" ref="DE971:DK972" si="331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313"/>
        <v>0</v>
      </c>
      <c r="DG971" s="326">
        <f t="shared" si="3313"/>
        <v>0</v>
      </c>
      <c r="DH971" s="326" t="str">
        <f t="shared" si="3313"/>
        <v/>
      </c>
      <c r="DI971" s="326" t="str">
        <f t="shared" si="3313"/>
        <v/>
      </c>
      <c r="DJ971" s="325" t="str">
        <f t="shared" si="3313"/>
        <v/>
      </c>
      <c r="DK971" s="324" t="str">
        <f t="shared" si="3313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314">SUM(B754)</f>
        <v>80</v>
      </c>
      <c r="C972" s="570">
        <f t="shared" si="3314"/>
        <v>675</v>
      </c>
      <c r="D972" s="570">
        <f t="shared" si="3314"/>
        <v>228</v>
      </c>
      <c r="E972" s="570">
        <f t="shared" si="3314"/>
        <v>0</v>
      </c>
      <c r="F972" s="570">
        <f t="shared" si="3314"/>
        <v>911</v>
      </c>
      <c r="G972" s="570">
        <f t="shared" si="3314"/>
        <v>1350</v>
      </c>
      <c r="H972" s="570">
        <f t="shared" si="3314"/>
        <v>0</v>
      </c>
      <c r="I972" s="570">
        <f t="shared" si="3314"/>
        <v>0</v>
      </c>
      <c r="J972" s="570">
        <f t="shared" si="3314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315">SUM(T754)</f>
        <v>1000</v>
      </c>
      <c r="U972" s="570">
        <f t="shared" si="3315"/>
        <v>0</v>
      </c>
      <c r="V972" s="570">
        <f t="shared" si="3315"/>
        <v>0</v>
      </c>
      <c r="W972" s="570">
        <f t="shared" si="3315"/>
        <v>610</v>
      </c>
      <c r="X972" s="570">
        <f t="shared" si="3315"/>
        <v>600</v>
      </c>
      <c r="Y972" s="570">
        <f t="shared" si="3315"/>
        <v>540</v>
      </c>
      <c r="Z972" s="570">
        <f t="shared" si="3315"/>
        <v>495</v>
      </c>
      <c r="AA972" s="570">
        <f t="shared" si="3315"/>
        <v>270</v>
      </c>
      <c r="AB972" s="570">
        <f t="shared" si="3315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316">SUM(AL754)</f>
        <v>0</v>
      </c>
      <c r="AM972" s="570">
        <f t="shared" si="3316"/>
        <v>3840</v>
      </c>
      <c r="AN972" s="570">
        <f t="shared" si="3316"/>
        <v>0</v>
      </c>
      <c r="AO972" s="570">
        <f t="shared" si="3316"/>
        <v>0</v>
      </c>
      <c r="AP972" s="570">
        <f t="shared" si="3316"/>
        <v>0</v>
      </c>
      <c r="AQ972" s="570">
        <f t="shared" si="3316"/>
        <v>2880</v>
      </c>
      <c r="AR972" s="570">
        <f t="shared" si="3316"/>
        <v>0</v>
      </c>
      <c r="AS972" s="570">
        <f t="shared" si="3316"/>
        <v>0</v>
      </c>
      <c r="AT972" s="570">
        <f t="shared" si="3316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317">SUM(BH754)</f>
        <v>4032</v>
      </c>
      <c r="BI972" s="570">
        <f t="shared" si="3317"/>
        <v>3600</v>
      </c>
      <c r="BJ972" s="570">
        <f t="shared" si="3317"/>
        <v>0</v>
      </c>
      <c r="BK972" s="570">
        <f t="shared" ref="BK972:BL972" si="3318">SUM(BK754)</f>
        <v>0</v>
      </c>
      <c r="BL972" s="570">
        <f t="shared" si="3318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09" t="str">
        <f t="shared" si="3310"/>
        <v/>
      </c>
      <c r="CE972" s="1110" t="str">
        <f t="shared" si="3311"/>
        <v/>
      </c>
      <c r="CF972" s="1111" t="str">
        <f t="shared" si="3311"/>
        <v/>
      </c>
      <c r="CG972" s="1111" t="str">
        <f t="shared" si="3311"/>
        <v/>
      </c>
      <c r="CH972" s="1111">
        <f t="shared" si="3311"/>
        <v>0</v>
      </c>
      <c r="CI972" s="1111">
        <f t="shared" si="3311"/>
        <v>0</v>
      </c>
      <c r="CJ972" s="1111">
        <f t="shared" si="3311"/>
        <v>0</v>
      </c>
      <c r="CK972" s="1112">
        <f t="shared" si="3311"/>
        <v>80</v>
      </c>
      <c r="CL972" s="1112">
        <f t="shared" si="3311"/>
        <v>228</v>
      </c>
      <c r="CM972" s="1112">
        <f t="shared" si="3311"/>
        <v>675</v>
      </c>
      <c r="CN972" s="1111">
        <f t="shared" si="3311"/>
        <v>780</v>
      </c>
      <c r="CO972" s="1111">
        <f t="shared" si="3311"/>
        <v>911</v>
      </c>
      <c r="CP972" s="1111">
        <f t="shared" si="3311"/>
        <v>1350</v>
      </c>
      <c r="CQ972" s="1111" t="str">
        <f t="shared" si="3311"/>
        <v/>
      </c>
      <c r="CR972" s="1111" t="str">
        <f t="shared" si="3311"/>
        <v/>
      </c>
      <c r="CS972" s="1110" t="str">
        <f t="shared" si="3311"/>
        <v/>
      </c>
      <c r="CT972" s="1113" t="str">
        <f t="shared" si="3311"/>
        <v/>
      </c>
      <c r="CU972" s="324" t="str">
        <f t="shared" si="3312"/>
        <v/>
      </c>
      <c r="CV972" s="325" t="str">
        <f t="shared" si="3312"/>
        <v/>
      </c>
      <c r="CW972" s="326" t="str">
        <f t="shared" si="3312"/>
        <v/>
      </c>
      <c r="CX972" s="326" t="str">
        <f t="shared" si="3312"/>
        <v/>
      </c>
      <c r="CY972" s="326">
        <f t="shared" si="3312"/>
        <v>0</v>
      </c>
      <c r="CZ972" s="326">
        <f t="shared" si="3312"/>
        <v>0</v>
      </c>
      <c r="DA972" s="326">
        <f t="shared" si="3312"/>
        <v>270</v>
      </c>
      <c r="DB972" s="327">
        <f t="shared" si="3312"/>
        <v>495</v>
      </c>
      <c r="DC972" s="327">
        <f t="shared" si="3312"/>
        <v>540</v>
      </c>
      <c r="DD972" s="327">
        <f t="shared" si="3312"/>
        <v>600</v>
      </c>
      <c r="DE972" s="326">
        <f t="shared" si="3313"/>
        <v>610</v>
      </c>
      <c r="DF972" s="326">
        <f t="shared" si="3313"/>
        <v>1000</v>
      </c>
      <c r="DG972" s="326">
        <f t="shared" si="3313"/>
        <v>1536</v>
      </c>
      <c r="DH972" s="326" t="str">
        <f t="shared" si="3313"/>
        <v/>
      </c>
      <c r="DI972" s="326" t="str">
        <f t="shared" si="3313"/>
        <v/>
      </c>
      <c r="DJ972" s="325" t="str">
        <f t="shared" si="3313"/>
        <v/>
      </c>
      <c r="DK972" s="324" t="str">
        <f t="shared" si="3313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19"/>
      <c r="CE973" s="1120"/>
      <c r="CF973" s="1120"/>
      <c r="CG973" s="1120"/>
      <c r="CH973" s="1120"/>
      <c r="CI973" s="1120"/>
      <c r="CJ973" s="1120"/>
      <c r="CK973" s="1120"/>
      <c r="CL973" s="1120"/>
      <c r="CM973" s="1120"/>
      <c r="CN973" s="1120"/>
      <c r="CO973" s="1120"/>
      <c r="CP973" s="1120"/>
      <c r="CQ973" s="1120"/>
      <c r="CR973" s="1120"/>
      <c r="CS973" s="1120"/>
      <c r="CT973" s="1121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319">SUM(B759)</f>
        <v>960</v>
      </c>
      <c r="C974" s="570">
        <f t="shared" si="3319"/>
        <v>0</v>
      </c>
      <c r="D974" s="570">
        <f t="shared" si="3319"/>
        <v>240</v>
      </c>
      <c r="E974" s="570">
        <f t="shared" si="3319"/>
        <v>576</v>
      </c>
      <c r="F974" s="570">
        <f t="shared" si="3319"/>
        <v>0</v>
      </c>
      <c r="G974" s="570">
        <f t="shared" si="3319"/>
        <v>0</v>
      </c>
      <c r="H974" s="570">
        <f t="shared" si="3319"/>
        <v>640</v>
      </c>
      <c r="I974" s="570">
        <f t="shared" si="3319"/>
        <v>0</v>
      </c>
      <c r="J974" s="570">
        <f t="shared" si="3319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320">SUM(T759)</f>
        <v>600</v>
      </c>
      <c r="U974" s="570">
        <f t="shared" si="3320"/>
        <v>320</v>
      </c>
      <c r="V974" s="570">
        <f t="shared" si="3320"/>
        <v>840</v>
      </c>
      <c r="W974" s="570">
        <f t="shared" si="3320"/>
        <v>470</v>
      </c>
      <c r="X974" s="570">
        <f t="shared" si="3320"/>
        <v>800</v>
      </c>
      <c r="Y974" s="570">
        <f t="shared" si="3320"/>
        <v>375</v>
      </c>
      <c r="Z974" s="570">
        <f t="shared" si="3320"/>
        <v>300</v>
      </c>
      <c r="AA974" s="570">
        <f t="shared" si="3320"/>
        <v>100</v>
      </c>
      <c r="AB974" s="570">
        <f t="shared" si="3320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321">SUM(AL759)</f>
        <v>11104</v>
      </c>
      <c r="AM974" s="570">
        <f t="shared" si="3321"/>
        <v>5280</v>
      </c>
      <c r="AN974" s="570">
        <f t="shared" si="3321"/>
        <v>8112</v>
      </c>
      <c r="AO974" s="570">
        <f t="shared" si="3321"/>
        <v>7440</v>
      </c>
      <c r="AP974" s="570">
        <f t="shared" si="3321"/>
        <v>14500</v>
      </c>
      <c r="AQ974" s="570">
        <f t="shared" si="3321"/>
        <v>5000</v>
      </c>
      <c r="AR974" s="570">
        <f t="shared" si="3321"/>
        <v>17070</v>
      </c>
      <c r="AS974" s="570">
        <f t="shared" si="3321"/>
        <v>18160</v>
      </c>
      <c r="AT974" s="570">
        <f t="shared" si="3321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322">SUM(BD759)</f>
        <v>14080</v>
      </c>
      <c r="BE974" s="570">
        <f t="shared" si="3322"/>
        <v>9000</v>
      </c>
      <c r="BF974" s="570">
        <f t="shared" si="3322"/>
        <v>15850</v>
      </c>
      <c r="BG974" s="570">
        <f t="shared" si="3322"/>
        <v>28800</v>
      </c>
      <c r="BH974" s="570">
        <f t="shared" si="3322"/>
        <v>6000</v>
      </c>
      <c r="BI974" s="570">
        <f t="shared" si="3322"/>
        <v>14010</v>
      </c>
      <c r="BJ974" s="570">
        <f t="shared" si="3322"/>
        <v>12000</v>
      </c>
      <c r="BK974" s="570">
        <f t="shared" si="3322"/>
        <v>4200</v>
      </c>
      <c r="BL974" s="570">
        <f t="shared" si="3322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09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0" t="str">
        <f t="shared" ref="CE974:CT974" si="332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1" t="str">
        <f t="shared" si="3323"/>
        <v/>
      </c>
      <c r="CG974" s="1111" t="str">
        <f t="shared" si="3323"/>
        <v/>
      </c>
      <c r="CH974" s="1111">
        <f t="shared" si="3323"/>
        <v>0</v>
      </c>
      <c r="CI974" s="1111">
        <f t="shared" si="3323"/>
        <v>0</v>
      </c>
      <c r="CJ974" s="1111">
        <f t="shared" si="3323"/>
        <v>0</v>
      </c>
      <c r="CK974" s="1112">
        <f t="shared" si="3323"/>
        <v>0</v>
      </c>
      <c r="CL974" s="1112">
        <f t="shared" si="3323"/>
        <v>240</v>
      </c>
      <c r="CM974" s="1112">
        <f t="shared" si="3323"/>
        <v>576</v>
      </c>
      <c r="CN974" s="1111">
        <f t="shared" si="3323"/>
        <v>640</v>
      </c>
      <c r="CO974" s="1111">
        <f t="shared" si="3323"/>
        <v>768</v>
      </c>
      <c r="CP974" s="1111">
        <f t="shared" si="3323"/>
        <v>960</v>
      </c>
      <c r="CQ974" s="1111" t="str">
        <f t="shared" si="3323"/>
        <v/>
      </c>
      <c r="CR974" s="1111" t="str">
        <f t="shared" si="3323"/>
        <v/>
      </c>
      <c r="CS974" s="1110" t="str">
        <f t="shared" si="3323"/>
        <v/>
      </c>
      <c r="CT974" s="1113" t="str">
        <f t="shared" si="3323"/>
        <v/>
      </c>
      <c r="CU974" s="324" t="str">
        <f t="shared" ref="CU974:DK974" si="332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324"/>
        <v/>
      </c>
      <c r="CW974" s="326" t="str">
        <f t="shared" si="3324"/>
        <v/>
      </c>
      <c r="CX974" s="326" t="str">
        <f t="shared" si="3324"/>
        <v/>
      </c>
      <c r="CY974" s="326">
        <f t="shared" si="3324"/>
        <v>100</v>
      </c>
      <c r="CZ974" s="326">
        <f t="shared" si="3324"/>
        <v>300</v>
      </c>
      <c r="DA974" s="326">
        <f t="shared" si="3324"/>
        <v>320</v>
      </c>
      <c r="DB974" s="327">
        <f t="shared" si="3324"/>
        <v>375</v>
      </c>
      <c r="DC974" s="327">
        <f t="shared" si="3324"/>
        <v>470</v>
      </c>
      <c r="DD974" s="327">
        <f t="shared" si="3324"/>
        <v>600</v>
      </c>
      <c r="DE974" s="326">
        <f t="shared" si="3324"/>
        <v>720</v>
      </c>
      <c r="DF974" s="326">
        <f t="shared" si="3324"/>
        <v>800</v>
      </c>
      <c r="DG974" s="326">
        <f t="shared" si="3324"/>
        <v>840</v>
      </c>
      <c r="DH974" s="326" t="str">
        <f t="shared" si="3324"/>
        <v/>
      </c>
      <c r="DI974" s="326" t="str">
        <f t="shared" si="3324"/>
        <v/>
      </c>
      <c r="DJ974" s="325" t="str">
        <f t="shared" si="3324"/>
        <v/>
      </c>
      <c r="DK974" s="324" t="str">
        <f t="shared" si="3324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3"/>
      <c r="CE975" s="1134"/>
      <c r="CF975" s="1134"/>
      <c r="CG975" s="1134"/>
      <c r="CH975" s="1134"/>
      <c r="CI975" s="1134"/>
      <c r="CJ975" s="1134"/>
      <c r="CK975" s="1134"/>
      <c r="CL975" s="1134"/>
      <c r="CM975" s="1134"/>
      <c r="CN975" s="1134"/>
      <c r="CO975" s="1134"/>
      <c r="CP975" s="1134"/>
      <c r="CQ975" s="1134"/>
      <c r="CR975" s="1134"/>
      <c r="CS975" s="1134"/>
      <c r="CT975" s="1135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325">SUM(B742)</f>
        <v>0</v>
      </c>
      <c r="C976" s="570">
        <f t="shared" si="3325"/>
        <v>0</v>
      </c>
      <c r="D976" s="570">
        <f t="shared" si="3325"/>
        <v>0</v>
      </c>
      <c r="E976" s="570">
        <f t="shared" si="3325"/>
        <v>0</v>
      </c>
      <c r="F976" s="570">
        <f t="shared" si="3325"/>
        <v>0</v>
      </c>
      <c r="G976" s="570">
        <f t="shared" si="3325"/>
        <v>0</v>
      </c>
      <c r="H976" s="570">
        <f t="shared" si="3325"/>
        <v>0</v>
      </c>
      <c r="I976" s="570">
        <f t="shared" si="3325"/>
        <v>0</v>
      </c>
      <c r="J976" s="570">
        <f t="shared" si="3325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326">SUM(T742)</f>
        <v>0</v>
      </c>
      <c r="U976" s="570">
        <f t="shared" si="3326"/>
        <v>920</v>
      </c>
      <c r="V976" s="570">
        <f t="shared" si="3326"/>
        <v>900</v>
      </c>
      <c r="W976" s="570">
        <f t="shared" si="3326"/>
        <v>0</v>
      </c>
      <c r="X976" s="570">
        <f t="shared" si="3326"/>
        <v>0</v>
      </c>
      <c r="Y976" s="570">
        <f t="shared" si="3326"/>
        <v>0</v>
      </c>
      <c r="Z976" s="570">
        <f t="shared" si="3326"/>
        <v>0</v>
      </c>
      <c r="AA976" s="570">
        <f t="shared" si="3326"/>
        <v>0</v>
      </c>
      <c r="AB976" s="570">
        <f t="shared" si="3326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327">SUM(AL742)</f>
        <v>0</v>
      </c>
      <c r="AM976" s="570">
        <f t="shared" si="3327"/>
        <v>0</v>
      </c>
      <c r="AN976" s="570">
        <f t="shared" si="3327"/>
        <v>900</v>
      </c>
      <c r="AO976" s="570">
        <f t="shared" si="3327"/>
        <v>0</v>
      </c>
      <c r="AP976" s="570">
        <f t="shared" si="3327"/>
        <v>0</v>
      </c>
      <c r="AQ976" s="570">
        <f t="shared" si="3327"/>
        <v>0</v>
      </c>
      <c r="AR976" s="570">
        <f t="shared" si="3327"/>
        <v>0</v>
      </c>
      <c r="AS976" s="570">
        <f t="shared" si="3327"/>
        <v>0</v>
      </c>
      <c r="AT976" s="570">
        <f t="shared" si="3327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328">SUM(BD742)</f>
        <v>0</v>
      </c>
      <c r="BE976" s="570">
        <f t="shared" si="3328"/>
        <v>0</v>
      </c>
      <c r="BF976" s="570">
        <f t="shared" si="3328"/>
        <v>0</v>
      </c>
      <c r="BG976" s="570">
        <f t="shared" si="3328"/>
        <v>0</v>
      </c>
      <c r="BH976" s="570">
        <f t="shared" si="3328"/>
        <v>0</v>
      </c>
      <c r="BI976" s="570">
        <f t="shared" si="3328"/>
        <v>0</v>
      </c>
      <c r="BJ976" s="570">
        <f t="shared" si="3328"/>
        <v>0</v>
      </c>
      <c r="BK976" s="570">
        <f t="shared" si="3328"/>
        <v>0</v>
      </c>
      <c r="BL976" s="570">
        <f t="shared" si="3328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9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0" t="str">
        <f t="shared" ref="CE976:CT976" si="332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1" t="str">
        <f t="shared" si="3329"/>
        <v/>
      </c>
      <c r="CG976" s="1111" t="str">
        <f t="shared" si="3329"/>
        <v/>
      </c>
      <c r="CH976" s="1111">
        <f t="shared" si="3329"/>
        <v>0</v>
      </c>
      <c r="CI976" s="1111">
        <f t="shared" si="3329"/>
        <v>0</v>
      </c>
      <c r="CJ976" s="1111">
        <f t="shared" si="3329"/>
        <v>0</v>
      </c>
      <c r="CK976" s="1112">
        <f t="shared" si="3329"/>
        <v>0</v>
      </c>
      <c r="CL976" s="1112">
        <f t="shared" si="3329"/>
        <v>0</v>
      </c>
      <c r="CM976" s="1112">
        <f t="shared" si="3329"/>
        <v>0</v>
      </c>
      <c r="CN976" s="1111">
        <f t="shared" si="3329"/>
        <v>0</v>
      </c>
      <c r="CO976" s="1111">
        <f t="shared" si="3329"/>
        <v>0</v>
      </c>
      <c r="CP976" s="1111">
        <f t="shared" si="3329"/>
        <v>0</v>
      </c>
      <c r="CQ976" s="1111" t="str">
        <f t="shared" si="3329"/>
        <v/>
      </c>
      <c r="CR976" s="1111" t="str">
        <f t="shared" si="3329"/>
        <v/>
      </c>
      <c r="CS976" s="1110" t="str">
        <f t="shared" si="3329"/>
        <v/>
      </c>
      <c r="CT976" s="1113" t="str">
        <f t="shared" si="3329"/>
        <v/>
      </c>
      <c r="CU976" s="324" t="str">
        <f t="shared" ref="CU976:DK976" si="333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330"/>
        <v/>
      </c>
      <c r="CW976" s="326" t="str">
        <f t="shared" si="3330"/>
        <v/>
      </c>
      <c r="CX976" s="326" t="str">
        <f t="shared" si="3330"/>
        <v/>
      </c>
      <c r="CY976" s="326">
        <f t="shared" si="3330"/>
        <v>0</v>
      </c>
      <c r="CZ976" s="326">
        <f t="shared" si="3330"/>
        <v>0</v>
      </c>
      <c r="DA976" s="326">
        <f t="shared" si="3330"/>
        <v>0</v>
      </c>
      <c r="DB976" s="327">
        <f t="shared" si="3330"/>
        <v>0</v>
      </c>
      <c r="DC976" s="327">
        <f t="shared" si="3330"/>
        <v>0</v>
      </c>
      <c r="DD976" s="327">
        <f t="shared" si="3330"/>
        <v>0</v>
      </c>
      <c r="DE976" s="326">
        <f t="shared" si="3330"/>
        <v>0</v>
      </c>
      <c r="DF976" s="326">
        <f t="shared" si="3330"/>
        <v>900</v>
      </c>
      <c r="DG976" s="326">
        <f t="shared" si="3330"/>
        <v>920</v>
      </c>
      <c r="DH976" s="326" t="str">
        <f t="shared" si="3330"/>
        <v/>
      </c>
      <c r="DI976" s="326" t="str">
        <f t="shared" si="3330"/>
        <v/>
      </c>
      <c r="DJ976" s="325" t="str">
        <f t="shared" si="3330"/>
        <v/>
      </c>
      <c r="DK976" s="324" t="str">
        <f t="shared" si="3330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3"/>
      <c r="CE977" s="1134"/>
      <c r="CF977" s="1134"/>
      <c r="CG977" s="1134"/>
      <c r="CH977" s="1134"/>
      <c r="CI977" s="1134"/>
      <c r="CJ977" s="1134"/>
      <c r="CK977" s="1134"/>
      <c r="CL977" s="1134"/>
      <c r="CM977" s="1134"/>
      <c r="CN977" s="1134"/>
      <c r="CO977" s="1134"/>
      <c r="CP977" s="1134"/>
      <c r="CQ977" s="1134"/>
      <c r="CR977" s="1134"/>
      <c r="CS977" s="1134"/>
      <c r="CT977" s="1135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331">SUM(B748)</f>
        <v>0</v>
      </c>
      <c r="C978" s="570">
        <f t="shared" si="3331"/>
        <v>0</v>
      </c>
      <c r="D978" s="570">
        <f t="shared" si="3331"/>
        <v>0</v>
      </c>
      <c r="E978" s="570">
        <f t="shared" si="3331"/>
        <v>0</v>
      </c>
      <c r="F978" s="570">
        <f t="shared" si="3331"/>
        <v>0</v>
      </c>
      <c r="G978" s="570">
        <f t="shared" si="3331"/>
        <v>0</v>
      </c>
      <c r="H978" s="570">
        <f t="shared" si="3331"/>
        <v>0</v>
      </c>
      <c r="I978" s="570">
        <f t="shared" si="3331"/>
        <v>0</v>
      </c>
      <c r="J978" s="570">
        <f t="shared" si="3331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332">SUM(T748)</f>
        <v>0</v>
      </c>
      <c r="U978" s="570">
        <f t="shared" si="3332"/>
        <v>0</v>
      </c>
      <c r="V978" s="570">
        <f t="shared" si="3332"/>
        <v>0</v>
      </c>
      <c r="W978" s="570">
        <f t="shared" si="3332"/>
        <v>0</v>
      </c>
      <c r="X978" s="570">
        <f t="shared" si="3332"/>
        <v>0</v>
      </c>
      <c r="Y978" s="570">
        <f t="shared" si="3332"/>
        <v>0</v>
      </c>
      <c r="Z978" s="570">
        <f t="shared" si="3332"/>
        <v>0</v>
      </c>
      <c r="AA978" s="570">
        <f t="shared" si="3332"/>
        <v>0</v>
      </c>
      <c r="AB978" s="570">
        <f t="shared" si="3332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333">SUM(AL748)</f>
        <v>0</v>
      </c>
      <c r="AM978" s="570">
        <f t="shared" si="3333"/>
        <v>0</v>
      </c>
      <c r="AN978" s="570">
        <f t="shared" si="3333"/>
        <v>0</v>
      </c>
      <c r="AO978" s="570">
        <f t="shared" si="3333"/>
        <v>0</v>
      </c>
      <c r="AP978" s="570">
        <f t="shared" si="3333"/>
        <v>0</v>
      </c>
      <c r="AQ978" s="570">
        <f t="shared" si="3333"/>
        <v>0</v>
      </c>
      <c r="AR978" s="570">
        <f t="shared" si="3333"/>
        <v>0</v>
      </c>
      <c r="AS978" s="570">
        <f t="shared" si="3333"/>
        <v>0</v>
      </c>
      <c r="AT978" s="570">
        <f t="shared" si="3333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334">SUM(BD748)</f>
        <v>0</v>
      </c>
      <c r="BE978" s="570">
        <f t="shared" si="3334"/>
        <v>0</v>
      </c>
      <c r="BF978" s="570">
        <f t="shared" si="3334"/>
        <v>0</v>
      </c>
      <c r="BG978" s="570">
        <f t="shared" si="3334"/>
        <v>0</v>
      </c>
      <c r="BH978" s="570">
        <f t="shared" si="3334"/>
        <v>0</v>
      </c>
      <c r="BI978" s="570">
        <f t="shared" si="3334"/>
        <v>0</v>
      </c>
      <c r="BJ978" s="570">
        <f t="shared" si="3334"/>
        <v>0</v>
      </c>
      <c r="BK978" s="570">
        <f t="shared" si="3334"/>
        <v>0</v>
      </c>
      <c r="BL978" s="570">
        <f t="shared" si="3334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9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0" t="str">
        <f t="shared" ref="CE978:CT978" si="333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1" t="str">
        <f t="shared" si="3335"/>
        <v/>
      </c>
      <c r="CG978" s="1111" t="str">
        <f t="shared" si="3335"/>
        <v/>
      </c>
      <c r="CH978" s="1111">
        <f t="shared" si="3335"/>
        <v>0</v>
      </c>
      <c r="CI978" s="1111">
        <f t="shared" si="3335"/>
        <v>0</v>
      </c>
      <c r="CJ978" s="1111">
        <f t="shared" si="3335"/>
        <v>0</v>
      </c>
      <c r="CK978" s="1112">
        <f t="shared" si="3335"/>
        <v>0</v>
      </c>
      <c r="CL978" s="1112">
        <f t="shared" si="3335"/>
        <v>0</v>
      </c>
      <c r="CM978" s="1112">
        <f t="shared" si="3335"/>
        <v>0</v>
      </c>
      <c r="CN978" s="1111">
        <f t="shared" si="3335"/>
        <v>0</v>
      </c>
      <c r="CO978" s="1111">
        <f t="shared" si="3335"/>
        <v>0</v>
      </c>
      <c r="CP978" s="1111">
        <f t="shared" si="3335"/>
        <v>0</v>
      </c>
      <c r="CQ978" s="1111" t="str">
        <f t="shared" si="3335"/>
        <v/>
      </c>
      <c r="CR978" s="1111" t="str">
        <f t="shared" si="3335"/>
        <v/>
      </c>
      <c r="CS978" s="1110" t="str">
        <f t="shared" si="3335"/>
        <v/>
      </c>
      <c r="CT978" s="1113" t="str">
        <f t="shared" si="3335"/>
        <v/>
      </c>
      <c r="CU978" s="324" t="str">
        <f t="shared" ref="CU978:DK978" si="333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336"/>
        <v/>
      </c>
      <c r="CW978" s="326" t="str">
        <f t="shared" si="3336"/>
        <v/>
      </c>
      <c r="CX978" s="326" t="str">
        <f t="shared" si="3336"/>
        <v/>
      </c>
      <c r="CY978" s="326">
        <f t="shared" si="3336"/>
        <v>0</v>
      </c>
      <c r="CZ978" s="326">
        <f t="shared" si="3336"/>
        <v>0</v>
      </c>
      <c r="DA978" s="326">
        <f t="shared" si="3336"/>
        <v>0</v>
      </c>
      <c r="DB978" s="327">
        <f t="shared" si="3336"/>
        <v>0</v>
      </c>
      <c r="DC978" s="327">
        <f t="shared" si="3336"/>
        <v>0</v>
      </c>
      <c r="DD978" s="327">
        <f t="shared" si="3336"/>
        <v>0</v>
      </c>
      <c r="DE978" s="326">
        <f t="shared" si="3336"/>
        <v>0</v>
      </c>
      <c r="DF978" s="326">
        <f t="shared" si="3336"/>
        <v>0</v>
      </c>
      <c r="DG978" s="326">
        <f t="shared" si="3336"/>
        <v>0</v>
      </c>
      <c r="DH978" s="326" t="str">
        <f t="shared" si="3336"/>
        <v/>
      </c>
      <c r="DI978" s="326" t="str">
        <f t="shared" si="3336"/>
        <v/>
      </c>
      <c r="DJ978" s="325" t="str">
        <f t="shared" si="3336"/>
        <v/>
      </c>
      <c r="DK978" s="324" t="str">
        <f t="shared" si="3336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19"/>
      <c r="CE979" s="1120"/>
      <c r="CF979" s="1120"/>
      <c r="CG979" s="1120"/>
      <c r="CH979" s="1120"/>
      <c r="CI979" s="1120"/>
      <c r="CJ979" s="1120"/>
      <c r="CK979" s="1120"/>
      <c r="CL979" s="1120"/>
      <c r="CM979" s="1120"/>
      <c r="CN979" s="1120"/>
      <c r="CO979" s="1120"/>
      <c r="CP979" s="1120"/>
      <c r="CQ979" s="1120"/>
      <c r="CR979" s="1120"/>
      <c r="CS979" s="1120"/>
      <c r="CT979" s="1121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337">SUM(B764)</f>
        <v>0</v>
      </c>
      <c r="C980" s="570">
        <f t="shared" si="3337"/>
        <v>0</v>
      </c>
      <c r="D980" s="570">
        <f t="shared" si="3337"/>
        <v>0</v>
      </c>
      <c r="E980" s="570">
        <f t="shared" si="3337"/>
        <v>0</v>
      </c>
      <c r="F980" s="570">
        <f t="shared" si="3337"/>
        <v>0</v>
      </c>
      <c r="G980" s="570">
        <f t="shared" si="3337"/>
        <v>0</v>
      </c>
      <c r="H980" s="570">
        <f t="shared" si="3337"/>
        <v>0</v>
      </c>
      <c r="I980" s="570">
        <f t="shared" si="3337"/>
        <v>0</v>
      </c>
      <c r="J980" s="570">
        <f t="shared" si="3337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338">SUM(T764)</f>
        <v>0</v>
      </c>
      <c r="U980" s="570">
        <f t="shared" si="3338"/>
        <v>0</v>
      </c>
      <c r="V980" s="570">
        <f t="shared" si="3338"/>
        <v>0</v>
      </c>
      <c r="W980" s="570">
        <f t="shared" si="3338"/>
        <v>0</v>
      </c>
      <c r="X980" s="570">
        <f t="shared" si="3338"/>
        <v>0</v>
      </c>
      <c r="Y980" s="570">
        <f t="shared" si="3338"/>
        <v>0</v>
      </c>
      <c r="Z980" s="570">
        <f t="shared" si="3338"/>
        <v>0</v>
      </c>
      <c r="AA980" s="570">
        <f t="shared" si="3338"/>
        <v>0</v>
      </c>
      <c r="AB980" s="570">
        <f t="shared" si="3338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339">SUM(AL764)</f>
        <v>0</v>
      </c>
      <c r="AM980" s="570">
        <f t="shared" si="3339"/>
        <v>0</v>
      </c>
      <c r="AN980" s="570">
        <f t="shared" si="3339"/>
        <v>0</v>
      </c>
      <c r="AO980" s="570">
        <f t="shared" si="3339"/>
        <v>0</v>
      </c>
      <c r="AP980" s="570">
        <f t="shared" si="3339"/>
        <v>0</v>
      </c>
      <c r="AQ980" s="570">
        <f t="shared" si="3339"/>
        <v>0</v>
      </c>
      <c r="AR980" s="570">
        <f t="shared" si="3339"/>
        <v>0</v>
      </c>
      <c r="AS980" s="570">
        <f t="shared" si="3339"/>
        <v>0</v>
      </c>
      <c r="AT980" s="570">
        <f t="shared" si="3339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340">SUM(BD764)</f>
        <v>0</v>
      </c>
      <c r="BE980" s="570">
        <f t="shared" si="3340"/>
        <v>0</v>
      </c>
      <c r="BF980" s="570">
        <f t="shared" si="3340"/>
        <v>0</v>
      </c>
      <c r="BG980" s="570">
        <f t="shared" si="3340"/>
        <v>0</v>
      </c>
      <c r="BH980" s="570">
        <f t="shared" si="3340"/>
        <v>0</v>
      </c>
      <c r="BI980" s="570">
        <f t="shared" si="3340"/>
        <v>0</v>
      </c>
      <c r="BJ980" s="570">
        <f t="shared" si="3340"/>
        <v>0</v>
      </c>
      <c r="BK980" s="570">
        <f t="shared" si="3340"/>
        <v>0</v>
      </c>
      <c r="BL980" s="570">
        <f t="shared" si="3340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9" t="str">
        <f t="shared" ref="CD980:CS980" si="334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0" t="str">
        <f t="shared" si="3341"/>
        <v/>
      </c>
      <c r="CF980" s="1111" t="str">
        <f t="shared" si="3341"/>
        <v/>
      </c>
      <c r="CG980" s="1111" t="str">
        <f t="shared" si="3341"/>
        <v/>
      </c>
      <c r="CH980" s="1111">
        <f t="shared" si="3341"/>
        <v>0</v>
      </c>
      <c r="CI980" s="1111">
        <f t="shared" si="3341"/>
        <v>0</v>
      </c>
      <c r="CJ980" s="1111">
        <f t="shared" si="3341"/>
        <v>0</v>
      </c>
      <c r="CK980" s="1112">
        <f t="shared" si="3341"/>
        <v>0</v>
      </c>
      <c r="CL980" s="1112">
        <f t="shared" si="3341"/>
        <v>0</v>
      </c>
      <c r="CM980" s="1112">
        <f t="shared" si="3341"/>
        <v>0</v>
      </c>
      <c r="CN980" s="1111">
        <f t="shared" si="3341"/>
        <v>0</v>
      </c>
      <c r="CO980" s="1111">
        <f t="shared" si="3341"/>
        <v>0</v>
      </c>
      <c r="CP980" s="1111">
        <f t="shared" si="3341"/>
        <v>0</v>
      </c>
      <c r="CQ980" s="1111" t="str">
        <f t="shared" si="3341"/>
        <v/>
      </c>
      <c r="CR980" s="1111" t="str">
        <f t="shared" si="3341"/>
        <v/>
      </c>
      <c r="CS980" s="1110" t="str">
        <f t="shared" si="3341"/>
        <v/>
      </c>
      <c r="CT980" s="1113" t="str">
        <f t="shared" ref="CE980:CT982" si="334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34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343"/>
        <v/>
      </c>
      <c r="CW980" s="326" t="str">
        <f t="shared" si="3343"/>
        <v/>
      </c>
      <c r="CX980" s="326" t="str">
        <f t="shared" si="3343"/>
        <v/>
      </c>
      <c r="CY980" s="326">
        <f t="shared" si="3343"/>
        <v>0</v>
      </c>
      <c r="CZ980" s="326">
        <f t="shared" si="3343"/>
        <v>0</v>
      </c>
      <c r="DA980" s="326">
        <f t="shared" si="3343"/>
        <v>0</v>
      </c>
      <c r="DB980" s="327">
        <f t="shared" si="3343"/>
        <v>0</v>
      </c>
      <c r="DC980" s="327">
        <f t="shared" si="3343"/>
        <v>0</v>
      </c>
      <c r="DD980" s="327">
        <f t="shared" si="3343"/>
        <v>0</v>
      </c>
      <c r="DE980" s="326">
        <f t="shared" ref="DE980:DK982" si="334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344"/>
        <v>0</v>
      </c>
      <c r="DG980" s="326">
        <f t="shared" si="3344"/>
        <v>0</v>
      </c>
      <c r="DH980" s="326" t="str">
        <f t="shared" si="3344"/>
        <v/>
      </c>
      <c r="DI980" s="326" t="str">
        <f t="shared" si="3344"/>
        <v/>
      </c>
      <c r="DJ980" s="325" t="str">
        <f t="shared" si="3344"/>
        <v/>
      </c>
      <c r="DK980" s="324" t="str">
        <f t="shared" si="3344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345">SUM(B769)</f>
        <v>0</v>
      </c>
      <c r="C981" s="570">
        <f t="shared" si="3345"/>
        <v>0</v>
      </c>
      <c r="D981" s="570">
        <f t="shared" si="3345"/>
        <v>0</v>
      </c>
      <c r="E981" s="570">
        <f t="shared" si="3345"/>
        <v>0</v>
      </c>
      <c r="F981" s="570">
        <f t="shared" si="3345"/>
        <v>0</v>
      </c>
      <c r="G981" s="570">
        <f t="shared" si="3345"/>
        <v>0</v>
      </c>
      <c r="H981" s="570">
        <f t="shared" si="3345"/>
        <v>0</v>
      </c>
      <c r="I981" s="570">
        <f t="shared" si="3345"/>
        <v>0</v>
      </c>
      <c r="J981" s="570">
        <f t="shared" si="3345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346">SUM(T769)</f>
        <v>0</v>
      </c>
      <c r="U981" s="570">
        <f t="shared" si="3346"/>
        <v>0</v>
      </c>
      <c r="V981" s="570">
        <f t="shared" si="3346"/>
        <v>0</v>
      </c>
      <c r="W981" s="570">
        <f t="shared" si="3346"/>
        <v>0</v>
      </c>
      <c r="X981" s="570">
        <f t="shared" si="3346"/>
        <v>0</v>
      </c>
      <c r="Y981" s="570">
        <f t="shared" si="3346"/>
        <v>0</v>
      </c>
      <c r="Z981" s="570">
        <f t="shared" si="3346"/>
        <v>0</v>
      </c>
      <c r="AA981" s="570">
        <f t="shared" si="3346"/>
        <v>0</v>
      </c>
      <c r="AB981" s="570">
        <f t="shared" si="3346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347">SUM(AL769)</f>
        <v>0</v>
      </c>
      <c r="AM981" s="570">
        <f t="shared" si="3347"/>
        <v>0</v>
      </c>
      <c r="AN981" s="570">
        <f t="shared" si="3347"/>
        <v>0</v>
      </c>
      <c r="AO981" s="570">
        <f t="shared" si="3347"/>
        <v>0</v>
      </c>
      <c r="AP981" s="570">
        <f t="shared" si="3347"/>
        <v>0</v>
      </c>
      <c r="AQ981" s="570">
        <f t="shared" si="3347"/>
        <v>0</v>
      </c>
      <c r="AR981" s="570">
        <f t="shared" si="3347"/>
        <v>0</v>
      </c>
      <c r="AS981" s="570">
        <f t="shared" si="3347"/>
        <v>0</v>
      </c>
      <c r="AT981" s="570">
        <f t="shared" si="3347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348">SUM(BD769)</f>
        <v>0</v>
      </c>
      <c r="BE981" s="570">
        <f t="shared" si="3348"/>
        <v>0</v>
      </c>
      <c r="BF981" s="570">
        <f t="shared" si="3348"/>
        <v>0</v>
      </c>
      <c r="BG981" s="570">
        <f t="shared" si="3348"/>
        <v>0</v>
      </c>
      <c r="BH981" s="570">
        <f t="shared" si="3348"/>
        <v>0</v>
      </c>
      <c r="BI981" s="570">
        <f t="shared" si="3348"/>
        <v>0</v>
      </c>
      <c r="BJ981" s="570">
        <f t="shared" si="3348"/>
        <v>0</v>
      </c>
      <c r="BK981" s="570">
        <f t="shared" si="3348"/>
        <v>0</v>
      </c>
      <c r="BL981" s="570">
        <f t="shared" si="3348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9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0" t="str">
        <f t="shared" si="3342"/>
        <v/>
      </c>
      <c r="CF981" s="1111" t="str">
        <f t="shared" si="3342"/>
        <v/>
      </c>
      <c r="CG981" s="1111" t="str">
        <f t="shared" si="3342"/>
        <v/>
      </c>
      <c r="CH981" s="1111">
        <f t="shared" si="3342"/>
        <v>0</v>
      </c>
      <c r="CI981" s="1111">
        <f t="shared" si="3342"/>
        <v>0</v>
      </c>
      <c r="CJ981" s="1111">
        <f t="shared" si="3342"/>
        <v>0</v>
      </c>
      <c r="CK981" s="1112">
        <f t="shared" si="3342"/>
        <v>0</v>
      </c>
      <c r="CL981" s="1112">
        <f t="shared" si="3342"/>
        <v>0</v>
      </c>
      <c r="CM981" s="1112">
        <f t="shared" si="3342"/>
        <v>0</v>
      </c>
      <c r="CN981" s="1111">
        <f t="shared" si="3342"/>
        <v>0</v>
      </c>
      <c r="CO981" s="1111">
        <f t="shared" si="3342"/>
        <v>0</v>
      </c>
      <c r="CP981" s="1111">
        <f t="shared" si="3342"/>
        <v>0</v>
      </c>
      <c r="CQ981" s="1111" t="str">
        <f t="shared" si="3342"/>
        <v/>
      </c>
      <c r="CR981" s="1111" t="str">
        <f t="shared" si="3342"/>
        <v/>
      </c>
      <c r="CS981" s="1110" t="str">
        <f t="shared" si="3342"/>
        <v/>
      </c>
      <c r="CT981" s="1113" t="str">
        <f t="shared" si="3342"/>
        <v/>
      </c>
      <c r="CU981" s="324" t="str">
        <f t="shared" si="3343"/>
        <v/>
      </c>
      <c r="CV981" s="325" t="str">
        <f t="shared" si="3343"/>
        <v/>
      </c>
      <c r="CW981" s="326" t="str">
        <f t="shared" si="3343"/>
        <v/>
      </c>
      <c r="CX981" s="326" t="str">
        <f t="shared" si="3343"/>
        <v/>
      </c>
      <c r="CY981" s="326">
        <f t="shared" si="3343"/>
        <v>0</v>
      </c>
      <c r="CZ981" s="326">
        <f t="shared" si="3343"/>
        <v>0</v>
      </c>
      <c r="DA981" s="326">
        <f t="shared" si="3343"/>
        <v>0</v>
      </c>
      <c r="DB981" s="327">
        <f t="shared" si="3343"/>
        <v>0</v>
      </c>
      <c r="DC981" s="327">
        <f t="shared" si="3343"/>
        <v>0</v>
      </c>
      <c r="DD981" s="327">
        <f t="shared" si="3343"/>
        <v>0</v>
      </c>
      <c r="DE981" s="326">
        <f t="shared" si="3344"/>
        <v>0</v>
      </c>
      <c r="DF981" s="326">
        <f t="shared" si="3344"/>
        <v>0</v>
      </c>
      <c r="DG981" s="326">
        <f t="shared" si="3344"/>
        <v>0</v>
      </c>
      <c r="DH981" s="326" t="str">
        <f t="shared" si="3344"/>
        <v/>
      </c>
      <c r="DI981" s="326" t="str">
        <f t="shared" si="3344"/>
        <v/>
      </c>
      <c r="DJ981" s="325" t="str">
        <f t="shared" si="3344"/>
        <v/>
      </c>
      <c r="DK981" s="324" t="str">
        <f t="shared" si="3344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349">SUM(B726)</f>
        <v>0</v>
      </c>
      <c r="C982" s="570">
        <f t="shared" si="3349"/>
        <v>0</v>
      </c>
      <c r="D982" s="570">
        <f t="shared" si="3349"/>
        <v>0</v>
      </c>
      <c r="E982" s="570">
        <f t="shared" si="3349"/>
        <v>0</v>
      </c>
      <c r="F982" s="570">
        <f t="shared" si="3349"/>
        <v>0</v>
      </c>
      <c r="G982" s="570">
        <f t="shared" si="3349"/>
        <v>0</v>
      </c>
      <c r="H982" s="570">
        <f t="shared" si="3349"/>
        <v>0</v>
      </c>
      <c r="I982" s="570">
        <f t="shared" si="3349"/>
        <v>0</v>
      </c>
      <c r="J982" s="570">
        <f t="shared" si="3349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350">SUM(T726)</f>
        <v>0</v>
      </c>
      <c r="U982" s="570">
        <f t="shared" si="3350"/>
        <v>0</v>
      </c>
      <c r="V982" s="570">
        <f t="shared" si="3350"/>
        <v>0</v>
      </c>
      <c r="W982" s="570">
        <f t="shared" si="3350"/>
        <v>0</v>
      </c>
      <c r="X982" s="570">
        <f t="shared" si="3350"/>
        <v>0</v>
      </c>
      <c r="Y982" s="570">
        <f t="shared" si="3350"/>
        <v>0</v>
      </c>
      <c r="Z982" s="570">
        <f t="shared" si="3350"/>
        <v>0</v>
      </c>
      <c r="AA982" s="570">
        <f t="shared" si="3350"/>
        <v>0</v>
      </c>
      <c r="AB982" s="570">
        <f t="shared" si="3350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351">SUM(AL726)</f>
        <v>0</v>
      </c>
      <c r="AM982" s="570">
        <f t="shared" si="3351"/>
        <v>0</v>
      </c>
      <c r="AN982" s="570">
        <f t="shared" si="3351"/>
        <v>0</v>
      </c>
      <c r="AO982" s="570">
        <f t="shared" si="3351"/>
        <v>0</v>
      </c>
      <c r="AP982" s="570">
        <f t="shared" si="3351"/>
        <v>0</v>
      </c>
      <c r="AQ982" s="570">
        <f t="shared" si="3351"/>
        <v>0</v>
      </c>
      <c r="AR982" s="570">
        <f t="shared" si="3351"/>
        <v>0</v>
      </c>
      <c r="AS982" s="570">
        <f t="shared" si="3351"/>
        <v>0</v>
      </c>
      <c r="AT982" s="570">
        <f t="shared" si="3351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352">SUM(BD726)</f>
        <v>0</v>
      </c>
      <c r="BE982" s="570">
        <f t="shared" si="3352"/>
        <v>0</v>
      </c>
      <c r="BF982" s="570">
        <f t="shared" si="3352"/>
        <v>0</v>
      </c>
      <c r="BG982" s="570">
        <f t="shared" si="3352"/>
        <v>0</v>
      </c>
      <c r="BH982" s="570">
        <f t="shared" si="3352"/>
        <v>0</v>
      </c>
      <c r="BI982" s="570">
        <f t="shared" si="3352"/>
        <v>0</v>
      </c>
      <c r="BJ982" s="570">
        <f t="shared" si="3352"/>
        <v>0</v>
      </c>
      <c r="BK982" s="570">
        <f t="shared" si="3352"/>
        <v>0</v>
      </c>
      <c r="BL982" s="570">
        <f t="shared" si="3352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9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0" t="str">
        <f t="shared" si="3342"/>
        <v/>
      </c>
      <c r="CF982" s="1111" t="str">
        <f t="shared" si="3342"/>
        <v/>
      </c>
      <c r="CG982" s="1111" t="str">
        <f t="shared" si="3342"/>
        <v/>
      </c>
      <c r="CH982" s="1111">
        <f t="shared" si="3342"/>
        <v>0</v>
      </c>
      <c r="CI982" s="1111">
        <f t="shared" si="3342"/>
        <v>0</v>
      </c>
      <c r="CJ982" s="1111">
        <f t="shared" si="3342"/>
        <v>0</v>
      </c>
      <c r="CK982" s="1112">
        <f t="shared" si="3342"/>
        <v>0</v>
      </c>
      <c r="CL982" s="1112">
        <f t="shared" si="3342"/>
        <v>0</v>
      </c>
      <c r="CM982" s="1112">
        <f t="shared" si="3342"/>
        <v>0</v>
      </c>
      <c r="CN982" s="1111">
        <f t="shared" si="3342"/>
        <v>0</v>
      </c>
      <c r="CO982" s="1111">
        <f t="shared" si="3342"/>
        <v>0</v>
      </c>
      <c r="CP982" s="1111">
        <f t="shared" si="3342"/>
        <v>0</v>
      </c>
      <c r="CQ982" s="1111" t="str">
        <f t="shared" si="3342"/>
        <v/>
      </c>
      <c r="CR982" s="1111" t="str">
        <f t="shared" si="3342"/>
        <v/>
      </c>
      <c r="CS982" s="1110" t="str">
        <f t="shared" si="3342"/>
        <v/>
      </c>
      <c r="CT982" s="1113" t="str">
        <f t="shared" si="3342"/>
        <v/>
      </c>
      <c r="CU982" s="324" t="str">
        <f t="shared" si="3343"/>
        <v/>
      </c>
      <c r="CV982" s="325" t="str">
        <f t="shared" si="3343"/>
        <v/>
      </c>
      <c r="CW982" s="326" t="str">
        <f t="shared" si="3343"/>
        <v/>
      </c>
      <c r="CX982" s="326" t="str">
        <f t="shared" si="3343"/>
        <v/>
      </c>
      <c r="CY982" s="326">
        <f t="shared" si="3343"/>
        <v>0</v>
      </c>
      <c r="CZ982" s="326">
        <f t="shared" si="3343"/>
        <v>0</v>
      </c>
      <c r="DA982" s="326">
        <f t="shared" si="3343"/>
        <v>0</v>
      </c>
      <c r="DB982" s="327">
        <f t="shared" si="3343"/>
        <v>0</v>
      </c>
      <c r="DC982" s="327">
        <f t="shared" si="3343"/>
        <v>0</v>
      </c>
      <c r="DD982" s="327">
        <f t="shared" si="3343"/>
        <v>0</v>
      </c>
      <c r="DE982" s="326">
        <f t="shared" si="3344"/>
        <v>0</v>
      </c>
      <c r="DF982" s="326">
        <f t="shared" si="3344"/>
        <v>0</v>
      </c>
      <c r="DG982" s="326">
        <f t="shared" si="3344"/>
        <v>0</v>
      </c>
      <c r="DH982" s="326" t="str">
        <f t="shared" si="3344"/>
        <v/>
      </c>
      <c r="DI982" s="326" t="str">
        <f t="shared" si="3344"/>
        <v/>
      </c>
      <c r="DJ982" s="325" t="str">
        <f t="shared" si="3344"/>
        <v/>
      </c>
      <c r="DK982" s="324" t="str">
        <f t="shared" si="3344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19"/>
      <c r="CE983" s="1120"/>
      <c r="CF983" s="1120"/>
      <c r="CG983" s="1120"/>
      <c r="CH983" s="1120"/>
      <c r="CI983" s="1120"/>
      <c r="CJ983" s="1120"/>
      <c r="CK983" s="1120"/>
      <c r="CL983" s="1120"/>
      <c r="CM983" s="1120"/>
      <c r="CN983" s="1120"/>
      <c r="CO983" s="1120"/>
      <c r="CP983" s="1120"/>
      <c r="CQ983" s="1120"/>
      <c r="CR983" s="1120"/>
      <c r="CS983" s="1120"/>
      <c r="CT983" s="1121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353">SUM(B903:B983)</f>
        <v>4756</v>
      </c>
      <c r="C984" s="570">
        <f t="shared" si="3353"/>
        <v>6095</v>
      </c>
      <c r="D984" s="570">
        <f t="shared" si="3353"/>
        <v>3988</v>
      </c>
      <c r="E984" s="570">
        <f t="shared" si="3353"/>
        <v>4296</v>
      </c>
      <c r="F984" s="570">
        <f t="shared" si="3353"/>
        <v>3036</v>
      </c>
      <c r="G984" s="570">
        <f t="shared" si="3353"/>
        <v>3565</v>
      </c>
      <c r="H984" s="570">
        <f t="shared" si="3353"/>
        <v>2195</v>
      </c>
      <c r="I984" s="570">
        <f t="shared" si="3353"/>
        <v>1885</v>
      </c>
      <c r="J984" s="570">
        <f t="shared" si="3353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354">SUM(T903:T983)</f>
        <v>8835</v>
      </c>
      <c r="U984" s="570">
        <f t="shared" si="3354"/>
        <v>3000</v>
      </c>
      <c r="V984" s="570">
        <f t="shared" si="3354"/>
        <v>4290</v>
      </c>
      <c r="W984" s="570">
        <f t="shared" si="3354"/>
        <v>4708.6000000000004</v>
      </c>
      <c r="X984" s="570">
        <f t="shared" si="3354"/>
        <v>3879</v>
      </c>
      <c r="Y984" s="570">
        <f t="shared" si="3354"/>
        <v>5140</v>
      </c>
      <c r="Z984" s="570">
        <f t="shared" si="3354"/>
        <v>3045</v>
      </c>
      <c r="AA984" s="570">
        <f t="shared" si="3354"/>
        <v>3311.5</v>
      </c>
      <c r="AB984" s="570">
        <f t="shared" si="3354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355">SUM(AL903:AL983)</f>
        <v>29650</v>
      </c>
      <c r="AM984" s="570">
        <f t="shared" si="3355"/>
        <v>19952</v>
      </c>
      <c r="AN984" s="570">
        <f t="shared" si="3355"/>
        <v>19881</v>
      </c>
      <c r="AO984" s="570">
        <f t="shared" si="3355"/>
        <v>24239</v>
      </c>
      <c r="AP984" s="570">
        <f t="shared" si="3355"/>
        <v>29995</v>
      </c>
      <c r="AQ984" s="570">
        <f t="shared" si="3355"/>
        <v>22717.5</v>
      </c>
      <c r="AR984" s="570">
        <f t="shared" si="3355"/>
        <v>27210</v>
      </c>
      <c r="AS984" s="570">
        <f t="shared" si="3355"/>
        <v>36920</v>
      </c>
      <c r="AT984" s="570">
        <f t="shared" si="3355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356">SUM(BD903:BD983)</f>
        <v>37802.259999999995</v>
      </c>
      <c r="BE984" s="570">
        <f t="shared" si="3356"/>
        <v>32688</v>
      </c>
      <c r="BF984" s="570">
        <f t="shared" si="3356"/>
        <v>43610</v>
      </c>
      <c r="BG984" s="570">
        <f t="shared" si="3356"/>
        <v>55133</v>
      </c>
      <c r="BH984" s="570">
        <f t="shared" si="3356"/>
        <v>34302</v>
      </c>
      <c r="BI984" s="570">
        <f t="shared" si="3356"/>
        <v>23445</v>
      </c>
      <c r="BJ984" s="570">
        <f t="shared" si="3356"/>
        <v>54240</v>
      </c>
      <c r="BK984" s="570">
        <f t="shared" si="3356"/>
        <v>30892.240000000002</v>
      </c>
      <c r="BL984" s="570">
        <f t="shared" si="3356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09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0" t="str">
        <f t="shared" ref="CE984:CT984" si="335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1" t="str">
        <f t="shared" si="3357"/>
        <v/>
      </c>
      <c r="CG984" s="1111" t="str">
        <f t="shared" si="3357"/>
        <v/>
      </c>
      <c r="CH984" s="1111">
        <f t="shared" si="3357"/>
        <v>1885</v>
      </c>
      <c r="CI984" s="1111">
        <f t="shared" si="3357"/>
        <v>2195</v>
      </c>
      <c r="CJ984" s="1111">
        <f t="shared" si="3357"/>
        <v>2478</v>
      </c>
      <c r="CK984" s="1112">
        <f t="shared" si="3357"/>
        <v>3036</v>
      </c>
      <c r="CL984" s="1112">
        <f t="shared" si="3357"/>
        <v>3565</v>
      </c>
      <c r="CM984" s="1112">
        <f t="shared" si="3357"/>
        <v>3988</v>
      </c>
      <c r="CN984" s="1111">
        <f t="shared" si="3357"/>
        <v>4296</v>
      </c>
      <c r="CO984" s="1111">
        <f t="shared" si="3357"/>
        <v>4756</v>
      </c>
      <c r="CP984" s="1111">
        <f t="shared" si="3357"/>
        <v>6095</v>
      </c>
      <c r="CQ984" s="1111" t="str">
        <f t="shared" si="3357"/>
        <v/>
      </c>
      <c r="CR984" s="1111" t="str">
        <f t="shared" si="3357"/>
        <v/>
      </c>
      <c r="CS984" s="1110" t="str">
        <f t="shared" si="3357"/>
        <v/>
      </c>
      <c r="CT984" s="1113" t="str">
        <f t="shared" si="3357"/>
        <v/>
      </c>
      <c r="CU984" s="324" t="str">
        <f t="shared" ref="CU984:DK984" si="335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358"/>
        <v/>
      </c>
      <c r="CW984" s="326" t="str">
        <f t="shared" si="3358"/>
        <v/>
      </c>
      <c r="CX984" s="326" t="str">
        <f t="shared" si="3358"/>
        <v/>
      </c>
      <c r="CY984" s="326">
        <f t="shared" si="3358"/>
        <v>3000</v>
      </c>
      <c r="CZ984" s="326">
        <f t="shared" si="3358"/>
        <v>3045</v>
      </c>
      <c r="DA984" s="326">
        <f t="shared" si="3358"/>
        <v>3311.5</v>
      </c>
      <c r="DB984" s="327">
        <f t="shared" si="3358"/>
        <v>3879</v>
      </c>
      <c r="DC984" s="327">
        <f t="shared" si="3358"/>
        <v>4290</v>
      </c>
      <c r="DD984" s="327">
        <f t="shared" si="3358"/>
        <v>4366</v>
      </c>
      <c r="DE984" s="326">
        <f t="shared" si="3358"/>
        <v>4708.6000000000004</v>
      </c>
      <c r="DF984" s="326">
        <f t="shared" si="3358"/>
        <v>5140</v>
      </c>
      <c r="DG984" s="326">
        <f t="shared" si="3358"/>
        <v>8835</v>
      </c>
      <c r="DH984" s="326" t="str">
        <f t="shared" si="3358"/>
        <v/>
      </c>
      <c r="DI984" s="326" t="str">
        <f t="shared" si="3358"/>
        <v/>
      </c>
      <c r="DJ984" s="325" t="str">
        <f t="shared" si="3358"/>
        <v/>
      </c>
      <c r="DK984" s="324" t="str">
        <f t="shared" si="3358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19"/>
      <c r="CE985" s="1120"/>
      <c r="CF985" s="1120"/>
      <c r="CG985" s="1120"/>
      <c r="CH985" s="1120"/>
      <c r="CI985" s="1120"/>
      <c r="CJ985" s="1120"/>
      <c r="CK985" s="1120"/>
      <c r="CL985" s="1120"/>
      <c r="CM985" s="1120"/>
      <c r="CN985" s="1120"/>
      <c r="CO985" s="1120"/>
      <c r="CP985" s="1120"/>
      <c r="CQ985" s="1120"/>
      <c r="CR985" s="1120"/>
      <c r="CS985" s="1120"/>
      <c r="CT985" s="1121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19"/>
      <c r="CE986" s="1120"/>
      <c r="CF986" s="1120"/>
      <c r="CG986" s="1120"/>
      <c r="CH986" s="1120"/>
      <c r="CI986" s="1120"/>
      <c r="CJ986" s="1120"/>
      <c r="CK986" s="1120"/>
      <c r="CL986" s="1120"/>
      <c r="CM986" s="1120"/>
      <c r="CN986" s="1120"/>
      <c r="CO986" s="1120"/>
      <c r="CP986" s="1120"/>
      <c r="CQ986" s="1120"/>
      <c r="CR986" s="1120"/>
      <c r="CS986" s="1120"/>
      <c r="CT986" s="1121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R987" si="3359">SUM(C456,C465)</f>
        <v>210</v>
      </c>
      <c r="D987" s="570">
        <f t="shared" si="3359"/>
        <v>256</v>
      </c>
      <c r="E987" s="570">
        <f t="shared" si="3359"/>
        <v>0</v>
      </c>
      <c r="F987" s="570">
        <f t="shared" si="3359"/>
        <v>420</v>
      </c>
      <c r="G987" s="570">
        <f t="shared" si="3359"/>
        <v>160</v>
      </c>
      <c r="H987" s="570">
        <f t="shared" si="3359"/>
        <v>0</v>
      </c>
      <c r="I987" s="570">
        <f t="shared" si="3359"/>
        <v>160</v>
      </c>
      <c r="J987" s="570">
        <f t="shared" si="3359"/>
        <v>320</v>
      </c>
      <c r="K987" s="570">
        <f t="shared" si="3359"/>
        <v>0</v>
      </c>
      <c r="L987" s="570">
        <f t="shared" si="3359"/>
        <v>0</v>
      </c>
      <c r="M987" s="570">
        <f t="shared" si="3359"/>
        <v>0</v>
      </c>
      <c r="N987" s="570">
        <f t="shared" si="3359"/>
        <v>0</v>
      </c>
      <c r="O987" s="570">
        <f t="shared" si="3359"/>
        <v>0</v>
      </c>
      <c r="P987" s="570">
        <f t="shared" si="3359"/>
        <v>0</v>
      </c>
      <c r="Q987" s="570">
        <f t="shared" si="3359"/>
        <v>0</v>
      </c>
      <c r="R987" s="570">
        <f t="shared" si="3359"/>
        <v>0</v>
      </c>
      <c r="S987" s="569"/>
      <c r="T987" s="570">
        <f>SUM(T456,T465)</f>
        <v>0</v>
      </c>
      <c r="U987" s="570">
        <f t="shared" ref="U987:AJ987" si="3360">SUM(U456,U465)</f>
        <v>82</v>
      </c>
      <c r="V987" s="570">
        <f t="shared" si="3360"/>
        <v>300</v>
      </c>
      <c r="W987" s="570">
        <f t="shared" si="3360"/>
        <v>0</v>
      </c>
      <c r="X987" s="570">
        <f t="shared" si="3360"/>
        <v>0</v>
      </c>
      <c r="Y987" s="570">
        <f t="shared" si="3360"/>
        <v>180</v>
      </c>
      <c r="Z987" s="570">
        <f t="shared" si="3360"/>
        <v>60</v>
      </c>
      <c r="AA987" s="570">
        <f t="shared" si="3360"/>
        <v>40</v>
      </c>
      <c r="AB987" s="570">
        <f t="shared" si="3360"/>
        <v>240</v>
      </c>
      <c r="AC987" s="570">
        <f t="shared" si="3360"/>
        <v>0</v>
      </c>
      <c r="AD987" s="570">
        <f t="shared" si="3360"/>
        <v>0</v>
      </c>
      <c r="AE987" s="570">
        <f t="shared" si="3360"/>
        <v>0</v>
      </c>
      <c r="AF987" s="570">
        <f t="shared" si="3360"/>
        <v>0</v>
      </c>
      <c r="AG987" s="570">
        <f t="shared" si="3360"/>
        <v>0</v>
      </c>
      <c r="AH987" s="570">
        <f t="shared" si="3360"/>
        <v>0</v>
      </c>
      <c r="AI987" s="570">
        <f t="shared" si="3360"/>
        <v>0</v>
      </c>
      <c r="AJ987" s="570">
        <f t="shared" si="3360"/>
        <v>0</v>
      </c>
      <c r="AK987" s="569"/>
      <c r="AL987" s="570">
        <f>SUM(AL456,AL465)</f>
        <v>240</v>
      </c>
      <c r="AM987" s="570">
        <f t="shared" ref="AM987:BB987" si="3361">SUM(AM456,AM465)</f>
        <v>0</v>
      </c>
      <c r="AN987" s="570">
        <f t="shared" si="3361"/>
        <v>320</v>
      </c>
      <c r="AO987" s="570">
        <f t="shared" si="3361"/>
        <v>0</v>
      </c>
      <c r="AP987" s="570">
        <f t="shared" si="3361"/>
        <v>560</v>
      </c>
      <c r="AQ987" s="570">
        <f t="shared" si="3361"/>
        <v>0</v>
      </c>
      <c r="AR987" s="570">
        <f t="shared" si="3361"/>
        <v>0</v>
      </c>
      <c r="AS987" s="570">
        <f t="shared" si="3361"/>
        <v>0</v>
      </c>
      <c r="AT987" s="570">
        <f t="shared" si="3361"/>
        <v>0</v>
      </c>
      <c r="AU987" s="570">
        <f t="shared" si="3361"/>
        <v>0</v>
      </c>
      <c r="AV987" s="570">
        <f t="shared" si="3361"/>
        <v>0</v>
      </c>
      <c r="AW987" s="570">
        <f t="shared" si="3361"/>
        <v>0</v>
      </c>
      <c r="AX987" s="570">
        <f t="shared" si="3361"/>
        <v>0</v>
      </c>
      <c r="AY987" s="570">
        <f t="shared" si="3361"/>
        <v>0</v>
      </c>
      <c r="AZ987" s="570">
        <f t="shared" si="3361"/>
        <v>0</v>
      </c>
      <c r="BA987" s="570">
        <f t="shared" si="3361"/>
        <v>0</v>
      </c>
      <c r="BB987" s="570">
        <f t="shared" si="3361"/>
        <v>0</v>
      </c>
      <c r="BC987" s="569"/>
      <c r="BD987" s="570">
        <f>SUM(BD456,BD465)</f>
        <v>0</v>
      </c>
      <c r="BE987" s="570">
        <f t="shared" ref="BE987:BT987" si="3362">SUM(BE456,BE465)</f>
        <v>0</v>
      </c>
      <c r="BF987" s="570">
        <f t="shared" si="3362"/>
        <v>0</v>
      </c>
      <c r="BG987" s="570">
        <f t="shared" si="3362"/>
        <v>0</v>
      </c>
      <c r="BH987" s="570">
        <f t="shared" si="3362"/>
        <v>0</v>
      </c>
      <c r="BI987" s="570">
        <f t="shared" si="3362"/>
        <v>396</v>
      </c>
      <c r="BJ987" s="570">
        <f t="shared" si="3362"/>
        <v>0</v>
      </c>
      <c r="BK987" s="570">
        <f t="shared" si="3362"/>
        <v>0</v>
      </c>
      <c r="BL987" s="570">
        <f t="shared" si="3362"/>
        <v>0</v>
      </c>
      <c r="BM987" s="570">
        <f t="shared" si="3362"/>
        <v>0</v>
      </c>
      <c r="BN987" s="570">
        <f t="shared" si="3362"/>
        <v>0</v>
      </c>
      <c r="BO987" s="570">
        <f t="shared" si="3362"/>
        <v>0</v>
      </c>
      <c r="BP987" s="570">
        <f t="shared" si="3362"/>
        <v>0</v>
      </c>
      <c r="BQ987" s="570">
        <f t="shared" si="3362"/>
        <v>0</v>
      </c>
      <c r="BR987" s="570">
        <f t="shared" si="3362"/>
        <v>0</v>
      </c>
      <c r="BS987" s="570">
        <f t="shared" si="3362"/>
        <v>0</v>
      </c>
      <c r="BT987" s="570">
        <f t="shared" si="3362"/>
        <v>0</v>
      </c>
      <c r="BU987" s="569"/>
      <c r="BV987" s="570">
        <f>SUM(BV456,BV465)</f>
        <v>0</v>
      </c>
      <c r="BW987" s="570">
        <f t="shared" ref="BW987:BY987" si="3363">SUM(BW456,BW465)</f>
        <v>0</v>
      </c>
      <c r="BX987" s="570">
        <f t="shared" si="3363"/>
        <v>0</v>
      </c>
      <c r="BY987" s="570">
        <f t="shared" si="3363"/>
        <v>0</v>
      </c>
      <c r="BZ987" s="373">
        <f t="shared" ref="BZ987:BZ1001" si="3364">IF(DL987&lt;3,"",(SUM(B987:R987)-MIN(B987:R987)-MAX(B987:R987))/(DL987-2))</f>
        <v>84.4</v>
      </c>
      <c r="CA987" s="373">
        <f t="shared" ref="CA987:CA1001" si="3365">IF(DM987&lt;3,"",(SUM(T987:AJ987)-MIN(T987:AJ987)-MAX(T987:AJ987))/(DM987-2))</f>
        <v>40.133333333333333</v>
      </c>
      <c r="CB987" s="373">
        <f t="shared" ref="CB987:CB1001" si="3366">IF(DN987&lt;3,"",(SUM(AL987:BB987)-MIN(AL987:BB987)-MAX(AL987:BB987))/(DN987-2))</f>
        <v>37.333333333333336</v>
      </c>
      <c r="CC987" s="373">
        <f t="shared" ref="CC987:CC1001" si="3367">IF(DO987&lt;3,"",(SUM(BD987:BT987)-MIN(BD987:BT987)-MAX(BD987:BT987))/(DO987-2))</f>
        <v>0</v>
      </c>
      <c r="CD987" s="1109">
        <f t="shared" ref="CD987:CS1001" si="336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10">
        <f t="shared" si="3368"/>
        <v>0</v>
      </c>
      <c r="CF987" s="1111">
        <f t="shared" si="3368"/>
        <v>0</v>
      </c>
      <c r="CG987" s="1111">
        <f t="shared" si="3368"/>
        <v>0</v>
      </c>
      <c r="CH987" s="1111">
        <f t="shared" si="3368"/>
        <v>0</v>
      </c>
      <c r="CI987" s="1111">
        <f t="shared" si="3368"/>
        <v>0</v>
      </c>
      <c r="CJ987" s="1111">
        <f t="shared" si="3368"/>
        <v>0</v>
      </c>
      <c r="CK987" s="1112">
        <f t="shared" si="3368"/>
        <v>0</v>
      </c>
      <c r="CL987" s="1112">
        <f t="shared" si="3368"/>
        <v>0</v>
      </c>
      <c r="CM987" s="1112">
        <f t="shared" si="3368"/>
        <v>0</v>
      </c>
      <c r="CN987" s="1111">
        <f t="shared" si="3368"/>
        <v>160</v>
      </c>
      <c r="CO987" s="1111">
        <f t="shared" si="3368"/>
        <v>160</v>
      </c>
      <c r="CP987" s="1111">
        <f t="shared" si="3368"/>
        <v>160</v>
      </c>
      <c r="CQ987" s="1111">
        <f t="shared" si="3368"/>
        <v>210</v>
      </c>
      <c r="CR987" s="1111">
        <f t="shared" si="3368"/>
        <v>256</v>
      </c>
      <c r="CS987" s="1110">
        <f t="shared" si="3368"/>
        <v>320</v>
      </c>
      <c r="CT987" s="1113">
        <f t="shared" ref="CT987:CT1001" si="336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201">
        <f t="shared" ref="CU987:DJ1001" si="337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1">
        <f t="shared" si="3370"/>
        <v>0</v>
      </c>
      <c r="CW987" s="1142">
        <f t="shared" si="3370"/>
        <v>0</v>
      </c>
      <c r="CX987" s="1142">
        <f t="shared" si="3370"/>
        <v>0</v>
      </c>
      <c r="CY987" s="1142">
        <f t="shared" si="3370"/>
        <v>0</v>
      </c>
      <c r="CZ987" s="1142">
        <f t="shared" si="3370"/>
        <v>0</v>
      </c>
      <c r="DA987" s="1142">
        <f t="shared" si="3370"/>
        <v>0</v>
      </c>
      <c r="DB987" s="1143">
        <f t="shared" si="3370"/>
        <v>0</v>
      </c>
      <c r="DC987" s="1143">
        <f t="shared" si="3370"/>
        <v>0</v>
      </c>
      <c r="DD987" s="1143">
        <f t="shared" si="3370"/>
        <v>0</v>
      </c>
      <c r="DE987" s="1142">
        <f t="shared" si="3370"/>
        <v>0</v>
      </c>
      <c r="DF987" s="1142">
        <f t="shared" si="3370"/>
        <v>40</v>
      </c>
      <c r="DG987" s="1142">
        <f t="shared" si="3370"/>
        <v>60</v>
      </c>
      <c r="DH987" s="1142">
        <f t="shared" si="3370"/>
        <v>82</v>
      </c>
      <c r="DI987" s="1142">
        <f t="shared" si="3370"/>
        <v>180</v>
      </c>
      <c r="DJ987" s="1141">
        <f t="shared" si="3370"/>
        <v>240</v>
      </c>
      <c r="DK987" s="1201">
        <f t="shared" ref="DK987:DK1001" si="337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3372">COUNT(B987:R987)</f>
        <v>17</v>
      </c>
      <c r="DM987" s="66">
        <f t="shared" ref="DM987:DM1001" si="3373">COUNT(T987:AJ987)</f>
        <v>17</v>
      </c>
      <c r="DN987" s="66">
        <f t="shared" ref="DN987:DN1001" si="3374">COUNT(AL987:BB987)</f>
        <v>17</v>
      </c>
      <c r="DO987" s="66">
        <f t="shared" ref="DO987:DO1001" si="3375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SUM(B513,B519,B610,B616,B771,B772)</f>
        <v>147.5</v>
      </c>
      <c r="C988" s="570">
        <f t="shared" ref="C988:R988" si="3376">SUM(C513,C519,C610,C616,C771,C772)</f>
        <v>337.72</v>
      </c>
      <c r="D988" s="570">
        <f t="shared" si="3376"/>
        <v>224</v>
      </c>
      <c r="E988" s="570">
        <f t="shared" si="3376"/>
        <v>358.75</v>
      </c>
      <c r="F988" s="570">
        <f t="shared" si="3376"/>
        <v>82</v>
      </c>
      <c r="G988" s="570">
        <f t="shared" si="3376"/>
        <v>172.94</v>
      </c>
      <c r="H988" s="570">
        <f t="shared" si="3376"/>
        <v>988.5</v>
      </c>
      <c r="I988" s="570">
        <f t="shared" si="3376"/>
        <v>78</v>
      </c>
      <c r="J988" s="570">
        <f t="shared" si="3376"/>
        <v>216</v>
      </c>
      <c r="K988" s="570">
        <f t="shared" si="3376"/>
        <v>0</v>
      </c>
      <c r="L988" s="570">
        <f t="shared" si="3376"/>
        <v>0</v>
      </c>
      <c r="M988" s="570">
        <f t="shared" si="3376"/>
        <v>0</v>
      </c>
      <c r="N988" s="570">
        <f t="shared" si="3376"/>
        <v>0</v>
      </c>
      <c r="O988" s="570">
        <f t="shared" si="3376"/>
        <v>0</v>
      </c>
      <c r="P988" s="570">
        <f t="shared" si="3376"/>
        <v>0</v>
      </c>
      <c r="Q988" s="570">
        <f t="shared" si="3376"/>
        <v>0</v>
      </c>
      <c r="R988" s="570">
        <f t="shared" si="3376"/>
        <v>0</v>
      </c>
      <c r="S988" s="569"/>
      <c r="T988" s="570">
        <f>SUM(T513,T519,T610,T616,T771,T772)</f>
        <v>960</v>
      </c>
      <c r="U988" s="570">
        <f t="shared" ref="U988:AJ988" si="3377">SUM(U513,U519,U610,U616,U771,U772)</f>
        <v>302.29999999999995</v>
      </c>
      <c r="V988" s="570">
        <f t="shared" si="3377"/>
        <v>321</v>
      </c>
      <c r="W988" s="570">
        <f t="shared" si="3377"/>
        <v>238</v>
      </c>
      <c r="X988" s="570">
        <f t="shared" si="3377"/>
        <v>240</v>
      </c>
      <c r="Y988" s="570">
        <f t="shared" si="3377"/>
        <v>1108.28</v>
      </c>
      <c r="Z988" s="570">
        <f t="shared" si="3377"/>
        <v>150.5</v>
      </c>
      <c r="AA988" s="570">
        <f t="shared" si="3377"/>
        <v>199.6</v>
      </c>
      <c r="AB988" s="570">
        <f t="shared" si="3377"/>
        <v>452</v>
      </c>
      <c r="AC988" s="570">
        <f t="shared" si="3377"/>
        <v>0</v>
      </c>
      <c r="AD988" s="570">
        <f t="shared" si="3377"/>
        <v>0</v>
      </c>
      <c r="AE988" s="570">
        <f t="shared" si="3377"/>
        <v>0</v>
      </c>
      <c r="AF988" s="570">
        <f t="shared" si="3377"/>
        <v>0</v>
      </c>
      <c r="AG988" s="570">
        <f t="shared" si="3377"/>
        <v>0</v>
      </c>
      <c r="AH988" s="570">
        <f t="shared" si="3377"/>
        <v>0</v>
      </c>
      <c r="AI988" s="570">
        <f t="shared" si="3377"/>
        <v>0</v>
      </c>
      <c r="AJ988" s="570">
        <f t="shared" si="3377"/>
        <v>0</v>
      </c>
      <c r="AK988" s="569"/>
      <c r="AL988" s="570">
        <f>SUM(AL513,AL519,AL610,AL616,AL771,AL772)</f>
        <v>2464</v>
      </c>
      <c r="AM988" s="570">
        <f t="shared" ref="AM988:BB988" si="3378">SUM(AM513,AM519,AM610,AM616,AM771,AM772)</f>
        <v>962</v>
      </c>
      <c r="AN988" s="570">
        <f t="shared" si="3378"/>
        <v>554</v>
      </c>
      <c r="AO988" s="570">
        <f t="shared" si="3378"/>
        <v>1916</v>
      </c>
      <c r="AP988" s="570">
        <f t="shared" si="3378"/>
        <v>584</v>
      </c>
      <c r="AQ988" s="570">
        <f t="shared" si="3378"/>
        <v>1633</v>
      </c>
      <c r="AR988" s="570">
        <f t="shared" si="3378"/>
        <v>1566</v>
      </c>
      <c r="AS988" s="570">
        <f t="shared" si="3378"/>
        <v>1140</v>
      </c>
      <c r="AT988" s="570">
        <f t="shared" si="3378"/>
        <v>2441.52</v>
      </c>
      <c r="AU988" s="570">
        <f t="shared" si="3378"/>
        <v>0</v>
      </c>
      <c r="AV988" s="570">
        <f t="shared" si="3378"/>
        <v>0</v>
      </c>
      <c r="AW988" s="570">
        <f t="shared" si="3378"/>
        <v>0</v>
      </c>
      <c r="AX988" s="570">
        <f t="shared" si="3378"/>
        <v>0</v>
      </c>
      <c r="AY988" s="570">
        <f t="shared" si="3378"/>
        <v>0</v>
      </c>
      <c r="AZ988" s="570">
        <f t="shared" si="3378"/>
        <v>0</v>
      </c>
      <c r="BA988" s="570">
        <f t="shared" si="3378"/>
        <v>0</v>
      </c>
      <c r="BB988" s="570">
        <f t="shared" si="3378"/>
        <v>0</v>
      </c>
      <c r="BC988" s="569"/>
      <c r="BD988" s="570">
        <f>SUM(BD513,BD519,BD610,BD616,BD771,BD772)</f>
        <v>639</v>
      </c>
      <c r="BE988" s="570">
        <f t="shared" ref="BE988:BT988" si="3379">SUM(BE513,BE519,BE610,BE616,BE771,BE772)</f>
        <v>1214.8499999999999</v>
      </c>
      <c r="BF988" s="570">
        <f t="shared" si="3379"/>
        <v>1343</v>
      </c>
      <c r="BG988" s="570">
        <f t="shared" si="3379"/>
        <v>1252</v>
      </c>
      <c r="BH988" s="570">
        <f t="shared" si="3379"/>
        <v>2416</v>
      </c>
      <c r="BI988" s="570">
        <f t="shared" si="3379"/>
        <v>1458</v>
      </c>
      <c r="BJ988" s="570">
        <f t="shared" si="3379"/>
        <v>1521</v>
      </c>
      <c r="BK988" s="570">
        <f t="shared" si="3379"/>
        <v>1082</v>
      </c>
      <c r="BL988" s="570">
        <f t="shared" si="3379"/>
        <v>2925.6</v>
      </c>
      <c r="BM988" s="570">
        <f t="shared" si="3379"/>
        <v>0</v>
      </c>
      <c r="BN988" s="570">
        <f t="shared" si="3379"/>
        <v>0</v>
      </c>
      <c r="BO988" s="570">
        <f t="shared" si="3379"/>
        <v>0</v>
      </c>
      <c r="BP988" s="570">
        <f t="shared" si="3379"/>
        <v>0</v>
      </c>
      <c r="BQ988" s="570">
        <f t="shared" si="3379"/>
        <v>0</v>
      </c>
      <c r="BR988" s="570">
        <f t="shared" si="3379"/>
        <v>0</v>
      </c>
      <c r="BS988" s="570">
        <f t="shared" si="3379"/>
        <v>0</v>
      </c>
      <c r="BT988" s="570">
        <f t="shared" si="3379"/>
        <v>0</v>
      </c>
      <c r="BU988" s="569"/>
      <c r="BV988" s="570">
        <f>SUM(BV513,BV519,BV610,BV616,BV771,BV772)</f>
        <v>0</v>
      </c>
      <c r="BW988" s="570">
        <f t="shared" ref="BW988:BY988" si="3380">SUM(BW513,BW519,BW610,BW616,BW771,BW772)</f>
        <v>0</v>
      </c>
      <c r="BX988" s="570">
        <f t="shared" si="3380"/>
        <v>0</v>
      </c>
      <c r="BY988" s="570">
        <f t="shared" si="3380"/>
        <v>0</v>
      </c>
      <c r="BZ988" s="373">
        <f t="shared" si="3364"/>
        <v>107.794</v>
      </c>
      <c r="CA988" s="373">
        <f t="shared" si="3365"/>
        <v>190.89333333333332</v>
      </c>
      <c r="CB988" s="373">
        <f t="shared" si="3366"/>
        <v>719.76800000000003</v>
      </c>
      <c r="CC988" s="373">
        <f t="shared" si="3367"/>
        <v>728.39</v>
      </c>
      <c r="CD988" s="1109">
        <f t="shared" si="3368"/>
        <v>0</v>
      </c>
      <c r="CE988" s="1110">
        <f t="shared" si="3368"/>
        <v>0</v>
      </c>
      <c r="CF988" s="1111">
        <f t="shared" si="3368"/>
        <v>0</v>
      </c>
      <c r="CG988" s="1111">
        <f t="shared" si="3368"/>
        <v>0</v>
      </c>
      <c r="CH988" s="1111">
        <f t="shared" si="3368"/>
        <v>0</v>
      </c>
      <c r="CI988" s="1111">
        <f t="shared" si="3368"/>
        <v>0</v>
      </c>
      <c r="CJ988" s="1111">
        <f t="shared" si="3368"/>
        <v>0</v>
      </c>
      <c r="CK988" s="1112">
        <f t="shared" si="3368"/>
        <v>0</v>
      </c>
      <c r="CL988" s="1112">
        <f t="shared" si="3368"/>
        <v>78</v>
      </c>
      <c r="CM988" s="1112">
        <f t="shared" si="3368"/>
        <v>82</v>
      </c>
      <c r="CN988" s="1111">
        <f t="shared" si="3368"/>
        <v>147.5</v>
      </c>
      <c r="CO988" s="1111">
        <f t="shared" si="3368"/>
        <v>172.94</v>
      </c>
      <c r="CP988" s="1111">
        <f t="shared" si="3368"/>
        <v>216</v>
      </c>
      <c r="CQ988" s="1111">
        <f t="shared" si="3368"/>
        <v>224</v>
      </c>
      <c r="CR988" s="1111">
        <f t="shared" si="3368"/>
        <v>337.72</v>
      </c>
      <c r="CS988" s="1110">
        <f t="shared" si="3368"/>
        <v>358.75</v>
      </c>
      <c r="CT988" s="1113">
        <f t="shared" si="3369"/>
        <v>988.5</v>
      </c>
      <c r="CU988" s="1201">
        <f t="shared" si="3370"/>
        <v>0</v>
      </c>
      <c r="CV988" s="1141">
        <f t="shared" si="3370"/>
        <v>0</v>
      </c>
      <c r="CW988" s="1142">
        <f t="shared" si="3370"/>
        <v>0</v>
      </c>
      <c r="CX988" s="1142">
        <f t="shared" si="3370"/>
        <v>0</v>
      </c>
      <c r="CY988" s="1142">
        <f t="shared" si="3370"/>
        <v>0</v>
      </c>
      <c r="CZ988" s="1142">
        <f t="shared" si="3370"/>
        <v>0</v>
      </c>
      <c r="DA988" s="1142">
        <f t="shared" si="3370"/>
        <v>0</v>
      </c>
      <c r="DB988" s="1143">
        <f t="shared" si="3370"/>
        <v>0</v>
      </c>
      <c r="DC988" s="1143">
        <f t="shared" si="3370"/>
        <v>150.5</v>
      </c>
      <c r="DD988" s="1143">
        <f t="shared" si="3370"/>
        <v>199.6</v>
      </c>
      <c r="DE988" s="1142">
        <f t="shared" si="3370"/>
        <v>238</v>
      </c>
      <c r="DF988" s="1142">
        <f t="shared" si="3370"/>
        <v>240</v>
      </c>
      <c r="DG988" s="1142">
        <f t="shared" si="3370"/>
        <v>302.29999999999995</v>
      </c>
      <c r="DH988" s="1142">
        <f t="shared" si="3370"/>
        <v>321</v>
      </c>
      <c r="DI988" s="1142">
        <f t="shared" si="3370"/>
        <v>452</v>
      </c>
      <c r="DJ988" s="1141">
        <f t="shared" si="3370"/>
        <v>960</v>
      </c>
      <c r="DK988" s="1201">
        <f t="shared" si="3371"/>
        <v>1108.28</v>
      </c>
      <c r="DL988" s="428">
        <f t="shared" si="3372"/>
        <v>17</v>
      </c>
      <c r="DM988" s="66">
        <f t="shared" si="3373"/>
        <v>17</v>
      </c>
      <c r="DN988" s="66">
        <f t="shared" si="3374"/>
        <v>17</v>
      </c>
      <c r="DO988" s="66">
        <f t="shared" si="3375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>SUM(B474,B501,B507,B525,B531,B537,B543,B555,B561,B579,B585,B591,B598,B604,B622,B628,B634)</f>
        <v>330.75</v>
      </c>
      <c r="C989" s="570">
        <f t="shared" ref="C989:R989" si="3381">SUM(C474,C501,C507,C525,C531,C537,C543,C555,C561,C579,C585,C591,C598,C604,C622,C628,C634)</f>
        <v>912.19999999999993</v>
      </c>
      <c r="D989" s="570">
        <f t="shared" si="3381"/>
        <v>352.2</v>
      </c>
      <c r="E989" s="570">
        <f t="shared" si="3381"/>
        <v>715</v>
      </c>
      <c r="F989" s="570">
        <f t="shared" si="3381"/>
        <v>255</v>
      </c>
      <c r="G989" s="570">
        <f t="shared" si="3381"/>
        <v>553</v>
      </c>
      <c r="H989" s="570">
        <f t="shared" si="3381"/>
        <v>219</v>
      </c>
      <c r="I989" s="570">
        <f t="shared" si="3381"/>
        <v>420</v>
      </c>
      <c r="J989" s="570">
        <f t="shared" si="3381"/>
        <v>535.4</v>
      </c>
      <c r="K989" s="570">
        <f t="shared" si="3381"/>
        <v>0</v>
      </c>
      <c r="L989" s="570">
        <f t="shared" si="3381"/>
        <v>0</v>
      </c>
      <c r="M989" s="570">
        <f t="shared" si="3381"/>
        <v>0</v>
      </c>
      <c r="N989" s="570">
        <f t="shared" si="3381"/>
        <v>0</v>
      </c>
      <c r="O989" s="570">
        <f t="shared" si="3381"/>
        <v>0</v>
      </c>
      <c r="P989" s="570">
        <f t="shared" si="3381"/>
        <v>0</v>
      </c>
      <c r="Q989" s="570">
        <f t="shared" si="3381"/>
        <v>0</v>
      </c>
      <c r="R989" s="570">
        <f t="shared" si="3381"/>
        <v>0</v>
      </c>
      <c r="S989" s="569"/>
      <c r="T989" s="570">
        <f>SUM(T474,T501,T507,T525,T531,T537,T543,T555,T561,T579,T585,T591,T598,T604,T622,T628,T634)</f>
        <v>466.96000000000004</v>
      </c>
      <c r="U989" s="570">
        <f t="shared" ref="U989:AJ989" si="3382">SUM(U474,U501,U507,U525,U531,U537,U543,U555,U561,U579,U585,U591,U598,U604,U622,U628,U634)</f>
        <v>543.96</v>
      </c>
      <c r="V989" s="570">
        <f t="shared" si="3382"/>
        <v>640</v>
      </c>
      <c r="W989" s="570">
        <f t="shared" si="3382"/>
        <v>515</v>
      </c>
      <c r="X989" s="570">
        <f t="shared" si="3382"/>
        <v>368.92</v>
      </c>
      <c r="Y989" s="570">
        <f t="shared" si="3382"/>
        <v>1560</v>
      </c>
      <c r="Z989" s="570">
        <f t="shared" si="3382"/>
        <v>367</v>
      </c>
      <c r="AA989" s="570">
        <f t="shared" si="3382"/>
        <v>332.5</v>
      </c>
      <c r="AB989" s="570">
        <f t="shared" si="3382"/>
        <v>162</v>
      </c>
      <c r="AC989" s="570">
        <f t="shared" si="3382"/>
        <v>0</v>
      </c>
      <c r="AD989" s="570">
        <f t="shared" si="3382"/>
        <v>0</v>
      </c>
      <c r="AE989" s="570">
        <f t="shared" si="3382"/>
        <v>0</v>
      </c>
      <c r="AF989" s="570">
        <f t="shared" si="3382"/>
        <v>0</v>
      </c>
      <c r="AG989" s="570">
        <f t="shared" si="3382"/>
        <v>0</v>
      </c>
      <c r="AH989" s="570">
        <f t="shared" si="3382"/>
        <v>0</v>
      </c>
      <c r="AI989" s="570">
        <f t="shared" si="3382"/>
        <v>0</v>
      </c>
      <c r="AJ989" s="570">
        <f t="shared" si="3382"/>
        <v>0</v>
      </c>
      <c r="AK989" s="569"/>
      <c r="AL989" s="570">
        <f>SUM(AL474,AL501,AL507,AL525,AL531,AL537,AL543,AL555,AL561,AL579,AL585,AL591,AL598,AL604,AL622,AL628,AL634)</f>
        <v>5865</v>
      </c>
      <c r="AM989" s="570">
        <f t="shared" ref="AM989:BB989" si="3383">SUM(AM474,AM501,AM507,AM525,AM531,AM537,AM543,AM555,AM561,AM579,AM585,AM591,AM598,AM604,AM622,AM628,AM634)</f>
        <v>1053.5999999999999</v>
      </c>
      <c r="AN989" s="570">
        <f t="shared" si="3383"/>
        <v>471.25</v>
      </c>
      <c r="AO989" s="570">
        <f t="shared" si="3383"/>
        <v>3182.62</v>
      </c>
      <c r="AP989" s="570">
        <f t="shared" si="3383"/>
        <v>365.6</v>
      </c>
      <c r="AQ989" s="570">
        <f t="shared" si="3383"/>
        <v>2176</v>
      </c>
      <c r="AR989" s="570">
        <f t="shared" si="3383"/>
        <v>1720</v>
      </c>
      <c r="AS989" s="570">
        <f t="shared" si="3383"/>
        <v>3540.5</v>
      </c>
      <c r="AT989" s="570">
        <f t="shared" si="3383"/>
        <v>2699.52</v>
      </c>
      <c r="AU989" s="570">
        <f t="shared" si="3383"/>
        <v>0</v>
      </c>
      <c r="AV989" s="570">
        <f t="shared" si="3383"/>
        <v>0</v>
      </c>
      <c r="AW989" s="570">
        <f t="shared" si="3383"/>
        <v>0</v>
      </c>
      <c r="AX989" s="570">
        <f t="shared" si="3383"/>
        <v>0</v>
      </c>
      <c r="AY989" s="570">
        <f t="shared" si="3383"/>
        <v>0</v>
      </c>
      <c r="AZ989" s="570">
        <f t="shared" si="3383"/>
        <v>0</v>
      </c>
      <c r="BA989" s="570">
        <f t="shared" si="3383"/>
        <v>0</v>
      </c>
      <c r="BB989" s="570">
        <f t="shared" si="3383"/>
        <v>0</v>
      </c>
      <c r="BC989" s="569"/>
      <c r="BD989" s="570">
        <f>SUM(BD474,BD501,BD507,BD525,BD531,BD537,BD543,BD555,BD561,BD579,BD585,BD591,BD598,BD604,BD622,BD628,BD634)</f>
        <v>1758.3519999999999</v>
      </c>
      <c r="BE989" s="570">
        <f t="shared" ref="BE989:BT989" si="3384">SUM(BE474,BE501,BE507,BE525,BE531,BE537,BE543,BE555,BE561,BE579,BE585,BE591,BE598,BE604,BE622,BE628,BE634)</f>
        <v>1756.7280000000001</v>
      </c>
      <c r="BF989" s="570">
        <f t="shared" si="3384"/>
        <v>1467.4</v>
      </c>
      <c r="BG989" s="570">
        <f t="shared" si="3384"/>
        <v>677</v>
      </c>
      <c r="BH989" s="570">
        <f t="shared" si="3384"/>
        <v>1499.9880000000001</v>
      </c>
      <c r="BI989" s="570">
        <f t="shared" si="3384"/>
        <v>1129.95</v>
      </c>
      <c r="BJ989" s="570">
        <f t="shared" si="3384"/>
        <v>2612</v>
      </c>
      <c r="BK989" s="570">
        <f t="shared" si="3384"/>
        <v>2704.2</v>
      </c>
      <c r="BL989" s="570">
        <f t="shared" si="3384"/>
        <v>2820</v>
      </c>
      <c r="BM989" s="570">
        <f t="shared" si="3384"/>
        <v>0</v>
      </c>
      <c r="BN989" s="570">
        <f t="shared" si="3384"/>
        <v>0</v>
      </c>
      <c r="BO989" s="570">
        <f t="shared" si="3384"/>
        <v>0</v>
      </c>
      <c r="BP989" s="570">
        <f t="shared" si="3384"/>
        <v>0</v>
      </c>
      <c r="BQ989" s="570">
        <f t="shared" si="3384"/>
        <v>0</v>
      </c>
      <c r="BR989" s="570">
        <f t="shared" si="3384"/>
        <v>0</v>
      </c>
      <c r="BS989" s="570">
        <f t="shared" si="3384"/>
        <v>0</v>
      </c>
      <c r="BT989" s="570">
        <f t="shared" si="3384"/>
        <v>0</v>
      </c>
      <c r="BU989" s="569"/>
      <c r="BV989" s="570">
        <f>SUM(BV474,BV501,BV507,BV525,BV531,BV537,BV543,BV555,BV561,BV579,BV585,BV591,BV598,BV604,BV622,BV628,BV634)</f>
        <v>0</v>
      </c>
      <c r="BW989" s="570">
        <f t="shared" ref="BW989:BY989" si="3385">SUM(BW474,BW501,BW507,BW525,BW531,BW537,BW543,BW555,BW561,BW579,BW585,BW591,BW598,BW604,BW622,BW628,BW634)</f>
        <v>0</v>
      </c>
      <c r="BX989" s="570">
        <f t="shared" si="3385"/>
        <v>0</v>
      </c>
      <c r="BY989" s="570">
        <f t="shared" si="3385"/>
        <v>0</v>
      </c>
      <c r="BZ989" s="373">
        <f t="shared" si="3364"/>
        <v>225.35666666666663</v>
      </c>
      <c r="CA989" s="373">
        <f t="shared" si="3365"/>
        <v>226.42266666666669</v>
      </c>
      <c r="CB989" s="373">
        <f t="shared" si="3366"/>
        <v>1013.9393333333334</v>
      </c>
      <c r="CC989" s="373">
        <f t="shared" si="3367"/>
        <v>907.04119999999989</v>
      </c>
      <c r="CD989" s="1109">
        <f t="shared" si="3368"/>
        <v>0</v>
      </c>
      <c r="CE989" s="1110">
        <f t="shared" si="3368"/>
        <v>0</v>
      </c>
      <c r="CF989" s="1111">
        <f t="shared" si="3368"/>
        <v>0</v>
      </c>
      <c r="CG989" s="1111">
        <f t="shared" si="3368"/>
        <v>0</v>
      </c>
      <c r="CH989" s="1111">
        <f t="shared" si="3368"/>
        <v>0</v>
      </c>
      <c r="CI989" s="1111">
        <f t="shared" si="3368"/>
        <v>0</v>
      </c>
      <c r="CJ989" s="1111">
        <f t="shared" si="3368"/>
        <v>0</v>
      </c>
      <c r="CK989" s="1112">
        <f t="shared" si="3368"/>
        <v>0</v>
      </c>
      <c r="CL989" s="1112">
        <f t="shared" si="3368"/>
        <v>219</v>
      </c>
      <c r="CM989" s="1112">
        <f t="shared" si="3368"/>
        <v>255</v>
      </c>
      <c r="CN989" s="1111">
        <f t="shared" si="3368"/>
        <v>330.75</v>
      </c>
      <c r="CO989" s="1111">
        <f t="shared" si="3368"/>
        <v>352.2</v>
      </c>
      <c r="CP989" s="1111">
        <f t="shared" si="3368"/>
        <v>420</v>
      </c>
      <c r="CQ989" s="1111">
        <f t="shared" si="3368"/>
        <v>535.4</v>
      </c>
      <c r="CR989" s="1111">
        <f t="shared" si="3368"/>
        <v>553</v>
      </c>
      <c r="CS989" s="1110">
        <f t="shared" si="3368"/>
        <v>715</v>
      </c>
      <c r="CT989" s="1113">
        <f t="shared" si="3369"/>
        <v>912.19999999999993</v>
      </c>
      <c r="CU989" s="1201">
        <f t="shared" si="3370"/>
        <v>0</v>
      </c>
      <c r="CV989" s="1141">
        <f t="shared" si="3370"/>
        <v>0</v>
      </c>
      <c r="CW989" s="1142">
        <f t="shared" si="3370"/>
        <v>0</v>
      </c>
      <c r="CX989" s="1142">
        <f t="shared" si="3370"/>
        <v>0</v>
      </c>
      <c r="CY989" s="1142">
        <f t="shared" si="3370"/>
        <v>0</v>
      </c>
      <c r="CZ989" s="1142">
        <f t="shared" si="3370"/>
        <v>0</v>
      </c>
      <c r="DA989" s="1142">
        <f t="shared" si="3370"/>
        <v>0</v>
      </c>
      <c r="DB989" s="1143">
        <f t="shared" si="3370"/>
        <v>0</v>
      </c>
      <c r="DC989" s="1143">
        <f t="shared" si="3370"/>
        <v>162</v>
      </c>
      <c r="DD989" s="1143">
        <f t="shared" si="3370"/>
        <v>332.5</v>
      </c>
      <c r="DE989" s="1142">
        <f t="shared" si="3370"/>
        <v>367</v>
      </c>
      <c r="DF989" s="1142">
        <f t="shared" si="3370"/>
        <v>368.92</v>
      </c>
      <c r="DG989" s="1142">
        <f t="shared" si="3370"/>
        <v>466.96000000000004</v>
      </c>
      <c r="DH989" s="1142">
        <f t="shared" si="3370"/>
        <v>515</v>
      </c>
      <c r="DI989" s="1142">
        <f t="shared" si="3370"/>
        <v>543.96</v>
      </c>
      <c r="DJ989" s="1141">
        <f t="shared" si="3370"/>
        <v>640</v>
      </c>
      <c r="DK989" s="1201">
        <f t="shared" si="3371"/>
        <v>1560</v>
      </c>
      <c r="DL989" s="428">
        <f t="shared" si="3372"/>
        <v>17</v>
      </c>
      <c r="DM989" s="66">
        <f t="shared" si="3373"/>
        <v>17</v>
      </c>
      <c r="DN989" s="66">
        <f t="shared" si="3374"/>
        <v>17</v>
      </c>
      <c r="DO989" s="66">
        <f t="shared" si="3375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>SUM(B483,B492,B549,B567,B573,B641)</f>
        <v>144</v>
      </c>
      <c r="C990" s="570">
        <f t="shared" ref="C990:R990" si="3386">SUM(C483,C492,C549,C567,C573,C641)</f>
        <v>21</v>
      </c>
      <c r="D990" s="570">
        <f t="shared" si="3386"/>
        <v>40</v>
      </c>
      <c r="E990" s="570">
        <f t="shared" si="3386"/>
        <v>15</v>
      </c>
      <c r="F990" s="570">
        <f t="shared" si="3386"/>
        <v>0</v>
      </c>
      <c r="G990" s="570">
        <f t="shared" si="3386"/>
        <v>0</v>
      </c>
      <c r="H990" s="570">
        <f t="shared" si="3386"/>
        <v>10</v>
      </c>
      <c r="I990" s="570">
        <f t="shared" si="3386"/>
        <v>0</v>
      </c>
      <c r="J990" s="570">
        <f t="shared" si="3386"/>
        <v>75</v>
      </c>
      <c r="K990" s="570">
        <f t="shared" si="3386"/>
        <v>0</v>
      </c>
      <c r="L990" s="570">
        <f t="shared" si="3386"/>
        <v>0</v>
      </c>
      <c r="M990" s="570">
        <f t="shared" si="3386"/>
        <v>0</v>
      </c>
      <c r="N990" s="570">
        <f t="shared" si="3386"/>
        <v>0</v>
      </c>
      <c r="O990" s="570">
        <f t="shared" si="3386"/>
        <v>0</v>
      </c>
      <c r="P990" s="570">
        <f t="shared" si="3386"/>
        <v>0</v>
      </c>
      <c r="Q990" s="570">
        <f t="shared" si="3386"/>
        <v>0</v>
      </c>
      <c r="R990" s="570">
        <f t="shared" si="3386"/>
        <v>0</v>
      </c>
      <c r="S990" s="569"/>
      <c r="T990" s="570">
        <f>SUM(T483,T492,T549,T567,T573,T641)</f>
        <v>308</v>
      </c>
      <c r="U990" s="570">
        <f t="shared" ref="U990:AJ990" si="3387">SUM(U483,U492,U549,U567,U573,U641)</f>
        <v>0</v>
      </c>
      <c r="V990" s="570">
        <f t="shared" si="3387"/>
        <v>0</v>
      </c>
      <c r="W990" s="570">
        <f t="shared" si="3387"/>
        <v>0</v>
      </c>
      <c r="X990" s="570">
        <f t="shared" si="3387"/>
        <v>0</v>
      </c>
      <c r="Y990" s="570">
        <f t="shared" si="3387"/>
        <v>140</v>
      </c>
      <c r="Z990" s="570">
        <f t="shared" si="3387"/>
        <v>0</v>
      </c>
      <c r="AA990" s="570">
        <f t="shared" si="3387"/>
        <v>270</v>
      </c>
      <c r="AB990" s="570">
        <f t="shared" si="3387"/>
        <v>400</v>
      </c>
      <c r="AC990" s="570">
        <f t="shared" si="3387"/>
        <v>0</v>
      </c>
      <c r="AD990" s="570">
        <f t="shared" si="3387"/>
        <v>0</v>
      </c>
      <c r="AE990" s="570">
        <f t="shared" si="3387"/>
        <v>0</v>
      </c>
      <c r="AF990" s="570">
        <f t="shared" si="3387"/>
        <v>0</v>
      </c>
      <c r="AG990" s="570">
        <f t="shared" si="3387"/>
        <v>0</v>
      </c>
      <c r="AH990" s="570">
        <f t="shared" si="3387"/>
        <v>0</v>
      </c>
      <c r="AI990" s="570">
        <f t="shared" si="3387"/>
        <v>0</v>
      </c>
      <c r="AJ990" s="570">
        <f t="shared" si="3387"/>
        <v>0</v>
      </c>
      <c r="AK990" s="569"/>
      <c r="AL990" s="570">
        <f>SUM(AL483,AL492,AL549,AL567,AL573,AL641)</f>
        <v>1140</v>
      </c>
      <c r="AM990" s="570">
        <f t="shared" ref="AM990:BB990" si="3388">SUM(AM483,AM492,AM549,AM567,AM573,AM641)</f>
        <v>0</v>
      </c>
      <c r="AN990" s="570">
        <f t="shared" si="3388"/>
        <v>0</v>
      </c>
      <c r="AO990" s="570">
        <f t="shared" si="3388"/>
        <v>726.75</v>
      </c>
      <c r="AP990" s="570">
        <f t="shared" si="3388"/>
        <v>180</v>
      </c>
      <c r="AQ990" s="570">
        <f t="shared" si="3388"/>
        <v>207.5</v>
      </c>
      <c r="AR990" s="570">
        <f t="shared" si="3388"/>
        <v>160</v>
      </c>
      <c r="AS990" s="570">
        <f t="shared" si="3388"/>
        <v>773</v>
      </c>
      <c r="AT990" s="570">
        <f t="shared" si="3388"/>
        <v>1740</v>
      </c>
      <c r="AU990" s="570">
        <f t="shared" si="3388"/>
        <v>0</v>
      </c>
      <c r="AV990" s="570">
        <f t="shared" si="3388"/>
        <v>0</v>
      </c>
      <c r="AW990" s="570">
        <f t="shared" si="3388"/>
        <v>0</v>
      </c>
      <c r="AX990" s="570">
        <f t="shared" si="3388"/>
        <v>0</v>
      </c>
      <c r="AY990" s="570">
        <f t="shared" si="3388"/>
        <v>0</v>
      </c>
      <c r="AZ990" s="570">
        <f t="shared" si="3388"/>
        <v>0</v>
      </c>
      <c r="BA990" s="570">
        <f t="shared" si="3388"/>
        <v>0</v>
      </c>
      <c r="BB990" s="570">
        <f t="shared" si="3388"/>
        <v>0</v>
      </c>
      <c r="BC990" s="569"/>
      <c r="BD990" s="570">
        <f>SUM(BD483,BD492,BD549,BD567,BD573,BD641)</f>
        <v>0</v>
      </c>
      <c r="BE990" s="570">
        <f t="shared" ref="BE990:BT990" si="3389">SUM(BE483,BE492,BE549,BE567,BE573,BE641)</f>
        <v>1248</v>
      </c>
      <c r="BF990" s="570">
        <f t="shared" si="3389"/>
        <v>0</v>
      </c>
      <c r="BG990" s="570">
        <f t="shared" si="3389"/>
        <v>1575</v>
      </c>
      <c r="BH990" s="570">
        <f t="shared" si="3389"/>
        <v>1812</v>
      </c>
      <c r="BI990" s="570">
        <f t="shared" si="3389"/>
        <v>60</v>
      </c>
      <c r="BJ990" s="570">
        <f t="shared" si="3389"/>
        <v>312</v>
      </c>
      <c r="BK990" s="570">
        <f t="shared" si="3389"/>
        <v>0</v>
      </c>
      <c r="BL990" s="570">
        <f t="shared" si="3389"/>
        <v>556</v>
      </c>
      <c r="BM990" s="570">
        <f t="shared" si="3389"/>
        <v>0</v>
      </c>
      <c r="BN990" s="570">
        <f t="shared" si="3389"/>
        <v>0</v>
      </c>
      <c r="BO990" s="570">
        <f t="shared" si="3389"/>
        <v>0</v>
      </c>
      <c r="BP990" s="570">
        <f t="shared" si="3389"/>
        <v>0</v>
      </c>
      <c r="BQ990" s="570">
        <f t="shared" si="3389"/>
        <v>0</v>
      </c>
      <c r="BR990" s="570">
        <f t="shared" si="3389"/>
        <v>0</v>
      </c>
      <c r="BS990" s="570">
        <f t="shared" si="3389"/>
        <v>0</v>
      </c>
      <c r="BT990" s="570">
        <f t="shared" si="3389"/>
        <v>0</v>
      </c>
      <c r="BU990" s="569"/>
      <c r="BV990" s="570">
        <f>SUM(BV483,BV492,BV549,BV567,BV573,BV641)</f>
        <v>0</v>
      </c>
      <c r="BW990" s="570">
        <f t="shared" ref="BW990:BY990" si="3390">SUM(BW483,BW492,BW549,BW567,BW573,BW641)</f>
        <v>0</v>
      </c>
      <c r="BX990" s="570">
        <f t="shared" si="3390"/>
        <v>0</v>
      </c>
      <c r="BY990" s="570">
        <f t="shared" si="3390"/>
        <v>0</v>
      </c>
      <c r="BZ990" s="373">
        <f t="shared" si="3364"/>
        <v>10.733333333333333</v>
      </c>
      <c r="CA990" s="373">
        <f t="shared" si="3365"/>
        <v>47.866666666666667</v>
      </c>
      <c r="CB990" s="373">
        <f t="shared" si="3366"/>
        <v>212.48333333333332</v>
      </c>
      <c r="CC990" s="373">
        <f t="shared" si="3367"/>
        <v>250.06666666666666</v>
      </c>
      <c r="CD990" s="1109">
        <f t="shared" si="3368"/>
        <v>0</v>
      </c>
      <c r="CE990" s="1110">
        <f t="shared" si="3368"/>
        <v>0</v>
      </c>
      <c r="CF990" s="1111">
        <f t="shared" si="3368"/>
        <v>0</v>
      </c>
      <c r="CG990" s="1111">
        <f t="shared" si="3368"/>
        <v>0</v>
      </c>
      <c r="CH990" s="1111">
        <f t="shared" si="3368"/>
        <v>0</v>
      </c>
      <c r="CI990" s="1111">
        <f t="shared" si="3368"/>
        <v>0</v>
      </c>
      <c r="CJ990" s="1111">
        <f t="shared" si="3368"/>
        <v>0</v>
      </c>
      <c r="CK990" s="1112">
        <f t="shared" si="3368"/>
        <v>0</v>
      </c>
      <c r="CL990" s="1112">
        <f t="shared" si="3368"/>
        <v>0</v>
      </c>
      <c r="CM990" s="1112">
        <f t="shared" si="3368"/>
        <v>0</v>
      </c>
      <c r="CN990" s="1111">
        <f t="shared" si="3368"/>
        <v>0</v>
      </c>
      <c r="CO990" s="1111">
        <f t="shared" si="3368"/>
        <v>10</v>
      </c>
      <c r="CP990" s="1111">
        <f t="shared" si="3368"/>
        <v>15</v>
      </c>
      <c r="CQ990" s="1111">
        <f t="shared" si="3368"/>
        <v>21</v>
      </c>
      <c r="CR990" s="1111">
        <f t="shared" si="3368"/>
        <v>40</v>
      </c>
      <c r="CS990" s="1110">
        <f t="shared" si="3368"/>
        <v>75</v>
      </c>
      <c r="CT990" s="1113">
        <f t="shared" si="3369"/>
        <v>144</v>
      </c>
      <c r="CU990" s="1201">
        <f t="shared" si="3370"/>
        <v>0</v>
      </c>
      <c r="CV990" s="1141">
        <f t="shared" si="3370"/>
        <v>0</v>
      </c>
      <c r="CW990" s="1142">
        <f t="shared" si="3370"/>
        <v>0</v>
      </c>
      <c r="CX990" s="1142">
        <f t="shared" si="3370"/>
        <v>0</v>
      </c>
      <c r="CY990" s="1142">
        <f t="shared" si="3370"/>
        <v>0</v>
      </c>
      <c r="CZ990" s="1142">
        <f t="shared" si="3370"/>
        <v>0</v>
      </c>
      <c r="DA990" s="1142">
        <f t="shared" si="3370"/>
        <v>0</v>
      </c>
      <c r="DB990" s="1143">
        <f t="shared" si="3370"/>
        <v>0</v>
      </c>
      <c r="DC990" s="1143">
        <f t="shared" si="3370"/>
        <v>0</v>
      </c>
      <c r="DD990" s="1143">
        <f t="shared" si="3370"/>
        <v>0</v>
      </c>
      <c r="DE990" s="1142">
        <f t="shared" si="3370"/>
        <v>0</v>
      </c>
      <c r="DF990" s="1142">
        <f t="shared" si="3370"/>
        <v>0</v>
      </c>
      <c r="DG990" s="1142">
        <f t="shared" si="3370"/>
        <v>0</v>
      </c>
      <c r="DH990" s="1142">
        <f t="shared" si="3370"/>
        <v>140</v>
      </c>
      <c r="DI990" s="1142">
        <f t="shared" si="3370"/>
        <v>270</v>
      </c>
      <c r="DJ990" s="1141">
        <f t="shared" si="3370"/>
        <v>308</v>
      </c>
      <c r="DK990" s="1201">
        <f t="shared" si="3371"/>
        <v>400</v>
      </c>
      <c r="DL990" s="428">
        <f t="shared" si="3372"/>
        <v>17</v>
      </c>
      <c r="DM990" s="66">
        <f t="shared" si="3373"/>
        <v>17</v>
      </c>
      <c r="DN990" s="66">
        <f t="shared" si="3374"/>
        <v>17</v>
      </c>
      <c r="DO990" s="66">
        <f t="shared" si="3375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>SUM(B773,B774,B775,B781:B782,B805)</f>
        <v>204</v>
      </c>
      <c r="C991" s="570">
        <f t="shared" ref="C991:R991" si="3391">SUM(C773,C774,C775,C781:C782,C805)</f>
        <v>408</v>
      </c>
      <c r="D991" s="570">
        <f t="shared" si="3391"/>
        <v>262</v>
      </c>
      <c r="E991" s="570">
        <f t="shared" si="3391"/>
        <v>290</v>
      </c>
      <c r="F991" s="570">
        <f t="shared" si="3391"/>
        <v>412</v>
      </c>
      <c r="G991" s="570">
        <f t="shared" si="3391"/>
        <v>516</v>
      </c>
      <c r="H991" s="570">
        <f t="shared" si="3391"/>
        <v>98</v>
      </c>
      <c r="I991" s="570">
        <f t="shared" si="3391"/>
        <v>142</v>
      </c>
      <c r="J991" s="570">
        <f t="shared" si="3391"/>
        <v>433</v>
      </c>
      <c r="K991" s="570">
        <f t="shared" si="3391"/>
        <v>0</v>
      </c>
      <c r="L991" s="570">
        <f t="shared" si="3391"/>
        <v>0</v>
      </c>
      <c r="M991" s="570">
        <f t="shared" si="3391"/>
        <v>0</v>
      </c>
      <c r="N991" s="570">
        <f t="shared" si="3391"/>
        <v>0</v>
      </c>
      <c r="O991" s="570">
        <f t="shared" si="3391"/>
        <v>0</v>
      </c>
      <c r="P991" s="570">
        <f t="shared" si="3391"/>
        <v>0</v>
      </c>
      <c r="Q991" s="570">
        <f t="shared" si="3391"/>
        <v>0</v>
      </c>
      <c r="R991" s="570">
        <f t="shared" si="3391"/>
        <v>0</v>
      </c>
      <c r="S991" s="569"/>
      <c r="T991" s="570">
        <f>SUM(T773,T774,T775,T781:T782,T805)</f>
        <v>270</v>
      </c>
      <c r="U991" s="570">
        <f t="shared" ref="U991:AJ991" si="3392">SUM(U773,U774,U775,U781:U782,U805)</f>
        <v>704.5</v>
      </c>
      <c r="V991" s="570">
        <f t="shared" si="3392"/>
        <v>489</v>
      </c>
      <c r="W991" s="570">
        <f t="shared" si="3392"/>
        <v>500</v>
      </c>
      <c r="X991" s="570">
        <f t="shared" si="3392"/>
        <v>234</v>
      </c>
      <c r="Y991" s="570">
        <f t="shared" si="3392"/>
        <v>355</v>
      </c>
      <c r="Z991" s="570">
        <f t="shared" si="3392"/>
        <v>523</v>
      </c>
      <c r="AA991" s="570">
        <f t="shared" si="3392"/>
        <v>229</v>
      </c>
      <c r="AB991" s="570">
        <f t="shared" si="3392"/>
        <v>315</v>
      </c>
      <c r="AC991" s="570">
        <f t="shared" si="3392"/>
        <v>0</v>
      </c>
      <c r="AD991" s="570">
        <f t="shared" si="3392"/>
        <v>0</v>
      </c>
      <c r="AE991" s="570">
        <f t="shared" si="3392"/>
        <v>0</v>
      </c>
      <c r="AF991" s="570">
        <f t="shared" si="3392"/>
        <v>0</v>
      </c>
      <c r="AG991" s="570">
        <f t="shared" si="3392"/>
        <v>0</v>
      </c>
      <c r="AH991" s="570">
        <f t="shared" si="3392"/>
        <v>0</v>
      </c>
      <c r="AI991" s="570">
        <f t="shared" si="3392"/>
        <v>0</v>
      </c>
      <c r="AJ991" s="570">
        <f t="shared" si="3392"/>
        <v>0</v>
      </c>
      <c r="AK991" s="569"/>
      <c r="AL991" s="570">
        <f>SUM(AL773,AL774,AL775,AL781:AL782,AL805)</f>
        <v>504</v>
      </c>
      <c r="AM991" s="570">
        <f t="shared" ref="AM991:BB991" si="3393">SUM(AM773,AM774,AM775,AM781:AM782,AM805)</f>
        <v>1162</v>
      </c>
      <c r="AN991" s="570">
        <f t="shared" si="3393"/>
        <v>991</v>
      </c>
      <c r="AO991" s="570">
        <f t="shared" si="3393"/>
        <v>1020</v>
      </c>
      <c r="AP991" s="570">
        <f t="shared" si="3393"/>
        <v>285</v>
      </c>
      <c r="AQ991" s="570">
        <f t="shared" si="3393"/>
        <v>1233</v>
      </c>
      <c r="AR991" s="570">
        <f t="shared" si="3393"/>
        <v>1570</v>
      </c>
      <c r="AS991" s="570">
        <f t="shared" si="3393"/>
        <v>528</v>
      </c>
      <c r="AT991" s="570">
        <f t="shared" si="3393"/>
        <v>1104</v>
      </c>
      <c r="AU991" s="570">
        <f t="shared" si="3393"/>
        <v>0</v>
      </c>
      <c r="AV991" s="570">
        <f t="shared" si="3393"/>
        <v>0</v>
      </c>
      <c r="AW991" s="570">
        <f t="shared" si="3393"/>
        <v>0</v>
      </c>
      <c r="AX991" s="570">
        <f t="shared" si="3393"/>
        <v>0</v>
      </c>
      <c r="AY991" s="570">
        <f t="shared" si="3393"/>
        <v>0</v>
      </c>
      <c r="AZ991" s="570">
        <f t="shared" si="3393"/>
        <v>0</v>
      </c>
      <c r="BA991" s="570">
        <f t="shared" si="3393"/>
        <v>0</v>
      </c>
      <c r="BB991" s="570">
        <f t="shared" si="3393"/>
        <v>0</v>
      </c>
      <c r="BC991" s="569"/>
      <c r="BD991" s="570">
        <f>SUM(BD773,BD774,BD775,BD781:BD782,BD805)</f>
        <v>696</v>
      </c>
      <c r="BE991" s="570">
        <f t="shared" ref="BE991:BT991" si="3394">SUM(BE773,BE774,BE775,BE781:BE782,BE805)</f>
        <v>360</v>
      </c>
      <c r="BF991" s="570">
        <f t="shared" si="3394"/>
        <v>1316</v>
      </c>
      <c r="BG991" s="570">
        <f t="shared" si="3394"/>
        <v>520</v>
      </c>
      <c r="BH991" s="570">
        <f t="shared" si="3394"/>
        <v>2394</v>
      </c>
      <c r="BI991" s="570">
        <f t="shared" si="3394"/>
        <v>184</v>
      </c>
      <c r="BJ991" s="570">
        <f t="shared" si="3394"/>
        <v>3102</v>
      </c>
      <c r="BK991" s="570">
        <f t="shared" si="3394"/>
        <v>807</v>
      </c>
      <c r="BL991" s="570">
        <f t="shared" si="3394"/>
        <v>1356</v>
      </c>
      <c r="BM991" s="570">
        <f t="shared" si="3394"/>
        <v>0</v>
      </c>
      <c r="BN991" s="570">
        <f t="shared" si="3394"/>
        <v>0</v>
      </c>
      <c r="BO991" s="570">
        <f t="shared" si="3394"/>
        <v>0</v>
      </c>
      <c r="BP991" s="570">
        <f t="shared" si="3394"/>
        <v>0</v>
      </c>
      <c r="BQ991" s="570">
        <f t="shared" si="3394"/>
        <v>0</v>
      </c>
      <c r="BR991" s="570">
        <f t="shared" si="3394"/>
        <v>0</v>
      </c>
      <c r="BS991" s="570">
        <f t="shared" si="3394"/>
        <v>0</v>
      </c>
      <c r="BT991" s="570">
        <f t="shared" si="3394"/>
        <v>0</v>
      </c>
      <c r="BU991" s="569"/>
      <c r="BV991" s="570">
        <f>SUM(BV773,BV774,BV775,BV781:BV782,BV805)</f>
        <v>0</v>
      </c>
      <c r="BW991" s="570">
        <f>SUM(BW773,BW774,BW775,BW781:BW782,BW805)</f>
        <v>0</v>
      </c>
      <c r="BX991" s="570">
        <f>SUM(BX773,BX774,BX775,BX781:BX782,BX805)</f>
        <v>0</v>
      </c>
      <c r="BY991" s="570">
        <f>SUM(BY773,BY774,BY775,BY781:BY782,BY805)</f>
        <v>0</v>
      </c>
      <c r="BZ991" s="373">
        <f t="shared" si="3364"/>
        <v>149.93333333333334</v>
      </c>
      <c r="CA991" s="373">
        <f t="shared" si="3365"/>
        <v>194.33333333333334</v>
      </c>
      <c r="CB991" s="373">
        <f t="shared" si="3366"/>
        <v>455.13333333333333</v>
      </c>
      <c r="CC991" s="373">
        <f t="shared" si="3367"/>
        <v>508.86666666666667</v>
      </c>
      <c r="CD991" s="1109">
        <f t="shared" si="3368"/>
        <v>0</v>
      </c>
      <c r="CE991" s="1110">
        <f t="shared" si="3368"/>
        <v>0</v>
      </c>
      <c r="CF991" s="1111">
        <f t="shared" si="3368"/>
        <v>0</v>
      </c>
      <c r="CG991" s="1111">
        <f t="shared" si="3368"/>
        <v>0</v>
      </c>
      <c r="CH991" s="1111">
        <f t="shared" si="3368"/>
        <v>0</v>
      </c>
      <c r="CI991" s="1111">
        <f t="shared" si="3368"/>
        <v>0</v>
      </c>
      <c r="CJ991" s="1111">
        <f t="shared" si="3368"/>
        <v>0</v>
      </c>
      <c r="CK991" s="1112">
        <f t="shared" si="3368"/>
        <v>0</v>
      </c>
      <c r="CL991" s="1112">
        <f t="shared" si="3368"/>
        <v>98</v>
      </c>
      <c r="CM991" s="1112">
        <f t="shared" si="3368"/>
        <v>142</v>
      </c>
      <c r="CN991" s="1111">
        <f t="shared" si="3368"/>
        <v>204</v>
      </c>
      <c r="CO991" s="1111">
        <f t="shared" si="3368"/>
        <v>262</v>
      </c>
      <c r="CP991" s="1111">
        <f t="shared" si="3368"/>
        <v>290</v>
      </c>
      <c r="CQ991" s="1111">
        <f t="shared" si="3368"/>
        <v>408</v>
      </c>
      <c r="CR991" s="1111">
        <f t="shared" si="3368"/>
        <v>412</v>
      </c>
      <c r="CS991" s="1110">
        <f t="shared" si="3368"/>
        <v>433</v>
      </c>
      <c r="CT991" s="1113">
        <f t="shared" si="3369"/>
        <v>516</v>
      </c>
      <c r="CU991" s="1201">
        <f t="shared" si="3370"/>
        <v>0</v>
      </c>
      <c r="CV991" s="1141">
        <f t="shared" si="3370"/>
        <v>0</v>
      </c>
      <c r="CW991" s="1142">
        <f t="shared" si="3370"/>
        <v>0</v>
      </c>
      <c r="CX991" s="1142">
        <f t="shared" si="3370"/>
        <v>0</v>
      </c>
      <c r="CY991" s="1142">
        <f t="shared" si="3370"/>
        <v>0</v>
      </c>
      <c r="CZ991" s="1142">
        <f t="shared" si="3370"/>
        <v>0</v>
      </c>
      <c r="DA991" s="1142">
        <f t="shared" si="3370"/>
        <v>0</v>
      </c>
      <c r="DB991" s="1143">
        <f t="shared" si="3370"/>
        <v>0</v>
      </c>
      <c r="DC991" s="1143">
        <f t="shared" si="3370"/>
        <v>229</v>
      </c>
      <c r="DD991" s="1143">
        <f t="shared" si="3370"/>
        <v>234</v>
      </c>
      <c r="DE991" s="1142">
        <f t="shared" si="3370"/>
        <v>270</v>
      </c>
      <c r="DF991" s="1142">
        <f t="shared" si="3370"/>
        <v>315</v>
      </c>
      <c r="DG991" s="1142">
        <f t="shared" si="3370"/>
        <v>355</v>
      </c>
      <c r="DH991" s="1142">
        <f t="shared" si="3370"/>
        <v>489</v>
      </c>
      <c r="DI991" s="1142">
        <f t="shared" si="3370"/>
        <v>500</v>
      </c>
      <c r="DJ991" s="1141">
        <f t="shared" si="3370"/>
        <v>523</v>
      </c>
      <c r="DK991" s="1201">
        <f t="shared" si="3371"/>
        <v>704.5</v>
      </c>
      <c r="DL991" s="428">
        <f t="shared" si="3372"/>
        <v>17</v>
      </c>
      <c r="DM991" s="66">
        <f t="shared" si="3373"/>
        <v>17</v>
      </c>
      <c r="DN991" s="66">
        <f t="shared" si="3374"/>
        <v>17</v>
      </c>
      <c r="DO991" s="66">
        <f t="shared" si="3375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>SUM(B780,B789)</f>
        <v>0</v>
      </c>
      <c r="C992" s="570">
        <f t="shared" ref="C992:R992" si="3395">SUM(C780,C789)</f>
        <v>0</v>
      </c>
      <c r="D992" s="570">
        <f t="shared" si="3395"/>
        <v>0</v>
      </c>
      <c r="E992" s="570">
        <f t="shared" si="3395"/>
        <v>0</v>
      </c>
      <c r="F992" s="570">
        <f t="shared" si="3395"/>
        <v>0</v>
      </c>
      <c r="G992" s="570">
        <f t="shared" si="3395"/>
        <v>0</v>
      </c>
      <c r="H992" s="570">
        <f t="shared" si="3395"/>
        <v>0</v>
      </c>
      <c r="I992" s="570">
        <f t="shared" si="3395"/>
        <v>0</v>
      </c>
      <c r="J992" s="570">
        <f t="shared" si="3395"/>
        <v>0</v>
      </c>
      <c r="K992" s="570">
        <f t="shared" si="3395"/>
        <v>0</v>
      </c>
      <c r="L992" s="570">
        <f t="shared" si="3395"/>
        <v>0</v>
      </c>
      <c r="M992" s="570">
        <f t="shared" si="3395"/>
        <v>0</v>
      </c>
      <c r="N992" s="570">
        <f t="shared" si="3395"/>
        <v>0</v>
      </c>
      <c r="O992" s="570">
        <f t="shared" si="3395"/>
        <v>0</v>
      </c>
      <c r="P992" s="570">
        <f t="shared" si="3395"/>
        <v>0</v>
      </c>
      <c r="Q992" s="570">
        <f t="shared" si="3395"/>
        <v>0</v>
      </c>
      <c r="R992" s="570">
        <f t="shared" si="3395"/>
        <v>0</v>
      </c>
      <c r="S992" s="569"/>
      <c r="T992" s="570">
        <f>SUM(T780,T789)</f>
        <v>0</v>
      </c>
      <c r="U992" s="570">
        <f t="shared" ref="U992:AJ992" si="3396">SUM(U780,U789)</f>
        <v>0</v>
      </c>
      <c r="V992" s="570">
        <f t="shared" si="3396"/>
        <v>0</v>
      </c>
      <c r="W992" s="570">
        <f t="shared" si="3396"/>
        <v>0</v>
      </c>
      <c r="X992" s="570">
        <f t="shared" si="3396"/>
        <v>0</v>
      </c>
      <c r="Y992" s="570">
        <f t="shared" si="3396"/>
        <v>0</v>
      </c>
      <c r="Z992" s="570">
        <f t="shared" si="3396"/>
        <v>0</v>
      </c>
      <c r="AA992" s="570">
        <f t="shared" si="3396"/>
        <v>0</v>
      </c>
      <c r="AB992" s="570">
        <f t="shared" si="3396"/>
        <v>0</v>
      </c>
      <c r="AC992" s="570">
        <f t="shared" si="3396"/>
        <v>0</v>
      </c>
      <c r="AD992" s="570">
        <f t="shared" si="3396"/>
        <v>0</v>
      </c>
      <c r="AE992" s="570">
        <f t="shared" si="3396"/>
        <v>0</v>
      </c>
      <c r="AF992" s="570">
        <f t="shared" si="3396"/>
        <v>0</v>
      </c>
      <c r="AG992" s="570">
        <f t="shared" si="3396"/>
        <v>0</v>
      </c>
      <c r="AH992" s="570">
        <f t="shared" si="3396"/>
        <v>0</v>
      </c>
      <c r="AI992" s="570">
        <f t="shared" si="3396"/>
        <v>0</v>
      </c>
      <c r="AJ992" s="570">
        <f t="shared" si="3396"/>
        <v>0</v>
      </c>
      <c r="AK992" s="569"/>
      <c r="AL992" s="570">
        <f>SUM(AL780,AL789)</f>
        <v>0</v>
      </c>
      <c r="AM992" s="570">
        <f t="shared" ref="AM992:BB992" si="3397">SUM(AM780,AM789)</f>
        <v>0</v>
      </c>
      <c r="AN992" s="570">
        <f t="shared" si="3397"/>
        <v>0</v>
      </c>
      <c r="AO992" s="570">
        <f t="shared" si="3397"/>
        <v>0</v>
      </c>
      <c r="AP992" s="570">
        <f t="shared" si="3397"/>
        <v>0</v>
      </c>
      <c r="AQ992" s="570">
        <f t="shared" si="3397"/>
        <v>0</v>
      </c>
      <c r="AR992" s="570">
        <f t="shared" si="3397"/>
        <v>0</v>
      </c>
      <c r="AS992" s="570">
        <f t="shared" si="3397"/>
        <v>0</v>
      </c>
      <c r="AT992" s="570">
        <f t="shared" si="3397"/>
        <v>0</v>
      </c>
      <c r="AU992" s="570">
        <f t="shared" si="3397"/>
        <v>0</v>
      </c>
      <c r="AV992" s="570">
        <f t="shared" si="3397"/>
        <v>0</v>
      </c>
      <c r="AW992" s="570">
        <f t="shared" si="3397"/>
        <v>0</v>
      </c>
      <c r="AX992" s="570">
        <f t="shared" si="3397"/>
        <v>0</v>
      </c>
      <c r="AY992" s="570">
        <f t="shared" si="3397"/>
        <v>0</v>
      </c>
      <c r="AZ992" s="570">
        <f t="shared" si="3397"/>
        <v>0</v>
      </c>
      <c r="BA992" s="570">
        <f t="shared" si="3397"/>
        <v>0</v>
      </c>
      <c r="BB992" s="570">
        <f t="shared" si="3397"/>
        <v>0</v>
      </c>
      <c r="BC992" s="569"/>
      <c r="BD992" s="570">
        <f>SUM(BD780,BD789)</f>
        <v>0</v>
      </c>
      <c r="BE992" s="570">
        <f t="shared" ref="BE992:BT992" si="3398">SUM(BE780,BE789)</f>
        <v>0</v>
      </c>
      <c r="BF992" s="570">
        <f t="shared" si="3398"/>
        <v>0</v>
      </c>
      <c r="BG992" s="570">
        <f t="shared" si="3398"/>
        <v>0</v>
      </c>
      <c r="BH992" s="570">
        <f t="shared" si="3398"/>
        <v>0</v>
      </c>
      <c r="BI992" s="570">
        <f t="shared" si="3398"/>
        <v>0</v>
      </c>
      <c r="BJ992" s="570">
        <f t="shared" si="3398"/>
        <v>0</v>
      </c>
      <c r="BK992" s="570">
        <f t="shared" si="3398"/>
        <v>0</v>
      </c>
      <c r="BL992" s="570">
        <f t="shared" si="3398"/>
        <v>0</v>
      </c>
      <c r="BM992" s="570">
        <f t="shared" si="3398"/>
        <v>0</v>
      </c>
      <c r="BN992" s="570">
        <f t="shared" si="3398"/>
        <v>0</v>
      </c>
      <c r="BO992" s="570">
        <f t="shared" si="3398"/>
        <v>0</v>
      </c>
      <c r="BP992" s="570">
        <f t="shared" si="3398"/>
        <v>0</v>
      </c>
      <c r="BQ992" s="570">
        <f t="shared" si="3398"/>
        <v>0</v>
      </c>
      <c r="BR992" s="570">
        <f t="shared" si="3398"/>
        <v>0</v>
      </c>
      <c r="BS992" s="570">
        <f t="shared" si="3398"/>
        <v>0</v>
      </c>
      <c r="BT992" s="570">
        <f t="shared" si="3398"/>
        <v>0</v>
      </c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364"/>
        <v>0</v>
      </c>
      <c r="CA992" s="373">
        <f t="shared" si="3365"/>
        <v>0</v>
      </c>
      <c r="CB992" s="373">
        <f t="shared" si="3366"/>
        <v>0</v>
      </c>
      <c r="CC992" s="373">
        <f t="shared" si="3367"/>
        <v>0</v>
      </c>
      <c r="CD992" s="1109">
        <f t="shared" si="3368"/>
        <v>0</v>
      </c>
      <c r="CE992" s="1110">
        <f t="shared" si="3368"/>
        <v>0</v>
      </c>
      <c r="CF992" s="1111">
        <f t="shared" si="3368"/>
        <v>0</v>
      </c>
      <c r="CG992" s="1111">
        <f t="shared" si="3368"/>
        <v>0</v>
      </c>
      <c r="CH992" s="1111">
        <f t="shared" si="3368"/>
        <v>0</v>
      </c>
      <c r="CI992" s="1111">
        <f t="shared" si="3368"/>
        <v>0</v>
      </c>
      <c r="CJ992" s="1111">
        <f t="shared" si="3368"/>
        <v>0</v>
      </c>
      <c r="CK992" s="1112">
        <f t="shared" si="3368"/>
        <v>0</v>
      </c>
      <c r="CL992" s="1112">
        <f t="shared" si="3368"/>
        <v>0</v>
      </c>
      <c r="CM992" s="1112">
        <f t="shared" si="3368"/>
        <v>0</v>
      </c>
      <c r="CN992" s="1111">
        <f t="shared" si="3368"/>
        <v>0</v>
      </c>
      <c r="CO992" s="1111">
        <f t="shared" si="3368"/>
        <v>0</v>
      </c>
      <c r="CP992" s="1111">
        <f t="shared" si="3368"/>
        <v>0</v>
      </c>
      <c r="CQ992" s="1111">
        <f t="shared" si="3368"/>
        <v>0</v>
      </c>
      <c r="CR992" s="1111">
        <f t="shared" si="3368"/>
        <v>0</v>
      </c>
      <c r="CS992" s="1110">
        <f t="shared" si="3368"/>
        <v>0</v>
      </c>
      <c r="CT992" s="1113">
        <f t="shared" si="3369"/>
        <v>0</v>
      </c>
      <c r="CU992" s="1201">
        <f t="shared" si="3370"/>
        <v>0</v>
      </c>
      <c r="CV992" s="1141">
        <f t="shared" si="3370"/>
        <v>0</v>
      </c>
      <c r="CW992" s="1142">
        <f t="shared" si="3370"/>
        <v>0</v>
      </c>
      <c r="CX992" s="1142">
        <f t="shared" si="3370"/>
        <v>0</v>
      </c>
      <c r="CY992" s="1142">
        <f t="shared" si="3370"/>
        <v>0</v>
      </c>
      <c r="CZ992" s="1142">
        <f t="shared" si="3370"/>
        <v>0</v>
      </c>
      <c r="DA992" s="1142">
        <f t="shared" si="3370"/>
        <v>0</v>
      </c>
      <c r="DB992" s="1143">
        <f t="shared" si="3370"/>
        <v>0</v>
      </c>
      <c r="DC992" s="1143">
        <f t="shared" si="3370"/>
        <v>0</v>
      </c>
      <c r="DD992" s="1143">
        <f t="shared" si="3370"/>
        <v>0</v>
      </c>
      <c r="DE992" s="1142">
        <f t="shared" si="3370"/>
        <v>0</v>
      </c>
      <c r="DF992" s="1142">
        <f t="shared" si="3370"/>
        <v>0</v>
      </c>
      <c r="DG992" s="1142">
        <f t="shared" si="3370"/>
        <v>0</v>
      </c>
      <c r="DH992" s="1142">
        <f t="shared" si="3370"/>
        <v>0</v>
      </c>
      <c r="DI992" s="1142">
        <f t="shared" si="3370"/>
        <v>0</v>
      </c>
      <c r="DJ992" s="1141">
        <f t="shared" si="3370"/>
        <v>0</v>
      </c>
      <c r="DK992" s="1201">
        <f t="shared" si="3371"/>
        <v>0</v>
      </c>
      <c r="DL992" s="428">
        <f t="shared" si="3372"/>
        <v>17</v>
      </c>
      <c r="DM992" s="66">
        <f t="shared" si="3373"/>
        <v>17</v>
      </c>
      <c r="DN992" s="66">
        <f t="shared" si="3374"/>
        <v>17</v>
      </c>
      <c r="DO992" s="66">
        <f t="shared" si="3375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>SUM(B783:B784,B790:B794,B796:B797)</f>
        <v>20</v>
      </c>
      <c r="C993" s="570">
        <f t="shared" ref="C993:R993" si="3399">SUM(C783:C784,C790:C794,C796:C797)</f>
        <v>35</v>
      </c>
      <c r="D993" s="570">
        <f t="shared" si="3399"/>
        <v>8</v>
      </c>
      <c r="E993" s="570">
        <f t="shared" si="3399"/>
        <v>74</v>
      </c>
      <c r="F993" s="570">
        <f t="shared" si="3399"/>
        <v>47</v>
      </c>
      <c r="G993" s="570">
        <f t="shared" si="3399"/>
        <v>25</v>
      </c>
      <c r="H993" s="570">
        <f t="shared" si="3399"/>
        <v>25</v>
      </c>
      <c r="I993" s="570">
        <f t="shared" si="3399"/>
        <v>0</v>
      </c>
      <c r="J993" s="570">
        <f t="shared" si="3399"/>
        <v>0</v>
      </c>
      <c r="K993" s="570">
        <f t="shared" si="3399"/>
        <v>0</v>
      </c>
      <c r="L993" s="570">
        <f t="shared" si="3399"/>
        <v>0</v>
      </c>
      <c r="M993" s="570">
        <f t="shared" si="3399"/>
        <v>0</v>
      </c>
      <c r="N993" s="570">
        <f t="shared" si="3399"/>
        <v>0</v>
      </c>
      <c r="O993" s="570">
        <f t="shared" si="3399"/>
        <v>0</v>
      </c>
      <c r="P993" s="570">
        <f t="shared" si="3399"/>
        <v>0</v>
      </c>
      <c r="Q993" s="570">
        <f t="shared" si="3399"/>
        <v>0</v>
      </c>
      <c r="R993" s="570">
        <f t="shared" si="3399"/>
        <v>0</v>
      </c>
      <c r="S993" s="569"/>
      <c r="T993" s="570">
        <f>SUM(T783:T784,T790:T794,T796:T797)</f>
        <v>25</v>
      </c>
      <c r="U993" s="570">
        <f t="shared" ref="U993:AJ993" si="3400">SUM(U783:U784,U790:U794,U796:U797)</f>
        <v>114</v>
      </c>
      <c r="V993" s="570">
        <f t="shared" si="3400"/>
        <v>595</v>
      </c>
      <c r="W993" s="570">
        <f t="shared" si="3400"/>
        <v>110</v>
      </c>
      <c r="X993" s="570">
        <f t="shared" si="3400"/>
        <v>0</v>
      </c>
      <c r="Y993" s="570">
        <f t="shared" si="3400"/>
        <v>921</v>
      </c>
      <c r="Z993" s="570">
        <f t="shared" si="3400"/>
        <v>25</v>
      </c>
      <c r="AA993" s="570">
        <f t="shared" si="3400"/>
        <v>105</v>
      </c>
      <c r="AB993" s="570">
        <f t="shared" si="3400"/>
        <v>725</v>
      </c>
      <c r="AC993" s="570">
        <f t="shared" si="3400"/>
        <v>0</v>
      </c>
      <c r="AD993" s="570">
        <f t="shared" si="3400"/>
        <v>0</v>
      </c>
      <c r="AE993" s="570">
        <f t="shared" si="3400"/>
        <v>0</v>
      </c>
      <c r="AF993" s="570">
        <f t="shared" si="3400"/>
        <v>0</v>
      </c>
      <c r="AG993" s="570">
        <f t="shared" si="3400"/>
        <v>0</v>
      </c>
      <c r="AH993" s="570">
        <f t="shared" si="3400"/>
        <v>0</v>
      </c>
      <c r="AI993" s="570">
        <f t="shared" si="3400"/>
        <v>0</v>
      </c>
      <c r="AJ993" s="570">
        <f t="shared" si="3400"/>
        <v>0</v>
      </c>
      <c r="AK993" s="569"/>
      <c r="AL993" s="570">
        <f>SUM(AL783:AL784,AL790:AL794,AL796:AL797)</f>
        <v>11180</v>
      </c>
      <c r="AM993" s="570">
        <f t="shared" ref="AM993:BB993" si="3401">SUM(AM783:AM784,AM790:AM794,AM796:AM797)</f>
        <v>12093</v>
      </c>
      <c r="AN993" s="570">
        <f t="shared" si="3401"/>
        <v>8969</v>
      </c>
      <c r="AO993" s="570">
        <f t="shared" si="3401"/>
        <v>2630</v>
      </c>
      <c r="AP993" s="570">
        <f t="shared" si="3401"/>
        <v>5380</v>
      </c>
      <c r="AQ993" s="570">
        <f t="shared" si="3401"/>
        <v>2450</v>
      </c>
      <c r="AR993" s="570">
        <f t="shared" si="3401"/>
        <v>11200</v>
      </c>
      <c r="AS993" s="570">
        <f t="shared" si="3401"/>
        <v>4250</v>
      </c>
      <c r="AT993" s="570">
        <f t="shared" si="3401"/>
        <v>4385</v>
      </c>
      <c r="AU993" s="570">
        <f t="shared" si="3401"/>
        <v>0</v>
      </c>
      <c r="AV993" s="570">
        <f t="shared" si="3401"/>
        <v>0</v>
      </c>
      <c r="AW993" s="570">
        <f t="shared" si="3401"/>
        <v>0</v>
      </c>
      <c r="AX993" s="570">
        <f t="shared" si="3401"/>
        <v>0</v>
      </c>
      <c r="AY993" s="570">
        <f t="shared" si="3401"/>
        <v>0</v>
      </c>
      <c r="AZ993" s="570">
        <f t="shared" si="3401"/>
        <v>0</v>
      </c>
      <c r="BA993" s="570">
        <f t="shared" si="3401"/>
        <v>0</v>
      </c>
      <c r="BB993" s="570">
        <f t="shared" si="3401"/>
        <v>0</v>
      </c>
      <c r="BC993" s="569"/>
      <c r="BD993" s="570">
        <f>SUM(BD783:BD784,BD790:BD794,BD796:BD797)</f>
        <v>12915</v>
      </c>
      <c r="BE993" s="570">
        <f t="shared" ref="BE993:BT993" si="3402">SUM(BE783:BE784,BE790:BE794,BE796:BE797)</f>
        <v>11330</v>
      </c>
      <c r="BF993" s="570">
        <f t="shared" si="3402"/>
        <v>10370</v>
      </c>
      <c r="BG993" s="570">
        <f t="shared" si="3402"/>
        <v>7620</v>
      </c>
      <c r="BH993" s="570">
        <f t="shared" si="3402"/>
        <v>11625</v>
      </c>
      <c r="BI993" s="570">
        <f t="shared" si="3402"/>
        <v>5810</v>
      </c>
      <c r="BJ993" s="570">
        <f t="shared" si="3402"/>
        <v>5380</v>
      </c>
      <c r="BK993" s="570">
        <f t="shared" si="3402"/>
        <v>14476</v>
      </c>
      <c r="BL993" s="570">
        <f t="shared" si="3402"/>
        <v>12200</v>
      </c>
      <c r="BM993" s="570">
        <f t="shared" si="3402"/>
        <v>0</v>
      </c>
      <c r="BN993" s="570">
        <f t="shared" si="3402"/>
        <v>0</v>
      </c>
      <c r="BO993" s="570">
        <f t="shared" si="3402"/>
        <v>0</v>
      </c>
      <c r="BP993" s="570">
        <f t="shared" si="3402"/>
        <v>0</v>
      </c>
      <c r="BQ993" s="570">
        <f t="shared" si="3402"/>
        <v>0</v>
      </c>
      <c r="BR993" s="570">
        <f t="shared" si="3402"/>
        <v>0</v>
      </c>
      <c r="BS993" s="570">
        <f t="shared" si="3402"/>
        <v>0</v>
      </c>
      <c r="BT993" s="570">
        <f t="shared" si="3402"/>
        <v>0</v>
      </c>
      <c r="BU993" s="569"/>
      <c r="BV993" s="570">
        <f>SUM(BV783:BV784,BV790:BV794,BV796:BV797)</f>
        <v>0</v>
      </c>
      <c r="BW993" s="570">
        <f>SUM(BW783:BW784,BW790:BW794,BW796:BW797)</f>
        <v>0</v>
      </c>
      <c r="BX993" s="570">
        <f>SUM(BX783:BX784,BX790:BX794,BX796:BX797)</f>
        <v>0</v>
      </c>
      <c r="BY993" s="570">
        <f>SUM(BY783:BY784,BY790:BY794,BY796:BY797)</f>
        <v>0</v>
      </c>
      <c r="BZ993" s="373">
        <f t="shared" si="3364"/>
        <v>10.666666666666666</v>
      </c>
      <c r="CA993" s="373">
        <f t="shared" si="3365"/>
        <v>113.26666666666667</v>
      </c>
      <c r="CB993" s="373">
        <f t="shared" si="3366"/>
        <v>3362.9333333333334</v>
      </c>
      <c r="CC993" s="373">
        <f t="shared" si="3367"/>
        <v>5150</v>
      </c>
      <c r="CD993" s="1109">
        <f t="shared" si="3368"/>
        <v>0</v>
      </c>
      <c r="CE993" s="1110">
        <f t="shared" si="3368"/>
        <v>0</v>
      </c>
      <c r="CF993" s="1111">
        <f t="shared" si="3368"/>
        <v>0</v>
      </c>
      <c r="CG993" s="1111">
        <f t="shared" si="3368"/>
        <v>0</v>
      </c>
      <c r="CH993" s="1111">
        <f t="shared" si="3368"/>
        <v>0</v>
      </c>
      <c r="CI993" s="1111">
        <f t="shared" si="3368"/>
        <v>0</v>
      </c>
      <c r="CJ993" s="1111">
        <f t="shared" si="3368"/>
        <v>0</v>
      </c>
      <c r="CK993" s="1112">
        <f t="shared" si="3368"/>
        <v>0</v>
      </c>
      <c r="CL993" s="1112">
        <f t="shared" si="3368"/>
        <v>0</v>
      </c>
      <c r="CM993" s="1112">
        <f t="shared" si="3368"/>
        <v>0</v>
      </c>
      <c r="CN993" s="1111">
        <f t="shared" si="3368"/>
        <v>8</v>
      </c>
      <c r="CO993" s="1111">
        <f t="shared" si="3368"/>
        <v>20</v>
      </c>
      <c r="CP993" s="1111">
        <f t="shared" si="3368"/>
        <v>25</v>
      </c>
      <c r="CQ993" s="1111">
        <f t="shared" si="3368"/>
        <v>25</v>
      </c>
      <c r="CR993" s="1111">
        <f t="shared" si="3368"/>
        <v>35</v>
      </c>
      <c r="CS993" s="1110">
        <f t="shared" si="3368"/>
        <v>47</v>
      </c>
      <c r="CT993" s="1113">
        <f t="shared" si="3369"/>
        <v>74</v>
      </c>
      <c r="CU993" s="1201">
        <f t="shared" si="3370"/>
        <v>0</v>
      </c>
      <c r="CV993" s="1141">
        <f t="shared" si="3370"/>
        <v>0</v>
      </c>
      <c r="CW993" s="1142">
        <f t="shared" si="3370"/>
        <v>0</v>
      </c>
      <c r="CX993" s="1142">
        <f t="shared" si="3370"/>
        <v>0</v>
      </c>
      <c r="CY993" s="1142">
        <f t="shared" si="3370"/>
        <v>0</v>
      </c>
      <c r="CZ993" s="1142">
        <f t="shared" si="3370"/>
        <v>0</v>
      </c>
      <c r="DA993" s="1142">
        <f t="shared" si="3370"/>
        <v>0</v>
      </c>
      <c r="DB993" s="1143">
        <f t="shared" si="3370"/>
        <v>0</v>
      </c>
      <c r="DC993" s="1143">
        <f t="shared" si="3370"/>
        <v>0</v>
      </c>
      <c r="DD993" s="1143">
        <f t="shared" si="3370"/>
        <v>25</v>
      </c>
      <c r="DE993" s="1142">
        <f t="shared" si="3370"/>
        <v>25</v>
      </c>
      <c r="DF993" s="1142">
        <f t="shared" si="3370"/>
        <v>105</v>
      </c>
      <c r="DG993" s="1142">
        <f t="shared" si="3370"/>
        <v>110</v>
      </c>
      <c r="DH993" s="1142">
        <f t="shared" si="3370"/>
        <v>114</v>
      </c>
      <c r="DI993" s="1142">
        <f t="shared" si="3370"/>
        <v>595</v>
      </c>
      <c r="DJ993" s="1141">
        <f t="shared" si="3370"/>
        <v>725</v>
      </c>
      <c r="DK993" s="1201">
        <f t="shared" si="3371"/>
        <v>921</v>
      </c>
      <c r="DL993" s="428">
        <f t="shared" si="3372"/>
        <v>17</v>
      </c>
      <c r="DM993" s="66">
        <f t="shared" si="3373"/>
        <v>17</v>
      </c>
      <c r="DN993" s="66">
        <f t="shared" si="3374"/>
        <v>17</v>
      </c>
      <c r="DO993" s="66">
        <f t="shared" si="3375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>SUM(B798,B799)</f>
        <v>800</v>
      </c>
      <c r="C994" s="570">
        <f t="shared" ref="C994:R994" si="3403">SUM(C798,C799)</f>
        <v>300</v>
      </c>
      <c r="D994" s="570">
        <f t="shared" si="3403"/>
        <v>135</v>
      </c>
      <c r="E994" s="570">
        <f t="shared" si="3403"/>
        <v>0</v>
      </c>
      <c r="F994" s="570">
        <f t="shared" si="3403"/>
        <v>645</v>
      </c>
      <c r="G994" s="570">
        <f t="shared" si="3403"/>
        <v>780</v>
      </c>
      <c r="H994" s="570">
        <f t="shared" si="3403"/>
        <v>42.5</v>
      </c>
      <c r="I994" s="570">
        <f t="shared" si="3403"/>
        <v>700</v>
      </c>
      <c r="J994" s="570">
        <f t="shared" si="3403"/>
        <v>200</v>
      </c>
      <c r="K994" s="570">
        <f t="shared" si="3403"/>
        <v>0</v>
      </c>
      <c r="L994" s="570">
        <f t="shared" si="3403"/>
        <v>0</v>
      </c>
      <c r="M994" s="570">
        <f t="shared" si="3403"/>
        <v>0</v>
      </c>
      <c r="N994" s="570">
        <f t="shared" si="3403"/>
        <v>0</v>
      </c>
      <c r="O994" s="570">
        <f t="shared" si="3403"/>
        <v>0</v>
      </c>
      <c r="P994" s="570">
        <f t="shared" si="3403"/>
        <v>0</v>
      </c>
      <c r="Q994" s="570">
        <f t="shared" si="3403"/>
        <v>0</v>
      </c>
      <c r="R994" s="570">
        <f t="shared" si="3403"/>
        <v>0</v>
      </c>
      <c r="S994" s="569"/>
      <c r="T994" s="570">
        <f>SUM(T798,T799)</f>
        <v>75</v>
      </c>
      <c r="U994" s="570">
        <f t="shared" ref="U994:AJ994" si="3404">SUM(U798,U799)</f>
        <v>500</v>
      </c>
      <c r="V994" s="570">
        <f t="shared" si="3404"/>
        <v>0</v>
      </c>
      <c r="W994" s="570">
        <f t="shared" si="3404"/>
        <v>1800</v>
      </c>
      <c r="X994" s="570">
        <f t="shared" si="3404"/>
        <v>1800</v>
      </c>
      <c r="Y994" s="570">
        <f t="shared" si="3404"/>
        <v>400</v>
      </c>
      <c r="Z994" s="570">
        <f t="shared" si="3404"/>
        <v>700</v>
      </c>
      <c r="AA994" s="570">
        <f t="shared" si="3404"/>
        <v>1350</v>
      </c>
      <c r="AB994" s="570">
        <f t="shared" si="3404"/>
        <v>282</v>
      </c>
      <c r="AC994" s="570">
        <f t="shared" si="3404"/>
        <v>0</v>
      </c>
      <c r="AD994" s="570">
        <f t="shared" si="3404"/>
        <v>0</v>
      </c>
      <c r="AE994" s="570">
        <f t="shared" si="3404"/>
        <v>0</v>
      </c>
      <c r="AF994" s="570">
        <f t="shared" si="3404"/>
        <v>0</v>
      </c>
      <c r="AG994" s="570">
        <f t="shared" si="3404"/>
        <v>0</v>
      </c>
      <c r="AH994" s="570">
        <f t="shared" si="3404"/>
        <v>0</v>
      </c>
      <c r="AI994" s="570">
        <f t="shared" si="3404"/>
        <v>0</v>
      </c>
      <c r="AJ994" s="570">
        <f t="shared" si="3404"/>
        <v>0</v>
      </c>
      <c r="AK994" s="569"/>
      <c r="AL994" s="570">
        <f>SUM(AL798,AL799)</f>
        <v>1690</v>
      </c>
      <c r="AM994" s="570">
        <f t="shared" ref="AM994:BB994" si="3405">SUM(AM798,AM799)</f>
        <v>3175</v>
      </c>
      <c r="AN994" s="570">
        <f t="shared" si="3405"/>
        <v>2160</v>
      </c>
      <c r="AO994" s="570">
        <f t="shared" si="3405"/>
        <v>2800</v>
      </c>
      <c r="AP994" s="570">
        <f t="shared" si="3405"/>
        <v>1500</v>
      </c>
      <c r="AQ994" s="570">
        <f t="shared" si="3405"/>
        <v>1900</v>
      </c>
      <c r="AR994" s="570">
        <f t="shared" si="3405"/>
        <v>3245</v>
      </c>
      <c r="AS994" s="570">
        <f t="shared" si="3405"/>
        <v>4650</v>
      </c>
      <c r="AT994" s="570">
        <f t="shared" si="3405"/>
        <v>4200</v>
      </c>
      <c r="AU994" s="570">
        <f t="shared" si="3405"/>
        <v>0</v>
      </c>
      <c r="AV994" s="570">
        <f t="shared" si="3405"/>
        <v>0</v>
      </c>
      <c r="AW994" s="570">
        <f t="shared" si="3405"/>
        <v>0</v>
      </c>
      <c r="AX994" s="570">
        <f t="shared" si="3405"/>
        <v>0</v>
      </c>
      <c r="AY994" s="570">
        <f t="shared" si="3405"/>
        <v>0</v>
      </c>
      <c r="AZ994" s="570">
        <f t="shared" si="3405"/>
        <v>0</v>
      </c>
      <c r="BA994" s="570">
        <f t="shared" si="3405"/>
        <v>0</v>
      </c>
      <c r="BB994" s="570">
        <f t="shared" si="3405"/>
        <v>0</v>
      </c>
      <c r="BC994" s="569"/>
      <c r="BD994" s="570">
        <f>SUM(BD798,BD799)</f>
        <v>2425</v>
      </c>
      <c r="BE994" s="570">
        <f t="shared" ref="BE994:BT994" si="3406">SUM(BE798,BE799)</f>
        <v>3160</v>
      </c>
      <c r="BF994" s="570">
        <f t="shared" si="3406"/>
        <v>5730</v>
      </c>
      <c r="BG994" s="570">
        <f t="shared" si="3406"/>
        <v>5605</v>
      </c>
      <c r="BH994" s="570">
        <f t="shared" si="3406"/>
        <v>3500</v>
      </c>
      <c r="BI994" s="570">
        <f t="shared" si="3406"/>
        <v>1600</v>
      </c>
      <c r="BJ994" s="570">
        <f t="shared" si="3406"/>
        <v>5300</v>
      </c>
      <c r="BK994" s="570">
        <f t="shared" si="3406"/>
        <v>2500</v>
      </c>
      <c r="BL994" s="570">
        <f t="shared" si="3406"/>
        <v>1750</v>
      </c>
      <c r="BM994" s="570">
        <f t="shared" si="3406"/>
        <v>0</v>
      </c>
      <c r="BN994" s="570">
        <f t="shared" si="3406"/>
        <v>0</v>
      </c>
      <c r="BO994" s="570">
        <f t="shared" si="3406"/>
        <v>0</v>
      </c>
      <c r="BP994" s="570">
        <f t="shared" si="3406"/>
        <v>0</v>
      </c>
      <c r="BQ994" s="570">
        <f t="shared" si="3406"/>
        <v>0</v>
      </c>
      <c r="BR994" s="570">
        <f t="shared" si="3406"/>
        <v>0</v>
      </c>
      <c r="BS994" s="570">
        <f t="shared" si="3406"/>
        <v>0</v>
      </c>
      <c r="BT994" s="570">
        <f t="shared" si="3406"/>
        <v>0</v>
      </c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364"/>
        <v>186.83333333333334</v>
      </c>
      <c r="CA994" s="373">
        <f t="shared" si="3365"/>
        <v>340.46666666666664</v>
      </c>
      <c r="CB994" s="373">
        <f t="shared" si="3366"/>
        <v>1378</v>
      </c>
      <c r="CC994" s="373">
        <f t="shared" si="3367"/>
        <v>1722.6666666666667</v>
      </c>
      <c r="CD994" s="1109">
        <f t="shared" si="3368"/>
        <v>0</v>
      </c>
      <c r="CE994" s="1110">
        <f t="shared" si="3368"/>
        <v>0</v>
      </c>
      <c r="CF994" s="1111">
        <f t="shared" si="3368"/>
        <v>0</v>
      </c>
      <c r="CG994" s="1111">
        <f t="shared" si="3368"/>
        <v>0</v>
      </c>
      <c r="CH994" s="1111">
        <f t="shared" si="3368"/>
        <v>0</v>
      </c>
      <c r="CI994" s="1111">
        <f t="shared" si="3368"/>
        <v>0</v>
      </c>
      <c r="CJ994" s="1111">
        <f t="shared" si="3368"/>
        <v>0</v>
      </c>
      <c r="CK994" s="1112">
        <f t="shared" si="3368"/>
        <v>0</v>
      </c>
      <c r="CL994" s="1112">
        <f t="shared" si="3368"/>
        <v>0</v>
      </c>
      <c r="CM994" s="1112">
        <f t="shared" si="3368"/>
        <v>42.5</v>
      </c>
      <c r="CN994" s="1111">
        <f t="shared" si="3368"/>
        <v>135</v>
      </c>
      <c r="CO994" s="1111">
        <f t="shared" si="3368"/>
        <v>200</v>
      </c>
      <c r="CP994" s="1111">
        <f t="shared" si="3368"/>
        <v>300</v>
      </c>
      <c r="CQ994" s="1111">
        <f t="shared" si="3368"/>
        <v>645</v>
      </c>
      <c r="CR994" s="1111">
        <f t="shared" si="3368"/>
        <v>700</v>
      </c>
      <c r="CS994" s="1110">
        <f t="shared" si="3368"/>
        <v>780</v>
      </c>
      <c r="CT994" s="1113">
        <f t="shared" si="3369"/>
        <v>800</v>
      </c>
      <c r="CU994" s="1201">
        <f t="shared" si="3370"/>
        <v>0</v>
      </c>
      <c r="CV994" s="1141">
        <f t="shared" si="3370"/>
        <v>0</v>
      </c>
      <c r="CW994" s="1142">
        <f t="shared" si="3370"/>
        <v>0</v>
      </c>
      <c r="CX994" s="1142">
        <f t="shared" si="3370"/>
        <v>0</v>
      </c>
      <c r="CY994" s="1142">
        <f t="shared" si="3370"/>
        <v>0</v>
      </c>
      <c r="CZ994" s="1142">
        <f t="shared" si="3370"/>
        <v>0</v>
      </c>
      <c r="DA994" s="1142">
        <f t="shared" si="3370"/>
        <v>0</v>
      </c>
      <c r="DB994" s="1143">
        <f t="shared" si="3370"/>
        <v>0</v>
      </c>
      <c r="DC994" s="1143">
        <f t="shared" si="3370"/>
        <v>0</v>
      </c>
      <c r="DD994" s="1143">
        <f t="shared" si="3370"/>
        <v>75</v>
      </c>
      <c r="DE994" s="1142">
        <f t="shared" si="3370"/>
        <v>282</v>
      </c>
      <c r="DF994" s="1142">
        <f t="shared" si="3370"/>
        <v>400</v>
      </c>
      <c r="DG994" s="1142">
        <f t="shared" si="3370"/>
        <v>500</v>
      </c>
      <c r="DH994" s="1142">
        <f t="shared" si="3370"/>
        <v>700</v>
      </c>
      <c r="DI994" s="1142">
        <f t="shared" si="3370"/>
        <v>1350</v>
      </c>
      <c r="DJ994" s="1141">
        <f t="shared" si="3370"/>
        <v>1800</v>
      </c>
      <c r="DK994" s="1201">
        <f t="shared" si="3371"/>
        <v>1800</v>
      </c>
      <c r="DL994" s="428">
        <f t="shared" si="3372"/>
        <v>17</v>
      </c>
      <c r="DM994" s="66">
        <f t="shared" si="3373"/>
        <v>17</v>
      </c>
      <c r="DN994" s="66">
        <f t="shared" si="3374"/>
        <v>17</v>
      </c>
      <c r="DO994" s="66">
        <f t="shared" si="3375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>SUM(B800)</f>
        <v>0</v>
      </c>
      <c r="C995" s="570">
        <f t="shared" ref="C995:R995" si="3407">SUM(C800)</f>
        <v>50</v>
      </c>
      <c r="D995" s="570">
        <f t="shared" si="3407"/>
        <v>0</v>
      </c>
      <c r="E995" s="570">
        <f t="shared" si="3407"/>
        <v>0</v>
      </c>
      <c r="F995" s="570">
        <f t="shared" si="3407"/>
        <v>0</v>
      </c>
      <c r="G995" s="570">
        <f t="shared" si="3407"/>
        <v>0</v>
      </c>
      <c r="H995" s="570">
        <f t="shared" si="3407"/>
        <v>0</v>
      </c>
      <c r="I995" s="570">
        <f t="shared" si="3407"/>
        <v>0</v>
      </c>
      <c r="J995" s="570">
        <f t="shared" si="3407"/>
        <v>50</v>
      </c>
      <c r="K995" s="570">
        <f t="shared" si="3407"/>
        <v>0</v>
      </c>
      <c r="L995" s="570">
        <f t="shared" si="3407"/>
        <v>0</v>
      </c>
      <c r="M995" s="570">
        <f t="shared" si="3407"/>
        <v>0</v>
      </c>
      <c r="N995" s="570">
        <f t="shared" si="3407"/>
        <v>0</v>
      </c>
      <c r="O995" s="570">
        <f t="shared" si="3407"/>
        <v>0</v>
      </c>
      <c r="P995" s="570">
        <f t="shared" si="3407"/>
        <v>0</v>
      </c>
      <c r="Q995" s="570">
        <f t="shared" si="3407"/>
        <v>0</v>
      </c>
      <c r="R995" s="570">
        <f t="shared" si="3407"/>
        <v>0</v>
      </c>
      <c r="S995" s="569"/>
      <c r="T995" s="570">
        <f>SUM(T800)</f>
        <v>0</v>
      </c>
      <c r="U995" s="570">
        <f t="shared" ref="U995:AJ995" si="3408">SUM(U800)</f>
        <v>0</v>
      </c>
      <c r="V995" s="570">
        <f t="shared" si="3408"/>
        <v>0</v>
      </c>
      <c r="W995" s="570">
        <f t="shared" si="3408"/>
        <v>100</v>
      </c>
      <c r="X995" s="570">
        <f t="shared" si="3408"/>
        <v>0</v>
      </c>
      <c r="Y995" s="570">
        <f t="shared" si="3408"/>
        <v>300</v>
      </c>
      <c r="Z995" s="570">
        <f t="shared" si="3408"/>
        <v>100</v>
      </c>
      <c r="AA995" s="570">
        <f t="shared" si="3408"/>
        <v>150</v>
      </c>
      <c r="AB995" s="570">
        <f t="shared" si="3408"/>
        <v>410</v>
      </c>
      <c r="AC995" s="570">
        <f t="shared" si="3408"/>
        <v>0</v>
      </c>
      <c r="AD995" s="570">
        <f t="shared" si="3408"/>
        <v>0</v>
      </c>
      <c r="AE995" s="570">
        <f t="shared" si="3408"/>
        <v>0</v>
      </c>
      <c r="AF995" s="570">
        <f t="shared" si="3408"/>
        <v>0</v>
      </c>
      <c r="AG995" s="570">
        <f t="shared" si="3408"/>
        <v>0</v>
      </c>
      <c r="AH995" s="570">
        <f t="shared" si="3408"/>
        <v>0</v>
      </c>
      <c r="AI995" s="570">
        <f t="shared" si="3408"/>
        <v>0</v>
      </c>
      <c r="AJ995" s="570">
        <f t="shared" si="3408"/>
        <v>0</v>
      </c>
      <c r="AK995" s="569"/>
      <c r="AL995" s="570">
        <f>SUM(AL800)</f>
        <v>0</v>
      </c>
      <c r="AM995" s="570">
        <f t="shared" ref="AM995:BB995" si="3409">SUM(AM800)</f>
        <v>20</v>
      </c>
      <c r="AN995" s="570">
        <f t="shared" si="3409"/>
        <v>1000</v>
      </c>
      <c r="AO995" s="570">
        <f t="shared" si="3409"/>
        <v>1000</v>
      </c>
      <c r="AP995" s="570">
        <f t="shared" si="3409"/>
        <v>250</v>
      </c>
      <c r="AQ995" s="570">
        <f t="shared" si="3409"/>
        <v>1000</v>
      </c>
      <c r="AR995" s="570">
        <f t="shared" si="3409"/>
        <v>1000</v>
      </c>
      <c r="AS995" s="570">
        <f t="shared" si="3409"/>
        <v>3600</v>
      </c>
      <c r="AT995" s="570">
        <f t="shared" si="3409"/>
        <v>2000</v>
      </c>
      <c r="AU995" s="570">
        <f t="shared" si="3409"/>
        <v>0</v>
      </c>
      <c r="AV995" s="570">
        <f t="shared" si="3409"/>
        <v>0</v>
      </c>
      <c r="AW995" s="570">
        <f t="shared" si="3409"/>
        <v>0</v>
      </c>
      <c r="AX995" s="570">
        <f t="shared" si="3409"/>
        <v>0</v>
      </c>
      <c r="AY995" s="570">
        <f t="shared" si="3409"/>
        <v>0</v>
      </c>
      <c r="AZ995" s="570">
        <f t="shared" si="3409"/>
        <v>0</v>
      </c>
      <c r="BA995" s="570">
        <f t="shared" si="3409"/>
        <v>0</v>
      </c>
      <c r="BB995" s="570">
        <f t="shared" si="3409"/>
        <v>0</v>
      </c>
      <c r="BC995" s="569"/>
      <c r="BD995" s="570">
        <f>SUM(BD800)</f>
        <v>0</v>
      </c>
      <c r="BE995" s="570">
        <f t="shared" ref="BE995:BT995" si="3410">SUM(BE800)</f>
        <v>0</v>
      </c>
      <c r="BF995" s="570">
        <f t="shared" si="3410"/>
        <v>0</v>
      </c>
      <c r="BG995" s="570">
        <f t="shared" si="3410"/>
        <v>2000</v>
      </c>
      <c r="BH995" s="570">
        <f t="shared" si="3410"/>
        <v>0</v>
      </c>
      <c r="BI995" s="570">
        <f t="shared" si="3410"/>
        <v>500</v>
      </c>
      <c r="BJ995" s="570">
        <f t="shared" si="3410"/>
        <v>1000</v>
      </c>
      <c r="BK995" s="570">
        <f t="shared" si="3410"/>
        <v>2000</v>
      </c>
      <c r="BL995" s="570">
        <f t="shared" si="3410"/>
        <v>1000</v>
      </c>
      <c r="BM995" s="570">
        <f t="shared" si="3410"/>
        <v>0</v>
      </c>
      <c r="BN995" s="570">
        <f t="shared" si="3410"/>
        <v>0</v>
      </c>
      <c r="BO995" s="570">
        <f t="shared" si="3410"/>
        <v>0</v>
      </c>
      <c r="BP995" s="570">
        <f t="shared" si="3410"/>
        <v>0</v>
      </c>
      <c r="BQ995" s="570">
        <f t="shared" si="3410"/>
        <v>0</v>
      </c>
      <c r="BR995" s="570">
        <f t="shared" si="3410"/>
        <v>0</v>
      </c>
      <c r="BS995" s="570">
        <f t="shared" si="3410"/>
        <v>0</v>
      </c>
      <c r="BT995" s="570">
        <f t="shared" si="3410"/>
        <v>0</v>
      </c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364"/>
        <v>3.3333333333333335</v>
      </c>
      <c r="CA995" s="373">
        <f t="shared" si="3365"/>
        <v>43.333333333333336</v>
      </c>
      <c r="CB995" s="373">
        <f t="shared" si="3366"/>
        <v>418</v>
      </c>
      <c r="CC995" s="373">
        <f t="shared" si="3367"/>
        <v>300</v>
      </c>
      <c r="CD995" s="1109">
        <f t="shared" si="3368"/>
        <v>0</v>
      </c>
      <c r="CE995" s="1110">
        <f t="shared" si="3368"/>
        <v>0</v>
      </c>
      <c r="CF995" s="1111">
        <f t="shared" si="3368"/>
        <v>0</v>
      </c>
      <c r="CG995" s="1111">
        <f t="shared" si="3368"/>
        <v>0</v>
      </c>
      <c r="CH995" s="1111">
        <f t="shared" si="3368"/>
        <v>0</v>
      </c>
      <c r="CI995" s="1111">
        <f t="shared" si="3368"/>
        <v>0</v>
      </c>
      <c r="CJ995" s="1111">
        <f t="shared" si="3368"/>
        <v>0</v>
      </c>
      <c r="CK995" s="1112">
        <f t="shared" si="3368"/>
        <v>0</v>
      </c>
      <c r="CL995" s="1112">
        <f t="shared" si="3368"/>
        <v>0</v>
      </c>
      <c r="CM995" s="1112">
        <f t="shared" si="3368"/>
        <v>0</v>
      </c>
      <c r="CN995" s="1111">
        <f t="shared" si="3368"/>
        <v>0</v>
      </c>
      <c r="CO995" s="1111">
        <f t="shared" si="3368"/>
        <v>0</v>
      </c>
      <c r="CP995" s="1111">
        <f t="shared" si="3368"/>
        <v>0</v>
      </c>
      <c r="CQ995" s="1111">
        <f t="shared" si="3368"/>
        <v>0</v>
      </c>
      <c r="CR995" s="1111">
        <f t="shared" si="3368"/>
        <v>0</v>
      </c>
      <c r="CS995" s="1110">
        <f t="shared" si="3368"/>
        <v>50</v>
      </c>
      <c r="CT995" s="1113">
        <f t="shared" si="3369"/>
        <v>50</v>
      </c>
      <c r="CU995" s="1201">
        <f t="shared" si="3370"/>
        <v>0</v>
      </c>
      <c r="CV995" s="1141">
        <f t="shared" si="3370"/>
        <v>0</v>
      </c>
      <c r="CW995" s="1142">
        <f t="shared" si="3370"/>
        <v>0</v>
      </c>
      <c r="CX995" s="1142">
        <f t="shared" si="3370"/>
        <v>0</v>
      </c>
      <c r="CY995" s="1142">
        <f t="shared" si="3370"/>
        <v>0</v>
      </c>
      <c r="CZ995" s="1142">
        <f t="shared" si="3370"/>
        <v>0</v>
      </c>
      <c r="DA995" s="1142">
        <f t="shared" si="3370"/>
        <v>0</v>
      </c>
      <c r="DB995" s="1143">
        <f t="shared" si="3370"/>
        <v>0</v>
      </c>
      <c r="DC995" s="1143">
        <f t="shared" si="3370"/>
        <v>0</v>
      </c>
      <c r="DD995" s="1143">
        <f t="shared" si="3370"/>
        <v>0</v>
      </c>
      <c r="DE995" s="1142">
        <f t="shared" si="3370"/>
        <v>0</v>
      </c>
      <c r="DF995" s="1142">
        <f t="shared" si="3370"/>
        <v>0</v>
      </c>
      <c r="DG995" s="1142">
        <f t="shared" si="3370"/>
        <v>100</v>
      </c>
      <c r="DH995" s="1142">
        <f t="shared" si="3370"/>
        <v>100</v>
      </c>
      <c r="DI995" s="1142">
        <f t="shared" si="3370"/>
        <v>150</v>
      </c>
      <c r="DJ995" s="1141">
        <f t="shared" si="3370"/>
        <v>300</v>
      </c>
      <c r="DK995" s="1201">
        <f t="shared" si="3371"/>
        <v>410</v>
      </c>
      <c r="DL995" s="428">
        <f t="shared" si="3372"/>
        <v>17</v>
      </c>
      <c r="DM995" s="66">
        <f t="shared" si="3373"/>
        <v>17</v>
      </c>
      <c r="DN995" s="66">
        <f t="shared" si="3374"/>
        <v>17</v>
      </c>
      <c r="DO995" s="66">
        <f t="shared" si="3375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>SUM(B803)</f>
        <v>0</v>
      </c>
      <c r="C996" s="570">
        <f t="shared" ref="C996:R996" si="3411">SUM(C803)</f>
        <v>0</v>
      </c>
      <c r="D996" s="570">
        <f t="shared" si="3411"/>
        <v>0</v>
      </c>
      <c r="E996" s="570">
        <f t="shared" si="3411"/>
        <v>0</v>
      </c>
      <c r="F996" s="570">
        <f t="shared" si="3411"/>
        <v>100</v>
      </c>
      <c r="G996" s="570">
        <f t="shared" si="3411"/>
        <v>0</v>
      </c>
      <c r="H996" s="570">
        <f t="shared" si="3411"/>
        <v>0</v>
      </c>
      <c r="I996" s="570">
        <f t="shared" si="3411"/>
        <v>0</v>
      </c>
      <c r="J996" s="570">
        <f t="shared" si="3411"/>
        <v>0</v>
      </c>
      <c r="K996" s="570">
        <f t="shared" si="3411"/>
        <v>0</v>
      </c>
      <c r="L996" s="570">
        <f t="shared" si="3411"/>
        <v>0</v>
      </c>
      <c r="M996" s="570">
        <f t="shared" si="3411"/>
        <v>0</v>
      </c>
      <c r="N996" s="570">
        <f t="shared" si="3411"/>
        <v>0</v>
      </c>
      <c r="O996" s="570">
        <f t="shared" si="3411"/>
        <v>0</v>
      </c>
      <c r="P996" s="570">
        <f t="shared" si="3411"/>
        <v>0</v>
      </c>
      <c r="Q996" s="570">
        <f t="shared" si="3411"/>
        <v>0</v>
      </c>
      <c r="R996" s="570">
        <f t="shared" si="3411"/>
        <v>0</v>
      </c>
      <c r="S996" s="569"/>
      <c r="T996" s="570">
        <f>SUM(T803)</f>
        <v>0</v>
      </c>
      <c r="U996" s="570">
        <f t="shared" ref="U996:AJ996" si="3412">SUM(U803)</f>
        <v>0</v>
      </c>
      <c r="V996" s="570">
        <f t="shared" si="3412"/>
        <v>0</v>
      </c>
      <c r="W996" s="570">
        <f t="shared" si="3412"/>
        <v>0</v>
      </c>
      <c r="X996" s="570">
        <f t="shared" si="3412"/>
        <v>0</v>
      </c>
      <c r="Y996" s="570">
        <f t="shared" si="3412"/>
        <v>0</v>
      </c>
      <c r="Z996" s="570">
        <f t="shared" si="3412"/>
        <v>0</v>
      </c>
      <c r="AA996" s="570">
        <f t="shared" si="3412"/>
        <v>0</v>
      </c>
      <c r="AB996" s="570">
        <f t="shared" si="3412"/>
        <v>0</v>
      </c>
      <c r="AC996" s="570">
        <f t="shared" si="3412"/>
        <v>0</v>
      </c>
      <c r="AD996" s="570">
        <f t="shared" si="3412"/>
        <v>0</v>
      </c>
      <c r="AE996" s="570">
        <f t="shared" si="3412"/>
        <v>0</v>
      </c>
      <c r="AF996" s="570">
        <f t="shared" si="3412"/>
        <v>0</v>
      </c>
      <c r="AG996" s="570">
        <f t="shared" si="3412"/>
        <v>0</v>
      </c>
      <c r="AH996" s="570">
        <f t="shared" si="3412"/>
        <v>0</v>
      </c>
      <c r="AI996" s="570">
        <f t="shared" si="3412"/>
        <v>0</v>
      </c>
      <c r="AJ996" s="570">
        <f t="shared" si="3412"/>
        <v>0</v>
      </c>
      <c r="AK996" s="569"/>
      <c r="AL996" s="570">
        <f>SUM(AL803)</f>
        <v>0</v>
      </c>
      <c r="AM996" s="570">
        <f t="shared" ref="AM996:BB996" si="3413">SUM(AM803)</f>
        <v>20</v>
      </c>
      <c r="AN996" s="570">
        <f t="shared" si="3413"/>
        <v>150</v>
      </c>
      <c r="AO996" s="570">
        <f t="shared" si="3413"/>
        <v>0</v>
      </c>
      <c r="AP996" s="570">
        <f t="shared" si="3413"/>
        <v>0</v>
      </c>
      <c r="AQ996" s="570">
        <f t="shared" si="3413"/>
        <v>0</v>
      </c>
      <c r="AR996" s="570">
        <f t="shared" si="3413"/>
        <v>0</v>
      </c>
      <c r="AS996" s="570">
        <f t="shared" si="3413"/>
        <v>0</v>
      </c>
      <c r="AT996" s="570">
        <f t="shared" si="3413"/>
        <v>0</v>
      </c>
      <c r="AU996" s="570">
        <f t="shared" si="3413"/>
        <v>0</v>
      </c>
      <c r="AV996" s="570">
        <f t="shared" si="3413"/>
        <v>0</v>
      </c>
      <c r="AW996" s="570">
        <f t="shared" si="3413"/>
        <v>0</v>
      </c>
      <c r="AX996" s="570">
        <f t="shared" si="3413"/>
        <v>0</v>
      </c>
      <c r="AY996" s="570">
        <f t="shared" si="3413"/>
        <v>0</v>
      </c>
      <c r="AZ996" s="570">
        <f t="shared" si="3413"/>
        <v>0</v>
      </c>
      <c r="BA996" s="570">
        <f t="shared" si="3413"/>
        <v>0</v>
      </c>
      <c r="BB996" s="570">
        <f t="shared" si="3413"/>
        <v>0</v>
      </c>
      <c r="BC996" s="569"/>
      <c r="BD996" s="570">
        <f>SUM(BD803)</f>
        <v>0</v>
      </c>
      <c r="BE996" s="570">
        <f t="shared" ref="BE996:BT996" si="3414">SUM(BE803)</f>
        <v>0</v>
      </c>
      <c r="BF996" s="570">
        <f t="shared" si="3414"/>
        <v>0</v>
      </c>
      <c r="BG996" s="570">
        <f t="shared" si="3414"/>
        <v>0</v>
      </c>
      <c r="BH996" s="570">
        <f t="shared" si="3414"/>
        <v>0</v>
      </c>
      <c r="BI996" s="570">
        <f t="shared" si="3414"/>
        <v>0</v>
      </c>
      <c r="BJ996" s="570">
        <f t="shared" si="3414"/>
        <v>0</v>
      </c>
      <c r="BK996" s="570">
        <f t="shared" si="3414"/>
        <v>0</v>
      </c>
      <c r="BL996" s="570">
        <f t="shared" si="3414"/>
        <v>0</v>
      </c>
      <c r="BM996" s="570">
        <f t="shared" si="3414"/>
        <v>0</v>
      </c>
      <c r="BN996" s="570">
        <f t="shared" si="3414"/>
        <v>0</v>
      </c>
      <c r="BO996" s="570">
        <f t="shared" si="3414"/>
        <v>0</v>
      </c>
      <c r="BP996" s="570">
        <f t="shared" si="3414"/>
        <v>0</v>
      </c>
      <c r="BQ996" s="570">
        <f t="shared" si="3414"/>
        <v>0</v>
      </c>
      <c r="BR996" s="570">
        <f t="shared" si="3414"/>
        <v>0</v>
      </c>
      <c r="BS996" s="570">
        <f t="shared" si="3414"/>
        <v>0</v>
      </c>
      <c r="BT996" s="570">
        <f t="shared" si="3414"/>
        <v>0</v>
      </c>
      <c r="BU996" s="569"/>
      <c r="BV996" s="570">
        <f>SUM(BV803)</f>
        <v>0</v>
      </c>
      <c r="BW996" s="570">
        <f>SUM(BW803)</f>
        <v>0</v>
      </c>
      <c r="BX996" s="570">
        <f>SUM(BX803)</f>
        <v>0</v>
      </c>
      <c r="BY996" s="570">
        <f>SUM(BY803)</f>
        <v>0</v>
      </c>
      <c r="BZ996" s="373">
        <f t="shared" si="3364"/>
        <v>0</v>
      </c>
      <c r="CA996" s="373">
        <f t="shared" si="3365"/>
        <v>0</v>
      </c>
      <c r="CB996" s="373">
        <f t="shared" si="3366"/>
        <v>1.3333333333333333</v>
      </c>
      <c r="CC996" s="373">
        <f t="shared" si="3367"/>
        <v>0</v>
      </c>
      <c r="CD996" s="1109">
        <f t="shared" si="3368"/>
        <v>0</v>
      </c>
      <c r="CE996" s="1110">
        <f t="shared" si="3368"/>
        <v>0</v>
      </c>
      <c r="CF996" s="1111">
        <f t="shared" si="3368"/>
        <v>0</v>
      </c>
      <c r="CG996" s="1111">
        <f t="shared" si="3368"/>
        <v>0</v>
      </c>
      <c r="CH996" s="1111">
        <f t="shared" si="3368"/>
        <v>0</v>
      </c>
      <c r="CI996" s="1111">
        <f t="shared" si="3368"/>
        <v>0</v>
      </c>
      <c r="CJ996" s="1111">
        <f t="shared" si="3368"/>
        <v>0</v>
      </c>
      <c r="CK996" s="1112">
        <f t="shared" si="3368"/>
        <v>0</v>
      </c>
      <c r="CL996" s="1112">
        <f t="shared" si="3368"/>
        <v>0</v>
      </c>
      <c r="CM996" s="1112">
        <f t="shared" si="3368"/>
        <v>0</v>
      </c>
      <c r="CN996" s="1111">
        <f t="shared" si="3368"/>
        <v>0</v>
      </c>
      <c r="CO996" s="1111">
        <f t="shared" si="3368"/>
        <v>0</v>
      </c>
      <c r="CP996" s="1111">
        <f t="shared" si="3368"/>
        <v>0</v>
      </c>
      <c r="CQ996" s="1111">
        <f t="shared" si="3368"/>
        <v>0</v>
      </c>
      <c r="CR996" s="1111">
        <f t="shared" si="3368"/>
        <v>0</v>
      </c>
      <c r="CS996" s="1110">
        <f t="shared" si="3368"/>
        <v>0</v>
      </c>
      <c r="CT996" s="1113">
        <f t="shared" si="3369"/>
        <v>100</v>
      </c>
      <c r="CU996" s="1201">
        <f t="shared" si="3370"/>
        <v>0</v>
      </c>
      <c r="CV996" s="1141">
        <f t="shared" si="3370"/>
        <v>0</v>
      </c>
      <c r="CW996" s="1142">
        <f t="shared" si="3370"/>
        <v>0</v>
      </c>
      <c r="CX996" s="1142">
        <f t="shared" si="3370"/>
        <v>0</v>
      </c>
      <c r="CY996" s="1142">
        <f t="shared" si="3370"/>
        <v>0</v>
      </c>
      <c r="CZ996" s="1142">
        <f t="shared" si="3370"/>
        <v>0</v>
      </c>
      <c r="DA996" s="1142">
        <f t="shared" si="3370"/>
        <v>0</v>
      </c>
      <c r="DB996" s="1143">
        <f t="shared" si="3370"/>
        <v>0</v>
      </c>
      <c r="DC996" s="1143">
        <f t="shared" si="3370"/>
        <v>0</v>
      </c>
      <c r="DD996" s="1143">
        <f t="shared" si="3370"/>
        <v>0</v>
      </c>
      <c r="DE996" s="1142">
        <f t="shared" si="3370"/>
        <v>0</v>
      </c>
      <c r="DF996" s="1142">
        <f t="shared" si="3370"/>
        <v>0</v>
      </c>
      <c r="DG996" s="1142">
        <f t="shared" si="3370"/>
        <v>0</v>
      </c>
      <c r="DH996" s="1142">
        <f t="shared" si="3370"/>
        <v>0</v>
      </c>
      <c r="DI996" s="1142">
        <f t="shared" si="3370"/>
        <v>0</v>
      </c>
      <c r="DJ996" s="1141">
        <f t="shared" si="3370"/>
        <v>0</v>
      </c>
      <c r="DK996" s="1201">
        <f t="shared" si="3371"/>
        <v>0</v>
      </c>
      <c r="DL996" s="428">
        <f t="shared" si="3372"/>
        <v>17</v>
      </c>
      <c r="DM996" s="66">
        <f t="shared" si="3373"/>
        <v>17</v>
      </c>
      <c r="DN996" s="66">
        <f t="shared" si="3374"/>
        <v>17</v>
      </c>
      <c r="DO996" s="66">
        <f t="shared" si="3375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>SUM(B801,B802)</f>
        <v>101</v>
      </c>
      <c r="C997" s="570">
        <f t="shared" ref="C997:R997" si="3415">SUM(C801,C802)</f>
        <v>1068</v>
      </c>
      <c r="D997" s="570">
        <f t="shared" si="3415"/>
        <v>222</v>
      </c>
      <c r="E997" s="570">
        <f t="shared" si="3415"/>
        <v>213</v>
      </c>
      <c r="F997" s="570">
        <f t="shared" si="3415"/>
        <v>192</v>
      </c>
      <c r="G997" s="570">
        <f t="shared" si="3415"/>
        <v>360</v>
      </c>
      <c r="H997" s="570">
        <f t="shared" si="3415"/>
        <v>4</v>
      </c>
      <c r="I997" s="570">
        <f t="shared" si="3415"/>
        <v>10</v>
      </c>
      <c r="J997" s="570">
        <f t="shared" si="3415"/>
        <v>240</v>
      </c>
      <c r="K997" s="570">
        <f t="shared" si="3415"/>
        <v>0</v>
      </c>
      <c r="L997" s="570">
        <f t="shared" si="3415"/>
        <v>0</v>
      </c>
      <c r="M997" s="570">
        <f t="shared" si="3415"/>
        <v>0</v>
      </c>
      <c r="N997" s="570">
        <f t="shared" si="3415"/>
        <v>0</v>
      </c>
      <c r="O997" s="570">
        <f t="shared" si="3415"/>
        <v>0</v>
      </c>
      <c r="P997" s="570">
        <f t="shared" si="3415"/>
        <v>0</v>
      </c>
      <c r="Q997" s="570">
        <f t="shared" si="3415"/>
        <v>0</v>
      </c>
      <c r="R997" s="570">
        <f t="shared" si="3415"/>
        <v>0</v>
      </c>
      <c r="S997" s="569"/>
      <c r="T997" s="570">
        <f>SUM(T801,T802)</f>
        <v>78</v>
      </c>
      <c r="U997" s="570">
        <f t="shared" ref="U997:AJ997" si="3416">SUM(U801,U802)</f>
        <v>120</v>
      </c>
      <c r="V997" s="570">
        <f t="shared" si="3416"/>
        <v>150</v>
      </c>
      <c r="W997" s="570">
        <f t="shared" si="3416"/>
        <v>392</v>
      </c>
      <c r="X997" s="570">
        <f t="shared" si="3416"/>
        <v>160</v>
      </c>
      <c r="Y997" s="570">
        <f t="shared" si="3416"/>
        <v>0</v>
      </c>
      <c r="Z997" s="570">
        <f t="shared" si="3416"/>
        <v>260</v>
      </c>
      <c r="AA997" s="570">
        <f t="shared" si="3416"/>
        <v>476</v>
      </c>
      <c r="AB997" s="570">
        <f t="shared" si="3416"/>
        <v>892</v>
      </c>
      <c r="AC997" s="570">
        <f t="shared" si="3416"/>
        <v>0</v>
      </c>
      <c r="AD997" s="570">
        <f t="shared" si="3416"/>
        <v>0</v>
      </c>
      <c r="AE997" s="570">
        <f t="shared" si="3416"/>
        <v>0</v>
      </c>
      <c r="AF997" s="570">
        <f t="shared" si="3416"/>
        <v>0</v>
      </c>
      <c r="AG997" s="570">
        <f t="shared" si="3416"/>
        <v>0</v>
      </c>
      <c r="AH997" s="570">
        <f t="shared" si="3416"/>
        <v>0</v>
      </c>
      <c r="AI997" s="570">
        <f t="shared" si="3416"/>
        <v>0</v>
      </c>
      <c r="AJ997" s="570">
        <f t="shared" si="3416"/>
        <v>0</v>
      </c>
      <c r="AK997" s="569"/>
      <c r="AL997" s="570">
        <f>SUM(AL801,AL802)</f>
        <v>599</v>
      </c>
      <c r="AM997" s="570">
        <f t="shared" ref="AM997:BB997" si="3417">SUM(AM801,AM802)</f>
        <v>260</v>
      </c>
      <c r="AN997" s="570">
        <f t="shared" si="3417"/>
        <v>480</v>
      </c>
      <c r="AO997" s="570">
        <f t="shared" si="3417"/>
        <v>2076</v>
      </c>
      <c r="AP997" s="570">
        <f t="shared" si="3417"/>
        <v>2840</v>
      </c>
      <c r="AQ997" s="570">
        <f t="shared" si="3417"/>
        <v>750</v>
      </c>
      <c r="AR997" s="570">
        <f t="shared" si="3417"/>
        <v>2280</v>
      </c>
      <c r="AS997" s="570">
        <f t="shared" si="3417"/>
        <v>4560</v>
      </c>
      <c r="AT997" s="570">
        <f t="shared" si="3417"/>
        <v>2772</v>
      </c>
      <c r="AU997" s="570">
        <f t="shared" si="3417"/>
        <v>0</v>
      </c>
      <c r="AV997" s="570">
        <f t="shared" si="3417"/>
        <v>0</v>
      </c>
      <c r="AW997" s="570">
        <f t="shared" si="3417"/>
        <v>0</v>
      </c>
      <c r="AX997" s="570">
        <f t="shared" si="3417"/>
        <v>0</v>
      </c>
      <c r="AY997" s="570">
        <f t="shared" si="3417"/>
        <v>0</v>
      </c>
      <c r="AZ997" s="570">
        <f t="shared" si="3417"/>
        <v>0</v>
      </c>
      <c r="BA997" s="570">
        <f t="shared" si="3417"/>
        <v>0</v>
      </c>
      <c r="BB997" s="570">
        <f t="shared" si="3417"/>
        <v>0</v>
      </c>
      <c r="BC997" s="569"/>
      <c r="BD997" s="570">
        <f>SUM(BD801,BD802)</f>
        <v>4200</v>
      </c>
      <c r="BE997" s="570">
        <f t="shared" ref="BE997:BT997" si="3418">SUM(BE801,BE802)</f>
        <v>660</v>
      </c>
      <c r="BF997" s="570">
        <f t="shared" si="3418"/>
        <v>540</v>
      </c>
      <c r="BG997" s="570">
        <f t="shared" si="3418"/>
        <v>5040</v>
      </c>
      <c r="BH997" s="570">
        <f t="shared" si="3418"/>
        <v>3000</v>
      </c>
      <c r="BI997" s="570">
        <f t="shared" si="3418"/>
        <v>1520</v>
      </c>
      <c r="BJ997" s="570">
        <f t="shared" si="3418"/>
        <v>5400</v>
      </c>
      <c r="BK997" s="570">
        <f t="shared" si="3418"/>
        <v>988</v>
      </c>
      <c r="BL997" s="570">
        <f t="shared" si="3418"/>
        <v>4560</v>
      </c>
      <c r="BM997" s="570">
        <f t="shared" si="3418"/>
        <v>0</v>
      </c>
      <c r="BN997" s="570">
        <f t="shared" si="3418"/>
        <v>0</v>
      </c>
      <c r="BO997" s="570">
        <f t="shared" si="3418"/>
        <v>0</v>
      </c>
      <c r="BP997" s="570">
        <f t="shared" si="3418"/>
        <v>0</v>
      </c>
      <c r="BQ997" s="570">
        <f t="shared" si="3418"/>
        <v>0</v>
      </c>
      <c r="BR997" s="570">
        <f t="shared" si="3418"/>
        <v>0</v>
      </c>
      <c r="BS997" s="570">
        <f t="shared" si="3418"/>
        <v>0</v>
      </c>
      <c r="BT997" s="570">
        <f t="shared" si="3418"/>
        <v>0</v>
      </c>
      <c r="BU997" s="569"/>
      <c r="BV997" s="570">
        <f>SUM(BV801,BV802)</f>
        <v>0</v>
      </c>
      <c r="BW997" s="570">
        <f>SUM(BW801,BW802)</f>
        <v>0</v>
      </c>
      <c r="BX997" s="570">
        <f>SUM(BX801,BX802)</f>
        <v>0</v>
      </c>
      <c r="BY997" s="570">
        <f>SUM(BY801,BY802)</f>
        <v>0</v>
      </c>
      <c r="BZ997" s="373">
        <f t="shared" si="3364"/>
        <v>89.466666666666669</v>
      </c>
      <c r="CA997" s="373">
        <f t="shared" si="3365"/>
        <v>109.06666666666666</v>
      </c>
      <c r="CB997" s="373">
        <f t="shared" si="3366"/>
        <v>803.8</v>
      </c>
      <c r="CC997" s="373">
        <f t="shared" si="3367"/>
        <v>1367.2</v>
      </c>
      <c r="CD997" s="1109">
        <f t="shared" si="3368"/>
        <v>0</v>
      </c>
      <c r="CE997" s="1110">
        <f t="shared" si="3368"/>
        <v>0</v>
      </c>
      <c r="CF997" s="1111">
        <f t="shared" si="3368"/>
        <v>0</v>
      </c>
      <c r="CG997" s="1111">
        <f t="shared" si="3368"/>
        <v>0</v>
      </c>
      <c r="CH997" s="1111">
        <f t="shared" si="3368"/>
        <v>0</v>
      </c>
      <c r="CI997" s="1111">
        <f t="shared" si="3368"/>
        <v>0</v>
      </c>
      <c r="CJ997" s="1111">
        <f t="shared" si="3368"/>
        <v>0</v>
      </c>
      <c r="CK997" s="1112">
        <f t="shared" si="3368"/>
        <v>0</v>
      </c>
      <c r="CL997" s="1112">
        <f t="shared" si="3368"/>
        <v>4</v>
      </c>
      <c r="CM997" s="1112">
        <f t="shared" si="3368"/>
        <v>10</v>
      </c>
      <c r="CN997" s="1111">
        <f t="shared" si="3368"/>
        <v>101</v>
      </c>
      <c r="CO997" s="1111">
        <f t="shared" si="3368"/>
        <v>192</v>
      </c>
      <c r="CP997" s="1111">
        <f t="shared" si="3368"/>
        <v>213</v>
      </c>
      <c r="CQ997" s="1111">
        <f t="shared" si="3368"/>
        <v>222</v>
      </c>
      <c r="CR997" s="1111">
        <f t="shared" si="3368"/>
        <v>240</v>
      </c>
      <c r="CS997" s="1110">
        <f t="shared" si="3368"/>
        <v>360</v>
      </c>
      <c r="CT997" s="1113">
        <f t="shared" si="3369"/>
        <v>1068</v>
      </c>
      <c r="CU997" s="1201">
        <f t="shared" si="3370"/>
        <v>0</v>
      </c>
      <c r="CV997" s="1141">
        <f t="shared" si="3370"/>
        <v>0</v>
      </c>
      <c r="CW997" s="1142">
        <f t="shared" si="3370"/>
        <v>0</v>
      </c>
      <c r="CX997" s="1142">
        <f t="shared" si="3370"/>
        <v>0</v>
      </c>
      <c r="CY997" s="1142">
        <f t="shared" si="3370"/>
        <v>0</v>
      </c>
      <c r="CZ997" s="1142">
        <f t="shared" si="3370"/>
        <v>0</v>
      </c>
      <c r="DA997" s="1142">
        <f t="shared" si="3370"/>
        <v>0</v>
      </c>
      <c r="DB997" s="1143">
        <f t="shared" si="3370"/>
        <v>0</v>
      </c>
      <c r="DC997" s="1143">
        <f t="shared" si="3370"/>
        <v>0</v>
      </c>
      <c r="DD997" s="1143">
        <f t="shared" si="3370"/>
        <v>78</v>
      </c>
      <c r="DE997" s="1142">
        <f t="shared" si="3370"/>
        <v>120</v>
      </c>
      <c r="DF997" s="1142">
        <f t="shared" si="3370"/>
        <v>150</v>
      </c>
      <c r="DG997" s="1142">
        <f t="shared" si="3370"/>
        <v>160</v>
      </c>
      <c r="DH997" s="1142">
        <f t="shared" si="3370"/>
        <v>260</v>
      </c>
      <c r="DI997" s="1142">
        <f t="shared" si="3370"/>
        <v>392</v>
      </c>
      <c r="DJ997" s="1141">
        <f t="shared" si="3370"/>
        <v>476</v>
      </c>
      <c r="DK997" s="1201">
        <f t="shared" si="3371"/>
        <v>892</v>
      </c>
      <c r="DL997" s="428">
        <f t="shared" si="3372"/>
        <v>17</v>
      </c>
      <c r="DM997" s="66">
        <f t="shared" si="3373"/>
        <v>17</v>
      </c>
      <c r="DN997" s="66">
        <f t="shared" si="3374"/>
        <v>17</v>
      </c>
      <c r="DO997" s="66">
        <f t="shared" si="3375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>SUM(B795,B804:B805,B808:B809)</f>
        <v>2849</v>
      </c>
      <c r="C998" s="570">
        <f t="shared" ref="C998:R998" si="3419">SUM(C795,C804:C805,C808:C809)</f>
        <v>2753</v>
      </c>
      <c r="D998" s="570">
        <f t="shared" si="3419"/>
        <v>2489</v>
      </c>
      <c r="E998" s="570">
        <f t="shared" si="3419"/>
        <v>2630</v>
      </c>
      <c r="F998" s="570">
        <f t="shared" si="3419"/>
        <v>883</v>
      </c>
      <c r="G998" s="570">
        <f t="shared" si="3419"/>
        <v>995</v>
      </c>
      <c r="H998" s="570">
        <f t="shared" si="3419"/>
        <v>808</v>
      </c>
      <c r="I998" s="570">
        <f t="shared" si="3419"/>
        <v>375</v>
      </c>
      <c r="J998" s="570">
        <f t="shared" si="3419"/>
        <v>409</v>
      </c>
      <c r="K998" s="570">
        <f t="shared" si="3419"/>
        <v>0</v>
      </c>
      <c r="L998" s="570">
        <f t="shared" si="3419"/>
        <v>0</v>
      </c>
      <c r="M998" s="570">
        <f t="shared" si="3419"/>
        <v>0</v>
      </c>
      <c r="N998" s="570">
        <f t="shared" si="3419"/>
        <v>0</v>
      </c>
      <c r="O998" s="570">
        <f t="shared" si="3419"/>
        <v>0</v>
      </c>
      <c r="P998" s="570">
        <f t="shared" si="3419"/>
        <v>0</v>
      </c>
      <c r="Q998" s="570">
        <f t="shared" si="3419"/>
        <v>0</v>
      </c>
      <c r="R998" s="570">
        <f t="shared" si="3419"/>
        <v>0</v>
      </c>
      <c r="S998" s="569"/>
      <c r="T998" s="570">
        <f>SUM(T795,T804:T805,T808:T809)</f>
        <v>6652</v>
      </c>
      <c r="U998" s="570">
        <f t="shared" ref="U998:AJ998" si="3420">SUM(U795,U804:U805,U808:U809)</f>
        <v>633</v>
      </c>
      <c r="V998" s="570">
        <f t="shared" si="3420"/>
        <v>1795</v>
      </c>
      <c r="W998" s="570">
        <f t="shared" si="3420"/>
        <v>1054</v>
      </c>
      <c r="X998" s="570">
        <f t="shared" si="3420"/>
        <v>1076</v>
      </c>
      <c r="Y998" s="570">
        <f t="shared" si="3420"/>
        <v>176</v>
      </c>
      <c r="Z998" s="570">
        <f t="shared" si="3420"/>
        <v>859</v>
      </c>
      <c r="AA998" s="570">
        <f t="shared" si="3420"/>
        <v>151</v>
      </c>
      <c r="AB998" s="570">
        <f t="shared" si="3420"/>
        <v>488</v>
      </c>
      <c r="AC998" s="570">
        <f t="shared" si="3420"/>
        <v>0</v>
      </c>
      <c r="AD998" s="570">
        <f t="shared" si="3420"/>
        <v>0</v>
      </c>
      <c r="AE998" s="570">
        <f t="shared" si="3420"/>
        <v>0</v>
      </c>
      <c r="AF998" s="570">
        <f t="shared" si="3420"/>
        <v>0</v>
      </c>
      <c r="AG998" s="570">
        <f t="shared" si="3420"/>
        <v>0</v>
      </c>
      <c r="AH998" s="570">
        <f t="shared" si="3420"/>
        <v>0</v>
      </c>
      <c r="AI998" s="570">
        <f t="shared" si="3420"/>
        <v>0</v>
      </c>
      <c r="AJ998" s="570">
        <f t="shared" si="3420"/>
        <v>0</v>
      </c>
      <c r="AK998" s="569"/>
      <c r="AL998" s="570">
        <f>SUM(AL795,AL804:AL805,AL808:AL809)</f>
        <v>5968</v>
      </c>
      <c r="AM998" s="570">
        <f t="shared" ref="AM998:BB998" si="3421">SUM(AM795,AM804:AM805,AM808:AM809)</f>
        <v>1206</v>
      </c>
      <c r="AN998" s="570">
        <f t="shared" si="3421"/>
        <v>4786</v>
      </c>
      <c r="AO998" s="570">
        <f t="shared" si="3421"/>
        <v>8888</v>
      </c>
      <c r="AP998" s="570">
        <f t="shared" si="3421"/>
        <v>18050</v>
      </c>
      <c r="AQ998" s="570">
        <f t="shared" si="3421"/>
        <v>11368</v>
      </c>
      <c r="AR998" s="570">
        <f t="shared" si="3421"/>
        <v>4469</v>
      </c>
      <c r="AS998" s="570">
        <f t="shared" si="3421"/>
        <v>13878</v>
      </c>
      <c r="AT998" s="570">
        <f t="shared" si="3421"/>
        <v>22610</v>
      </c>
      <c r="AU998" s="570">
        <f t="shared" si="3421"/>
        <v>0</v>
      </c>
      <c r="AV998" s="570">
        <f t="shared" si="3421"/>
        <v>0</v>
      </c>
      <c r="AW998" s="570">
        <f t="shared" si="3421"/>
        <v>0</v>
      </c>
      <c r="AX998" s="570">
        <f t="shared" si="3421"/>
        <v>0</v>
      </c>
      <c r="AY998" s="570">
        <f t="shared" si="3421"/>
        <v>0</v>
      </c>
      <c r="AZ998" s="570">
        <f t="shared" si="3421"/>
        <v>0</v>
      </c>
      <c r="BA998" s="570">
        <f t="shared" si="3421"/>
        <v>0</v>
      </c>
      <c r="BB998" s="570">
        <f t="shared" si="3421"/>
        <v>0</v>
      </c>
      <c r="BC998" s="569"/>
      <c r="BD998" s="570">
        <f>SUM(BD795,BD804:BD805,BD808:BD809)</f>
        <v>15169</v>
      </c>
      <c r="BE998" s="570">
        <f t="shared" ref="BE998:BT998" si="3422">SUM(BE795,BE804:BE805,BE808:BE809)</f>
        <v>12958</v>
      </c>
      <c r="BF998" s="570">
        <f t="shared" si="3422"/>
        <v>22844</v>
      </c>
      <c r="BG998" s="570">
        <f t="shared" si="3422"/>
        <v>30844</v>
      </c>
      <c r="BH998" s="570">
        <f t="shared" si="3422"/>
        <v>8055</v>
      </c>
      <c r="BI998" s="570">
        <f t="shared" si="3422"/>
        <v>10787</v>
      </c>
      <c r="BJ998" s="570">
        <f t="shared" si="3422"/>
        <v>29613</v>
      </c>
      <c r="BK998" s="570">
        <f t="shared" si="3422"/>
        <v>6335</v>
      </c>
      <c r="BL998" s="570">
        <f t="shared" si="3422"/>
        <v>8882</v>
      </c>
      <c r="BM998" s="570">
        <f t="shared" si="3422"/>
        <v>0</v>
      </c>
      <c r="BN998" s="570">
        <f t="shared" si="3422"/>
        <v>0</v>
      </c>
      <c r="BO998" s="570">
        <f t="shared" si="3422"/>
        <v>0</v>
      </c>
      <c r="BP998" s="570">
        <f t="shared" si="3422"/>
        <v>0</v>
      </c>
      <c r="BQ998" s="570">
        <f t="shared" si="3422"/>
        <v>0</v>
      </c>
      <c r="BR998" s="570">
        <f t="shared" si="3422"/>
        <v>0</v>
      </c>
      <c r="BS998" s="570">
        <f t="shared" si="3422"/>
        <v>0</v>
      </c>
      <c r="BT998" s="570">
        <f t="shared" si="3422"/>
        <v>0</v>
      </c>
      <c r="BU998" s="569"/>
      <c r="BV998" s="570">
        <f>SUM(BV795,BV804:BV805,BV808:BV809)</f>
        <v>0</v>
      </c>
      <c r="BW998" s="570">
        <f t="shared" ref="BW998:BY998" si="3423">SUM(BW795,BW804:BW805,BW808:BW809)</f>
        <v>0</v>
      </c>
      <c r="BX998" s="570">
        <f t="shared" si="3423"/>
        <v>0</v>
      </c>
      <c r="BY998" s="570">
        <f t="shared" si="3423"/>
        <v>0</v>
      </c>
      <c r="BZ998" s="373">
        <f t="shared" si="3364"/>
        <v>756.13333333333333</v>
      </c>
      <c r="CA998" s="373">
        <f t="shared" si="3365"/>
        <v>415.46666666666664</v>
      </c>
      <c r="CB998" s="373">
        <f t="shared" si="3366"/>
        <v>4574.2</v>
      </c>
      <c r="CC998" s="373">
        <f t="shared" si="3367"/>
        <v>7642.8666666666668</v>
      </c>
      <c r="CD998" s="1109">
        <f t="shared" si="3368"/>
        <v>0</v>
      </c>
      <c r="CE998" s="1110">
        <f t="shared" si="3368"/>
        <v>0</v>
      </c>
      <c r="CF998" s="1111">
        <f t="shared" si="3368"/>
        <v>0</v>
      </c>
      <c r="CG998" s="1111">
        <f t="shared" si="3368"/>
        <v>0</v>
      </c>
      <c r="CH998" s="1111">
        <f t="shared" si="3368"/>
        <v>0</v>
      </c>
      <c r="CI998" s="1111">
        <f t="shared" si="3368"/>
        <v>0</v>
      </c>
      <c r="CJ998" s="1111">
        <f t="shared" si="3368"/>
        <v>0</v>
      </c>
      <c r="CK998" s="1112">
        <f t="shared" si="3368"/>
        <v>0</v>
      </c>
      <c r="CL998" s="1112">
        <f t="shared" si="3368"/>
        <v>375</v>
      </c>
      <c r="CM998" s="1112">
        <f t="shared" si="3368"/>
        <v>409</v>
      </c>
      <c r="CN998" s="1111">
        <f t="shared" si="3368"/>
        <v>808</v>
      </c>
      <c r="CO998" s="1111">
        <f t="shared" si="3368"/>
        <v>883</v>
      </c>
      <c r="CP998" s="1111">
        <f t="shared" si="3368"/>
        <v>995</v>
      </c>
      <c r="CQ998" s="1111">
        <f t="shared" si="3368"/>
        <v>2489</v>
      </c>
      <c r="CR998" s="1111">
        <f t="shared" si="3368"/>
        <v>2630</v>
      </c>
      <c r="CS998" s="1110">
        <f t="shared" si="3368"/>
        <v>2753</v>
      </c>
      <c r="CT998" s="1113">
        <f t="shared" si="3369"/>
        <v>2849</v>
      </c>
      <c r="CU998" s="1201">
        <f t="shared" si="3370"/>
        <v>0</v>
      </c>
      <c r="CV998" s="1141">
        <f t="shared" si="3370"/>
        <v>0</v>
      </c>
      <c r="CW998" s="1142">
        <f t="shared" si="3370"/>
        <v>0</v>
      </c>
      <c r="CX998" s="1142">
        <f t="shared" si="3370"/>
        <v>0</v>
      </c>
      <c r="CY998" s="1142">
        <f t="shared" si="3370"/>
        <v>0</v>
      </c>
      <c r="CZ998" s="1142">
        <f t="shared" si="3370"/>
        <v>0</v>
      </c>
      <c r="DA998" s="1142">
        <f t="shared" si="3370"/>
        <v>0</v>
      </c>
      <c r="DB998" s="1143">
        <f t="shared" si="3370"/>
        <v>0</v>
      </c>
      <c r="DC998" s="1143">
        <f t="shared" si="3370"/>
        <v>151</v>
      </c>
      <c r="DD998" s="1143">
        <f t="shared" si="3370"/>
        <v>176</v>
      </c>
      <c r="DE998" s="1142">
        <f t="shared" si="3370"/>
        <v>488</v>
      </c>
      <c r="DF998" s="1142">
        <f t="shared" si="3370"/>
        <v>633</v>
      </c>
      <c r="DG998" s="1142">
        <f t="shared" si="3370"/>
        <v>859</v>
      </c>
      <c r="DH998" s="1142">
        <f t="shared" si="3370"/>
        <v>1054</v>
      </c>
      <c r="DI998" s="1142">
        <f t="shared" si="3370"/>
        <v>1076</v>
      </c>
      <c r="DJ998" s="1141">
        <f t="shared" si="3370"/>
        <v>1795</v>
      </c>
      <c r="DK998" s="1201">
        <f t="shared" si="3371"/>
        <v>6652</v>
      </c>
      <c r="DL998" s="428">
        <f t="shared" si="3372"/>
        <v>17</v>
      </c>
      <c r="DM998" s="66">
        <f t="shared" si="3373"/>
        <v>17</v>
      </c>
      <c r="DN998" s="66">
        <f t="shared" si="3374"/>
        <v>17</v>
      </c>
      <c r="DO998" s="66">
        <f t="shared" si="3375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 t="shared" ref="B999:R1000" si="3424">SUM(B806)</f>
        <v>0</v>
      </c>
      <c r="C999" s="570">
        <f t="shared" si="3424"/>
        <v>0</v>
      </c>
      <c r="D999" s="570">
        <f t="shared" si="3424"/>
        <v>0</v>
      </c>
      <c r="E999" s="570">
        <f t="shared" si="3424"/>
        <v>0</v>
      </c>
      <c r="F999" s="570">
        <f t="shared" si="3424"/>
        <v>0</v>
      </c>
      <c r="G999" s="570">
        <f t="shared" si="3424"/>
        <v>0</v>
      </c>
      <c r="H999" s="570">
        <f t="shared" si="3424"/>
        <v>0</v>
      </c>
      <c r="I999" s="570">
        <f t="shared" si="3424"/>
        <v>0</v>
      </c>
      <c r="J999" s="570">
        <f t="shared" si="3424"/>
        <v>0</v>
      </c>
      <c r="K999" s="570">
        <f t="shared" si="3424"/>
        <v>0</v>
      </c>
      <c r="L999" s="570">
        <f t="shared" si="3424"/>
        <v>0</v>
      </c>
      <c r="M999" s="570">
        <f t="shared" si="3424"/>
        <v>0</v>
      </c>
      <c r="N999" s="570">
        <f t="shared" si="3424"/>
        <v>0</v>
      </c>
      <c r="O999" s="570">
        <f t="shared" si="3424"/>
        <v>0</v>
      </c>
      <c r="P999" s="570">
        <f t="shared" si="3424"/>
        <v>0</v>
      </c>
      <c r="Q999" s="570">
        <f t="shared" si="3424"/>
        <v>0</v>
      </c>
      <c r="R999" s="570">
        <f t="shared" si="3424"/>
        <v>0</v>
      </c>
      <c r="S999" s="569"/>
      <c r="T999" s="570">
        <f t="shared" ref="T999:AJ1000" si="3425">SUM(T806)</f>
        <v>0</v>
      </c>
      <c r="U999" s="570">
        <f t="shared" si="3425"/>
        <v>0</v>
      </c>
      <c r="V999" s="570">
        <f t="shared" si="3425"/>
        <v>0</v>
      </c>
      <c r="W999" s="570">
        <f t="shared" si="3425"/>
        <v>0</v>
      </c>
      <c r="X999" s="570">
        <f t="shared" si="3425"/>
        <v>0</v>
      </c>
      <c r="Y999" s="570">
        <f t="shared" si="3425"/>
        <v>0</v>
      </c>
      <c r="Z999" s="570">
        <f t="shared" si="3425"/>
        <v>0</v>
      </c>
      <c r="AA999" s="570">
        <f t="shared" si="3425"/>
        <v>0</v>
      </c>
      <c r="AB999" s="570">
        <f t="shared" si="3425"/>
        <v>0</v>
      </c>
      <c r="AC999" s="570">
        <f t="shared" si="3425"/>
        <v>0</v>
      </c>
      <c r="AD999" s="570">
        <f t="shared" si="3425"/>
        <v>0</v>
      </c>
      <c r="AE999" s="570">
        <f t="shared" si="3425"/>
        <v>0</v>
      </c>
      <c r="AF999" s="570">
        <f t="shared" si="3425"/>
        <v>0</v>
      </c>
      <c r="AG999" s="570">
        <f t="shared" si="3425"/>
        <v>0</v>
      </c>
      <c r="AH999" s="570">
        <f t="shared" si="3425"/>
        <v>0</v>
      </c>
      <c r="AI999" s="570">
        <f t="shared" si="3425"/>
        <v>0</v>
      </c>
      <c r="AJ999" s="570">
        <f t="shared" si="3425"/>
        <v>0</v>
      </c>
      <c r="AK999" s="569"/>
      <c r="AL999" s="570">
        <f t="shared" ref="AL999:BB1000" si="3426">SUM(AL806)</f>
        <v>0</v>
      </c>
      <c r="AM999" s="570">
        <f t="shared" si="3426"/>
        <v>0</v>
      </c>
      <c r="AN999" s="570">
        <f t="shared" si="3426"/>
        <v>0</v>
      </c>
      <c r="AO999" s="570">
        <f t="shared" si="3426"/>
        <v>0</v>
      </c>
      <c r="AP999" s="570">
        <f t="shared" si="3426"/>
        <v>0</v>
      </c>
      <c r="AQ999" s="570">
        <f t="shared" si="3426"/>
        <v>0</v>
      </c>
      <c r="AR999" s="570">
        <f t="shared" si="3426"/>
        <v>0</v>
      </c>
      <c r="AS999" s="570">
        <f t="shared" si="3426"/>
        <v>0</v>
      </c>
      <c r="AT999" s="570">
        <f t="shared" si="3426"/>
        <v>0</v>
      </c>
      <c r="AU999" s="570">
        <f t="shared" si="3426"/>
        <v>0</v>
      </c>
      <c r="AV999" s="570">
        <f t="shared" si="3426"/>
        <v>0</v>
      </c>
      <c r="AW999" s="570">
        <f t="shared" si="3426"/>
        <v>0</v>
      </c>
      <c r="AX999" s="570">
        <f t="shared" si="3426"/>
        <v>0</v>
      </c>
      <c r="AY999" s="570">
        <f t="shared" si="3426"/>
        <v>0</v>
      </c>
      <c r="AZ999" s="570">
        <f t="shared" si="3426"/>
        <v>0</v>
      </c>
      <c r="BA999" s="570">
        <f t="shared" si="3426"/>
        <v>0</v>
      </c>
      <c r="BB999" s="570">
        <f t="shared" si="3426"/>
        <v>0</v>
      </c>
      <c r="BC999" s="569"/>
      <c r="BD999" s="570">
        <f t="shared" ref="BD999:BT1000" si="3427">SUM(BD806)</f>
        <v>0</v>
      </c>
      <c r="BE999" s="570">
        <f t="shared" si="3427"/>
        <v>0</v>
      </c>
      <c r="BF999" s="570">
        <f t="shared" si="3427"/>
        <v>0</v>
      </c>
      <c r="BG999" s="570">
        <f t="shared" si="3427"/>
        <v>0</v>
      </c>
      <c r="BH999" s="570">
        <f t="shared" si="3427"/>
        <v>0</v>
      </c>
      <c r="BI999" s="570">
        <f t="shared" si="3427"/>
        <v>0</v>
      </c>
      <c r="BJ999" s="570">
        <f t="shared" si="3427"/>
        <v>0</v>
      </c>
      <c r="BK999" s="570">
        <f t="shared" si="3427"/>
        <v>0</v>
      </c>
      <c r="BL999" s="570">
        <f t="shared" si="3427"/>
        <v>0</v>
      </c>
      <c r="BM999" s="570">
        <f t="shared" si="3427"/>
        <v>0</v>
      </c>
      <c r="BN999" s="570">
        <f t="shared" si="3427"/>
        <v>0</v>
      </c>
      <c r="BO999" s="570">
        <f t="shared" si="3427"/>
        <v>0</v>
      </c>
      <c r="BP999" s="570">
        <f t="shared" si="3427"/>
        <v>0</v>
      </c>
      <c r="BQ999" s="570">
        <f t="shared" si="3427"/>
        <v>0</v>
      </c>
      <c r="BR999" s="570">
        <f t="shared" si="3427"/>
        <v>0</v>
      </c>
      <c r="BS999" s="570">
        <f t="shared" si="3427"/>
        <v>0</v>
      </c>
      <c r="BT999" s="570">
        <f t="shared" si="3427"/>
        <v>0</v>
      </c>
      <c r="BU999" s="569"/>
      <c r="BV999" s="570">
        <f t="shared" ref="BV999:BY1000" si="3428">SUM(BV806)</f>
        <v>0</v>
      </c>
      <c r="BW999" s="570">
        <f t="shared" si="3428"/>
        <v>0</v>
      </c>
      <c r="BX999" s="570">
        <f t="shared" si="3428"/>
        <v>0</v>
      </c>
      <c r="BY999" s="570">
        <f t="shared" si="3428"/>
        <v>0</v>
      </c>
      <c r="BZ999" s="373">
        <f t="shared" si="3364"/>
        <v>0</v>
      </c>
      <c r="CA999" s="373">
        <f t="shared" si="3365"/>
        <v>0</v>
      </c>
      <c r="CB999" s="373">
        <f t="shared" si="3366"/>
        <v>0</v>
      </c>
      <c r="CC999" s="373">
        <f t="shared" si="3367"/>
        <v>0</v>
      </c>
      <c r="CD999" s="1109">
        <f t="shared" si="3368"/>
        <v>0</v>
      </c>
      <c r="CE999" s="1110">
        <f t="shared" si="3368"/>
        <v>0</v>
      </c>
      <c r="CF999" s="1111">
        <f t="shared" si="3368"/>
        <v>0</v>
      </c>
      <c r="CG999" s="1111">
        <f t="shared" si="3368"/>
        <v>0</v>
      </c>
      <c r="CH999" s="1111">
        <f t="shared" si="3368"/>
        <v>0</v>
      </c>
      <c r="CI999" s="1111">
        <f t="shared" si="3368"/>
        <v>0</v>
      </c>
      <c r="CJ999" s="1111">
        <f t="shared" si="3368"/>
        <v>0</v>
      </c>
      <c r="CK999" s="1112">
        <f t="shared" si="3368"/>
        <v>0</v>
      </c>
      <c r="CL999" s="1112">
        <f t="shared" si="3368"/>
        <v>0</v>
      </c>
      <c r="CM999" s="1112">
        <f t="shared" si="3368"/>
        <v>0</v>
      </c>
      <c r="CN999" s="1111">
        <f t="shared" si="3368"/>
        <v>0</v>
      </c>
      <c r="CO999" s="1111">
        <f t="shared" si="3368"/>
        <v>0</v>
      </c>
      <c r="CP999" s="1111">
        <f t="shared" si="3368"/>
        <v>0</v>
      </c>
      <c r="CQ999" s="1111">
        <f t="shared" si="3368"/>
        <v>0</v>
      </c>
      <c r="CR999" s="1111">
        <f t="shared" si="3368"/>
        <v>0</v>
      </c>
      <c r="CS999" s="1110">
        <f t="shared" si="3368"/>
        <v>0</v>
      </c>
      <c r="CT999" s="1113">
        <f t="shared" si="3369"/>
        <v>0</v>
      </c>
      <c r="CU999" s="1201">
        <f t="shared" si="3370"/>
        <v>0</v>
      </c>
      <c r="CV999" s="1141">
        <f t="shared" si="3370"/>
        <v>0</v>
      </c>
      <c r="CW999" s="1142">
        <f t="shared" si="3370"/>
        <v>0</v>
      </c>
      <c r="CX999" s="1142">
        <f t="shared" si="3370"/>
        <v>0</v>
      </c>
      <c r="CY999" s="1142">
        <f t="shared" si="3370"/>
        <v>0</v>
      </c>
      <c r="CZ999" s="1142">
        <f t="shared" si="3370"/>
        <v>0</v>
      </c>
      <c r="DA999" s="1142">
        <f t="shared" si="3370"/>
        <v>0</v>
      </c>
      <c r="DB999" s="1143">
        <f t="shared" si="3370"/>
        <v>0</v>
      </c>
      <c r="DC999" s="1143">
        <f t="shared" si="3370"/>
        <v>0</v>
      </c>
      <c r="DD999" s="1143">
        <f t="shared" si="3370"/>
        <v>0</v>
      </c>
      <c r="DE999" s="1142">
        <f t="shared" si="3370"/>
        <v>0</v>
      </c>
      <c r="DF999" s="1142">
        <f t="shared" si="3370"/>
        <v>0</v>
      </c>
      <c r="DG999" s="1142">
        <f t="shared" si="3370"/>
        <v>0</v>
      </c>
      <c r="DH999" s="1142">
        <f t="shared" si="3370"/>
        <v>0</v>
      </c>
      <c r="DI999" s="1142">
        <f t="shared" si="3370"/>
        <v>0</v>
      </c>
      <c r="DJ999" s="1141">
        <f t="shared" si="3370"/>
        <v>0</v>
      </c>
      <c r="DK999" s="1201">
        <f t="shared" si="3371"/>
        <v>0</v>
      </c>
      <c r="DL999" s="428">
        <f t="shared" si="3372"/>
        <v>17</v>
      </c>
      <c r="DM999" s="66">
        <f t="shared" si="3373"/>
        <v>17</v>
      </c>
      <c r="DN999" s="66">
        <f t="shared" si="3374"/>
        <v>17</v>
      </c>
      <c r="DO999" s="66">
        <f t="shared" si="3375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 t="shared" si="3424"/>
        <v>0</v>
      </c>
      <c r="C1000" s="570">
        <f t="shared" si="3424"/>
        <v>0</v>
      </c>
      <c r="D1000" s="570">
        <f t="shared" si="3424"/>
        <v>0</v>
      </c>
      <c r="E1000" s="570">
        <f t="shared" si="3424"/>
        <v>0</v>
      </c>
      <c r="F1000" s="570">
        <f t="shared" si="3424"/>
        <v>0</v>
      </c>
      <c r="G1000" s="570">
        <f t="shared" si="3424"/>
        <v>0</v>
      </c>
      <c r="H1000" s="570">
        <f t="shared" si="3424"/>
        <v>0</v>
      </c>
      <c r="I1000" s="570">
        <f t="shared" si="3424"/>
        <v>0</v>
      </c>
      <c r="J1000" s="570">
        <f t="shared" si="3424"/>
        <v>0</v>
      </c>
      <c r="K1000" s="570">
        <f t="shared" si="3424"/>
        <v>0</v>
      </c>
      <c r="L1000" s="570">
        <f t="shared" si="3424"/>
        <v>0</v>
      </c>
      <c r="M1000" s="570">
        <f t="shared" si="3424"/>
        <v>0</v>
      </c>
      <c r="N1000" s="570">
        <f t="shared" si="3424"/>
        <v>0</v>
      </c>
      <c r="O1000" s="570">
        <f t="shared" si="3424"/>
        <v>0</v>
      </c>
      <c r="P1000" s="570">
        <f t="shared" si="3424"/>
        <v>0</v>
      </c>
      <c r="Q1000" s="570">
        <f t="shared" si="3424"/>
        <v>0</v>
      </c>
      <c r="R1000" s="570">
        <f t="shared" si="3424"/>
        <v>0</v>
      </c>
      <c r="S1000" s="569"/>
      <c r="T1000" s="570">
        <f t="shared" si="3425"/>
        <v>0</v>
      </c>
      <c r="U1000" s="570">
        <f t="shared" si="3425"/>
        <v>0</v>
      </c>
      <c r="V1000" s="570">
        <f t="shared" si="3425"/>
        <v>0</v>
      </c>
      <c r="W1000" s="570">
        <f t="shared" si="3425"/>
        <v>0</v>
      </c>
      <c r="X1000" s="570">
        <f t="shared" si="3425"/>
        <v>0</v>
      </c>
      <c r="Y1000" s="570">
        <f t="shared" si="3425"/>
        <v>0</v>
      </c>
      <c r="Z1000" s="570">
        <f t="shared" si="3425"/>
        <v>0</v>
      </c>
      <c r="AA1000" s="570">
        <f t="shared" si="3425"/>
        <v>0</v>
      </c>
      <c r="AB1000" s="570">
        <f t="shared" si="3425"/>
        <v>0</v>
      </c>
      <c r="AC1000" s="570">
        <f t="shared" si="3425"/>
        <v>0</v>
      </c>
      <c r="AD1000" s="570">
        <f t="shared" si="3425"/>
        <v>0</v>
      </c>
      <c r="AE1000" s="570">
        <f t="shared" si="3425"/>
        <v>0</v>
      </c>
      <c r="AF1000" s="570">
        <f t="shared" si="3425"/>
        <v>0</v>
      </c>
      <c r="AG1000" s="570">
        <f t="shared" si="3425"/>
        <v>0</v>
      </c>
      <c r="AH1000" s="570">
        <f t="shared" si="3425"/>
        <v>0</v>
      </c>
      <c r="AI1000" s="570">
        <f t="shared" si="3425"/>
        <v>0</v>
      </c>
      <c r="AJ1000" s="570">
        <f t="shared" si="3425"/>
        <v>0</v>
      </c>
      <c r="AK1000" s="569"/>
      <c r="AL1000" s="570">
        <f t="shared" si="3426"/>
        <v>0</v>
      </c>
      <c r="AM1000" s="570">
        <f t="shared" si="3426"/>
        <v>0</v>
      </c>
      <c r="AN1000" s="570">
        <f t="shared" si="3426"/>
        <v>0</v>
      </c>
      <c r="AO1000" s="570">
        <f t="shared" si="3426"/>
        <v>0</v>
      </c>
      <c r="AP1000" s="570">
        <f t="shared" si="3426"/>
        <v>0</v>
      </c>
      <c r="AQ1000" s="570">
        <f t="shared" si="3426"/>
        <v>0</v>
      </c>
      <c r="AR1000" s="570">
        <f t="shared" si="3426"/>
        <v>0</v>
      </c>
      <c r="AS1000" s="570">
        <f t="shared" si="3426"/>
        <v>0</v>
      </c>
      <c r="AT1000" s="570">
        <f t="shared" si="3426"/>
        <v>0</v>
      </c>
      <c r="AU1000" s="570">
        <f t="shared" si="3426"/>
        <v>0</v>
      </c>
      <c r="AV1000" s="570">
        <f t="shared" si="3426"/>
        <v>0</v>
      </c>
      <c r="AW1000" s="570">
        <f t="shared" si="3426"/>
        <v>0</v>
      </c>
      <c r="AX1000" s="570">
        <f t="shared" si="3426"/>
        <v>0</v>
      </c>
      <c r="AY1000" s="570">
        <f t="shared" si="3426"/>
        <v>0</v>
      </c>
      <c r="AZ1000" s="570">
        <f t="shared" si="3426"/>
        <v>0</v>
      </c>
      <c r="BA1000" s="570">
        <f t="shared" si="3426"/>
        <v>0</v>
      </c>
      <c r="BB1000" s="570">
        <f t="shared" si="3426"/>
        <v>0</v>
      </c>
      <c r="BC1000" s="569"/>
      <c r="BD1000" s="570">
        <f t="shared" si="3427"/>
        <v>0</v>
      </c>
      <c r="BE1000" s="570">
        <f t="shared" si="3427"/>
        <v>0</v>
      </c>
      <c r="BF1000" s="570">
        <f t="shared" si="3427"/>
        <v>0</v>
      </c>
      <c r="BG1000" s="570">
        <f t="shared" si="3427"/>
        <v>0</v>
      </c>
      <c r="BH1000" s="570">
        <f t="shared" si="3427"/>
        <v>0</v>
      </c>
      <c r="BI1000" s="570">
        <f t="shared" si="3427"/>
        <v>0</v>
      </c>
      <c r="BJ1000" s="570">
        <f t="shared" si="3427"/>
        <v>0</v>
      </c>
      <c r="BK1000" s="570">
        <f t="shared" si="3427"/>
        <v>0</v>
      </c>
      <c r="BL1000" s="570">
        <f t="shared" si="3427"/>
        <v>0</v>
      </c>
      <c r="BM1000" s="570">
        <f t="shared" si="3427"/>
        <v>0</v>
      </c>
      <c r="BN1000" s="570">
        <f t="shared" si="3427"/>
        <v>0</v>
      </c>
      <c r="BO1000" s="570">
        <f t="shared" si="3427"/>
        <v>0</v>
      </c>
      <c r="BP1000" s="570">
        <f t="shared" si="3427"/>
        <v>0</v>
      </c>
      <c r="BQ1000" s="570">
        <f t="shared" si="3427"/>
        <v>0</v>
      </c>
      <c r="BR1000" s="570">
        <f t="shared" si="3427"/>
        <v>0</v>
      </c>
      <c r="BS1000" s="570">
        <f t="shared" si="3427"/>
        <v>0</v>
      </c>
      <c r="BT1000" s="570">
        <f t="shared" si="3427"/>
        <v>0</v>
      </c>
      <c r="BU1000" s="569"/>
      <c r="BV1000" s="570">
        <f t="shared" si="3428"/>
        <v>0</v>
      </c>
      <c r="BW1000" s="570">
        <f t="shared" si="3428"/>
        <v>0</v>
      </c>
      <c r="BX1000" s="570">
        <f t="shared" si="3428"/>
        <v>0</v>
      </c>
      <c r="BY1000" s="570">
        <f t="shared" si="3428"/>
        <v>0</v>
      </c>
      <c r="BZ1000" s="373">
        <f t="shared" si="3364"/>
        <v>0</v>
      </c>
      <c r="CA1000" s="373">
        <f t="shared" si="3365"/>
        <v>0</v>
      </c>
      <c r="CB1000" s="373">
        <f t="shared" si="3366"/>
        <v>0</v>
      </c>
      <c r="CC1000" s="373">
        <f t="shared" si="3367"/>
        <v>0</v>
      </c>
      <c r="CD1000" s="1109">
        <f t="shared" si="3368"/>
        <v>0</v>
      </c>
      <c r="CE1000" s="1110">
        <f t="shared" si="3368"/>
        <v>0</v>
      </c>
      <c r="CF1000" s="1111">
        <f t="shared" si="3368"/>
        <v>0</v>
      </c>
      <c r="CG1000" s="1111">
        <f t="shared" si="3368"/>
        <v>0</v>
      </c>
      <c r="CH1000" s="1111">
        <f t="shared" si="3368"/>
        <v>0</v>
      </c>
      <c r="CI1000" s="1111">
        <f t="shared" si="3368"/>
        <v>0</v>
      </c>
      <c r="CJ1000" s="1111">
        <f t="shared" si="3368"/>
        <v>0</v>
      </c>
      <c r="CK1000" s="1112">
        <f t="shared" si="3368"/>
        <v>0</v>
      </c>
      <c r="CL1000" s="1112">
        <f t="shared" si="3368"/>
        <v>0</v>
      </c>
      <c r="CM1000" s="1112">
        <f t="shared" si="3368"/>
        <v>0</v>
      </c>
      <c r="CN1000" s="1111">
        <f t="shared" si="3368"/>
        <v>0</v>
      </c>
      <c r="CO1000" s="1111">
        <f t="shared" si="3368"/>
        <v>0</v>
      </c>
      <c r="CP1000" s="1111">
        <f t="shared" si="3368"/>
        <v>0</v>
      </c>
      <c r="CQ1000" s="1111">
        <f t="shared" si="3368"/>
        <v>0</v>
      </c>
      <c r="CR1000" s="1111">
        <f t="shared" si="3368"/>
        <v>0</v>
      </c>
      <c r="CS1000" s="1110">
        <f t="shared" si="3368"/>
        <v>0</v>
      </c>
      <c r="CT1000" s="1113">
        <f t="shared" si="3369"/>
        <v>0</v>
      </c>
      <c r="CU1000" s="1201">
        <f t="shared" si="3370"/>
        <v>0</v>
      </c>
      <c r="CV1000" s="1141">
        <f t="shared" si="3370"/>
        <v>0</v>
      </c>
      <c r="CW1000" s="1142">
        <f t="shared" si="3370"/>
        <v>0</v>
      </c>
      <c r="CX1000" s="1142">
        <f t="shared" si="3370"/>
        <v>0</v>
      </c>
      <c r="CY1000" s="1142">
        <f t="shared" si="3370"/>
        <v>0</v>
      </c>
      <c r="CZ1000" s="1142">
        <f t="shared" si="3370"/>
        <v>0</v>
      </c>
      <c r="DA1000" s="1142">
        <f t="shared" si="3370"/>
        <v>0</v>
      </c>
      <c r="DB1000" s="1143">
        <f t="shared" si="3370"/>
        <v>0</v>
      </c>
      <c r="DC1000" s="1143">
        <f t="shared" si="3370"/>
        <v>0</v>
      </c>
      <c r="DD1000" s="1143">
        <f t="shared" si="3370"/>
        <v>0</v>
      </c>
      <c r="DE1000" s="1142">
        <f t="shared" si="3370"/>
        <v>0</v>
      </c>
      <c r="DF1000" s="1142">
        <f t="shared" si="3370"/>
        <v>0</v>
      </c>
      <c r="DG1000" s="1142">
        <f t="shared" si="3370"/>
        <v>0</v>
      </c>
      <c r="DH1000" s="1142">
        <f t="shared" si="3370"/>
        <v>0</v>
      </c>
      <c r="DI1000" s="1142">
        <f t="shared" si="3370"/>
        <v>0</v>
      </c>
      <c r="DJ1000" s="1141">
        <f t="shared" si="3370"/>
        <v>0</v>
      </c>
      <c r="DK1000" s="1201">
        <f t="shared" si="3371"/>
        <v>0</v>
      </c>
      <c r="DL1000" s="428">
        <f t="shared" si="3372"/>
        <v>17</v>
      </c>
      <c r="DM1000" s="66">
        <f t="shared" si="3373"/>
        <v>17</v>
      </c>
      <c r="DN1000" s="66">
        <f t="shared" si="3374"/>
        <v>17</v>
      </c>
      <c r="DO1000" s="66">
        <f t="shared" si="3375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>B984-SUM(B987:B1000)</f>
        <v>-0.25</v>
      </c>
      <c r="C1001" s="570">
        <f t="shared" ref="C1001:R1001" si="3429">C984-SUM(C987:C1000)</f>
        <v>7.999999999992724E-2</v>
      </c>
      <c r="D1001" s="570">
        <f t="shared" si="3429"/>
        <v>-0.1999999999998181</v>
      </c>
      <c r="E1001" s="570">
        <f t="shared" si="3429"/>
        <v>0.25</v>
      </c>
      <c r="F1001" s="570">
        <f t="shared" si="3429"/>
        <v>0</v>
      </c>
      <c r="G1001" s="570">
        <f t="shared" si="3429"/>
        <v>3.0599999999999454</v>
      </c>
      <c r="H1001" s="570">
        <f t="shared" si="3429"/>
        <v>0</v>
      </c>
      <c r="I1001" s="570">
        <f t="shared" si="3429"/>
        <v>0</v>
      </c>
      <c r="J1001" s="570">
        <f t="shared" si="3429"/>
        <v>-0.40000000000009095</v>
      </c>
      <c r="K1001" s="570">
        <f t="shared" si="3429"/>
        <v>0</v>
      </c>
      <c r="L1001" s="570">
        <f t="shared" si="3429"/>
        <v>0</v>
      </c>
      <c r="M1001" s="570">
        <f t="shared" si="3429"/>
        <v>0</v>
      </c>
      <c r="N1001" s="570">
        <f t="shared" si="3429"/>
        <v>0</v>
      </c>
      <c r="O1001" s="570">
        <f t="shared" si="3429"/>
        <v>0</v>
      </c>
      <c r="P1001" s="570">
        <f t="shared" si="3429"/>
        <v>0</v>
      </c>
      <c r="Q1001" s="570">
        <f t="shared" si="3429"/>
        <v>0</v>
      </c>
      <c r="R1001" s="570">
        <f t="shared" si="3429"/>
        <v>0</v>
      </c>
      <c r="S1001" s="569"/>
      <c r="T1001" s="570">
        <f>T984-SUM(T987:T1000)</f>
        <v>4.0000000000873115E-2</v>
      </c>
      <c r="U1001" s="570">
        <f t="shared" ref="U1001:AJ1001" si="3430">U984-SUM(U987:U1000)</f>
        <v>0.23999999999978172</v>
      </c>
      <c r="V1001" s="570">
        <f t="shared" si="3430"/>
        <v>0</v>
      </c>
      <c r="W1001" s="570">
        <f t="shared" si="3430"/>
        <v>-0.3999999999996362</v>
      </c>
      <c r="X1001" s="570">
        <f t="shared" si="3430"/>
        <v>7.999999999992724E-2</v>
      </c>
      <c r="Y1001" s="570">
        <f t="shared" si="3430"/>
        <v>-0.27999999999974534</v>
      </c>
      <c r="Z1001" s="570">
        <f t="shared" si="3430"/>
        <v>0.5</v>
      </c>
      <c r="AA1001" s="570">
        <f t="shared" si="3430"/>
        <v>8.4000000000000909</v>
      </c>
      <c r="AB1001" s="570">
        <f t="shared" si="3430"/>
        <v>0</v>
      </c>
      <c r="AC1001" s="570">
        <f t="shared" si="3430"/>
        <v>0</v>
      </c>
      <c r="AD1001" s="570">
        <f t="shared" si="3430"/>
        <v>0</v>
      </c>
      <c r="AE1001" s="570">
        <f t="shared" si="3430"/>
        <v>0</v>
      </c>
      <c r="AF1001" s="570">
        <f t="shared" si="3430"/>
        <v>0</v>
      </c>
      <c r="AG1001" s="570">
        <f t="shared" si="3430"/>
        <v>0</v>
      </c>
      <c r="AH1001" s="570">
        <f t="shared" si="3430"/>
        <v>0</v>
      </c>
      <c r="AI1001" s="570">
        <f t="shared" si="3430"/>
        <v>0</v>
      </c>
      <c r="AJ1001" s="570">
        <f t="shared" si="3430"/>
        <v>0</v>
      </c>
      <c r="AK1001" s="569"/>
      <c r="AL1001" s="570">
        <f>AL984-SUM(AL987:AL1000)</f>
        <v>0</v>
      </c>
      <c r="AM1001" s="570">
        <f t="shared" ref="AM1001:BB1001" si="3431">AM984-SUM(AM987:AM1000)</f>
        <v>0.40000000000145519</v>
      </c>
      <c r="AN1001" s="570">
        <f t="shared" si="3431"/>
        <v>-0.25</v>
      </c>
      <c r="AO1001" s="570">
        <f t="shared" si="3431"/>
        <v>-0.36999999999898137</v>
      </c>
      <c r="AP1001" s="570">
        <f t="shared" si="3431"/>
        <v>0.40000000000145519</v>
      </c>
      <c r="AQ1001" s="570">
        <f t="shared" si="3431"/>
        <v>0</v>
      </c>
      <c r="AR1001" s="570">
        <f t="shared" si="3431"/>
        <v>0</v>
      </c>
      <c r="AS1001" s="570">
        <f t="shared" si="3431"/>
        <v>0.5</v>
      </c>
      <c r="AT1001" s="570">
        <f t="shared" si="3431"/>
        <v>-0.12000000000261934</v>
      </c>
      <c r="AU1001" s="570">
        <f t="shared" si="3431"/>
        <v>0</v>
      </c>
      <c r="AV1001" s="570">
        <f t="shared" si="3431"/>
        <v>0</v>
      </c>
      <c r="AW1001" s="570">
        <f t="shared" si="3431"/>
        <v>0</v>
      </c>
      <c r="AX1001" s="570">
        <f t="shared" si="3431"/>
        <v>0</v>
      </c>
      <c r="AY1001" s="570">
        <f t="shared" si="3431"/>
        <v>0</v>
      </c>
      <c r="AZ1001" s="570">
        <f t="shared" si="3431"/>
        <v>0</v>
      </c>
      <c r="BA1001" s="570">
        <f t="shared" si="3431"/>
        <v>0</v>
      </c>
      <c r="BB1001" s="570">
        <f t="shared" si="3431"/>
        <v>0</v>
      </c>
      <c r="BC1001" s="569"/>
      <c r="BD1001" s="570">
        <f>BD984-SUM(BD987:BD1000)</f>
        <v>-9.2000000004190952E-2</v>
      </c>
      <c r="BE1001" s="570">
        <f t="shared" ref="BE1001:BT1001" si="3432">BE984-SUM(BE987:BE1000)</f>
        <v>0.42199999999866122</v>
      </c>
      <c r="BF1001" s="570">
        <f t="shared" si="3432"/>
        <v>-0.40000000000145519</v>
      </c>
      <c r="BG1001" s="570">
        <f t="shared" si="3432"/>
        <v>0</v>
      </c>
      <c r="BH1001" s="570">
        <f t="shared" si="3432"/>
        <v>1.2000000002444722E-2</v>
      </c>
      <c r="BI1001" s="570">
        <f t="shared" si="3432"/>
        <v>4.9999999999272404E-2</v>
      </c>
      <c r="BJ1001" s="570">
        <f t="shared" si="3432"/>
        <v>0</v>
      </c>
      <c r="BK1001" s="570">
        <f t="shared" si="3432"/>
        <v>4.0000000000873115E-2</v>
      </c>
      <c r="BL1001" s="570">
        <f t="shared" si="3432"/>
        <v>0.40000000000145519</v>
      </c>
      <c r="BM1001" s="570">
        <f t="shared" si="3432"/>
        <v>0</v>
      </c>
      <c r="BN1001" s="570">
        <f t="shared" si="3432"/>
        <v>0</v>
      </c>
      <c r="BO1001" s="570">
        <f t="shared" si="3432"/>
        <v>0</v>
      </c>
      <c r="BP1001" s="570">
        <f t="shared" si="3432"/>
        <v>0</v>
      </c>
      <c r="BQ1001" s="570">
        <f t="shared" si="3432"/>
        <v>0</v>
      </c>
      <c r="BR1001" s="570">
        <f t="shared" si="3432"/>
        <v>0</v>
      </c>
      <c r="BS1001" s="570">
        <f t="shared" si="3432"/>
        <v>0</v>
      </c>
      <c r="BT1001" s="570">
        <f t="shared" si="3432"/>
        <v>0</v>
      </c>
      <c r="BU1001" s="569"/>
      <c r="BV1001" s="570">
        <f>BV984-SUM(BV987:BV1000)</f>
        <v>0</v>
      </c>
      <c r="BW1001" s="570">
        <f t="shared" ref="BW1001:BY1001" si="3433">BW984-SUM(BW987:BW1000)</f>
        <v>0</v>
      </c>
      <c r="BX1001" s="570">
        <f t="shared" si="3433"/>
        <v>0</v>
      </c>
      <c r="BY1001" s="570">
        <f t="shared" si="3433"/>
        <v>0</v>
      </c>
      <c r="BZ1001" s="373">
        <f t="shared" si="3364"/>
        <v>-7.9999999999927247E-3</v>
      </c>
      <c r="CA1001" s="373">
        <f t="shared" si="3365"/>
        <v>3.866666666672245E-2</v>
      </c>
      <c r="CB1001" s="373">
        <f t="shared" si="3366"/>
        <v>2.8666666666686068E-2</v>
      </c>
      <c r="CC1001" s="373">
        <f t="shared" si="3367"/>
        <v>2.733333333332363E-2</v>
      </c>
      <c r="CD1001" s="1109">
        <f t="shared" si="3368"/>
        <v>-0.40000000000009095</v>
      </c>
      <c r="CE1001" s="1110">
        <f t="shared" si="3368"/>
        <v>-0.25</v>
      </c>
      <c r="CF1001" s="1111">
        <f t="shared" si="3368"/>
        <v>-0.1999999999998181</v>
      </c>
      <c r="CG1001" s="1111">
        <f t="shared" si="3368"/>
        <v>0</v>
      </c>
      <c r="CH1001" s="1111">
        <f t="shared" si="3368"/>
        <v>0</v>
      </c>
      <c r="CI1001" s="1111">
        <f t="shared" si="3368"/>
        <v>0</v>
      </c>
      <c r="CJ1001" s="1111">
        <f t="shared" si="3368"/>
        <v>0</v>
      </c>
      <c r="CK1001" s="1112">
        <f t="shared" si="3368"/>
        <v>0</v>
      </c>
      <c r="CL1001" s="1112">
        <f t="shared" si="3368"/>
        <v>0</v>
      </c>
      <c r="CM1001" s="1112">
        <f t="shared" si="3368"/>
        <v>0</v>
      </c>
      <c r="CN1001" s="1111">
        <f t="shared" si="3368"/>
        <v>0</v>
      </c>
      <c r="CO1001" s="1111">
        <f t="shared" si="3368"/>
        <v>0</v>
      </c>
      <c r="CP1001" s="1111">
        <f t="shared" si="3368"/>
        <v>0</v>
      </c>
      <c r="CQ1001" s="1111">
        <f t="shared" si="3368"/>
        <v>0</v>
      </c>
      <c r="CR1001" s="1111">
        <f t="shared" si="3368"/>
        <v>7.999999999992724E-2</v>
      </c>
      <c r="CS1001" s="1110">
        <f t="shared" si="3368"/>
        <v>0.25</v>
      </c>
      <c r="CT1001" s="1113">
        <f t="shared" si="3369"/>
        <v>3.0599999999999454</v>
      </c>
      <c r="CU1001" s="1201">
        <f t="shared" si="3370"/>
        <v>-0.3999999999996362</v>
      </c>
      <c r="CV1001" s="1141">
        <f t="shared" si="3370"/>
        <v>-0.27999999999974534</v>
      </c>
      <c r="CW1001" s="1142">
        <f t="shared" si="3370"/>
        <v>0</v>
      </c>
      <c r="CX1001" s="1142">
        <f t="shared" si="3370"/>
        <v>0</v>
      </c>
      <c r="CY1001" s="1142">
        <f t="shared" si="3370"/>
        <v>0</v>
      </c>
      <c r="CZ1001" s="1142">
        <f t="shared" si="3370"/>
        <v>0</v>
      </c>
      <c r="DA1001" s="1142">
        <f t="shared" si="3370"/>
        <v>0</v>
      </c>
      <c r="DB1001" s="1143">
        <f t="shared" si="3370"/>
        <v>0</v>
      </c>
      <c r="DC1001" s="1143">
        <f t="shared" si="3370"/>
        <v>0</v>
      </c>
      <c r="DD1001" s="1143">
        <f t="shared" si="3370"/>
        <v>0</v>
      </c>
      <c r="DE1001" s="1142">
        <f t="shared" si="3370"/>
        <v>0</v>
      </c>
      <c r="DF1001" s="1142">
        <f t="shared" si="3370"/>
        <v>0</v>
      </c>
      <c r="DG1001" s="1142">
        <f t="shared" si="3370"/>
        <v>4.0000000000873115E-2</v>
      </c>
      <c r="DH1001" s="1142">
        <f t="shared" si="3370"/>
        <v>7.999999999992724E-2</v>
      </c>
      <c r="DI1001" s="1142">
        <f t="shared" si="3370"/>
        <v>0.23999999999978172</v>
      </c>
      <c r="DJ1001" s="1141">
        <f t="shared" si="3370"/>
        <v>0.5</v>
      </c>
      <c r="DK1001" s="1201">
        <f t="shared" si="3371"/>
        <v>8.4000000000000909</v>
      </c>
      <c r="DL1001" s="428">
        <f t="shared" si="3372"/>
        <v>17</v>
      </c>
      <c r="DM1001" s="66">
        <f t="shared" si="3373"/>
        <v>17</v>
      </c>
      <c r="DN1001" s="66">
        <f t="shared" si="3374"/>
        <v>17</v>
      </c>
      <c r="DO1001" s="66">
        <f t="shared" si="3375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6"/>
      <c r="CE1002" s="1156"/>
      <c r="CF1002" s="1156"/>
      <c r="CG1002" s="1156"/>
      <c r="CH1002" s="1156"/>
      <c r="CI1002" s="1156"/>
      <c r="CJ1002" s="1156"/>
      <c r="CK1002" s="1156"/>
      <c r="CL1002" s="1156"/>
      <c r="CM1002" s="1156"/>
      <c r="CN1002" s="1156"/>
      <c r="CO1002" s="1156"/>
      <c r="CP1002" s="1156"/>
      <c r="CQ1002" s="1156"/>
      <c r="CR1002" s="1156"/>
      <c r="CS1002" s="1156"/>
      <c r="CT1002" s="1156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434">SUM(B987:B1002)</f>
        <v>4756</v>
      </c>
      <c r="C1003" s="570">
        <f t="shared" si="3434"/>
        <v>6095</v>
      </c>
      <c r="D1003" s="570">
        <f t="shared" si="3434"/>
        <v>3988</v>
      </c>
      <c r="E1003" s="570">
        <f t="shared" si="3434"/>
        <v>4296</v>
      </c>
      <c r="F1003" s="570">
        <f t="shared" si="3434"/>
        <v>3036</v>
      </c>
      <c r="G1003" s="570">
        <f t="shared" si="3434"/>
        <v>3565</v>
      </c>
      <c r="H1003" s="570">
        <f t="shared" si="3434"/>
        <v>2195</v>
      </c>
      <c r="I1003" s="570">
        <f t="shared" si="3434"/>
        <v>1885</v>
      </c>
      <c r="J1003" s="570">
        <f t="shared" si="3434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435">SUM(T987:T1002)</f>
        <v>8835</v>
      </c>
      <c r="U1003" s="570">
        <f t="shared" si="3435"/>
        <v>3000</v>
      </c>
      <c r="V1003" s="570">
        <f t="shared" si="3435"/>
        <v>4290</v>
      </c>
      <c r="W1003" s="570">
        <f t="shared" si="3435"/>
        <v>4708.6000000000004</v>
      </c>
      <c r="X1003" s="570">
        <f t="shared" si="3435"/>
        <v>3879</v>
      </c>
      <c r="Y1003" s="570">
        <f t="shared" si="3435"/>
        <v>5140</v>
      </c>
      <c r="Z1003" s="570">
        <f t="shared" si="3435"/>
        <v>3045</v>
      </c>
      <c r="AA1003" s="570">
        <f t="shared" si="3435"/>
        <v>3311.5</v>
      </c>
      <c r="AB1003" s="570">
        <f t="shared" si="3435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436">SUM(AL987:AL1002)</f>
        <v>29650</v>
      </c>
      <c r="AM1003" s="570">
        <f t="shared" si="3436"/>
        <v>19952</v>
      </c>
      <c r="AN1003" s="570">
        <f t="shared" si="3436"/>
        <v>19881</v>
      </c>
      <c r="AO1003" s="570">
        <f t="shared" si="3436"/>
        <v>24239</v>
      </c>
      <c r="AP1003" s="570">
        <f t="shared" si="3436"/>
        <v>29995</v>
      </c>
      <c r="AQ1003" s="570">
        <f t="shared" si="3436"/>
        <v>22717.5</v>
      </c>
      <c r="AR1003" s="570">
        <f t="shared" si="3436"/>
        <v>27210</v>
      </c>
      <c r="AS1003" s="570">
        <f t="shared" si="3436"/>
        <v>36920</v>
      </c>
      <c r="AT1003" s="570">
        <f t="shared" si="3436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437">SUM(BD987:BD1002)</f>
        <v>37802.259999999995</v>
      </c>
      <c r="BE1003" s="570">
        <f t="shared" si="3437"/>
        <v>32688</v>
      </c>
      <c r="BF1003" s="570">
        <f t="shared" si="3437"/>
        <v>43610</v>
      </c>
      <c r="BG1003" s="570">
        <f t="shared" si="3437"/>
        <v>55133</v>
      </c>
      <c r="BH1003" s="570">
        <f t="shared" si="3437"/>
        <v>34302</v>
      </c>
      <c r="BI1003" s="570">
        <f t="shared" si="3437"/>
        <v>23445</v>
      </c>
      <c r="BJ1003" s="570">
        <f t="shared" si="3437"/>
        <v>54240</v>
      </c>
      <c r="BK1003" s="570">
        <f t="shared" si="3437"/>
        <v>30892.240000000002</v>
      </c>
      <c r="BL1003" s="570">
        <f t="shared" si="3437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6"/>
      <c r="CE1003" s="1156"/>
      <c r="CF1003" s="1156"/>
      <c r="CG1003" s="1156"/>
      <c r="CH1003" s="1156"/>
      <c r="CI1003" s="1156"/>
      <c r="CJ1003" s="1156"/>
      <c r="CK1003" s="1156"/>
      <c r="CL1003" s="1156"/>
      <c r="CM1003" s="1156"/>
      <c r="CN1003" s="1156"/>
      <c r="CO1003" s="1156"/>
      <c r="CP1003" s="1156"/>
      <c r="CQ1003" s="1156"/>
      <c r="CR1003" s="1156"/>
      <c r="CS1003" s="1156"/>
      <c r="CT1003" s="1156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6"/>
      <c r="CE1004" s="1156"/>
      <c r="CF1004" s="1156"/>
      <c r="CG1004" s="1156"/>
      <c r="CH1004" s="1156"/>
      <c r="CI1004" s="1156"/>
      <c r="CJ1004" s="1156"/>
      <c r="CK1004" s="1156"/>
      <c r="CL1004" s="1156"/>
      <c r="CM1004" s="1156"/>
      <c r="CN1004" s="1156"/>
      <c r="CO1004" s="1156"/>
      <c r="CP1004" s="1156"/>
      <c r="CQ1004" s="1156"/>
      <c r="CR1004" s="1156"/>
      <c r="CS1004" s="1156"/>
      <c r="CT1004" s="1156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6"/>
      <c r="CE1005" s="1156"/>
      <c r="CF1005" s="1156"/>
      <c r="CG1005" s="1156"/>
      <c r="CH1005" s="1156"/>
      <c r="CI1005" s="1156"/>
      <c r="CJ1005" s="1156"/>
      <c r="CK1005" s="1156"/>
      <c r="CL1005" s="1156"/>
      <c r="CM1005" s="1156"/>
      <c r="CN1005" s="1156"/>
      <c r="CO1005" s="1156"/>
      <c r="CP1005" s="1156"/>
      <c r="CQ1005" s="1156"/>
      <c r="CR1005" s="1156"/>
      <c r="CS1005" s="1156"/>
      <c r="CT1005" s="1156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6"/>
      <c r="CE1006" s="1156"/>
      <c r="CF1006" s="1156"/>
      <c r="CG1006" s="1156"/>
      <c r="CH1006" s="1156"/>
      <c r="CI1006" s="1156"/>
      <c r="CJ1006" s="1156"/>
      <c r="CK1006" s="1156"/>
      <c r="CL1006" s="1156"/>
      <c r="CM1006" s="1156"/>
      <c r="CN1006" s="1156"/>
      <c r="CO1006" s="1156"/>
      <c r="CP1006" s="1156"/>
      <c r="CQ1006" s="1156"/>
      <c r="CR1006" s="1156"/>
      <c r="CS1006" s="1156"/>
      <c r="CT1006" s="1156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6"/>
      <c r="CE1007" s="1156"/>
      <c r="CF1007" s="1156"/>
      <c r="CG1007" s="1156"/>
      <c r="CH1007" s="1156"/>
      <c r="CI1007" s="1156"/>
      <c r="CJ1007" s="1156"/>
      <c r="CK1007" s="1156"/>
      <c r="CL1007" s="1156"/>
      <c r="CM1007" s="1156"/>
      <c r="CN1007" s="1156"/>
      <c r="CO1007" s="1156"/>
      <c r="CP1007" s="1156"/>
      <c r="CQ1007" s="1156"/>
      <c r="CR1007" s="1156"/>
      <c r="CS1007" s="1156"/>
      <c r="CT1007" s="1156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6"/>
      <c r="CE1008" s="1156"/>
      <c r="CF1008" s="1156"/>
      <c r="CG1008" s="1156"/>
      <c r="CH1008" s="1156"/>
      <c r="CI1008" s="1156"/>
      <c r="CJ1008" s="1156"/>
      <c r="CK1008" s="1156"/>
      <c r="CL1008" s="1156"/>
      <c r="CM1008" s="1156"/>
      <c r="CN1008" s="1156"/>
      <c r="CO1008" s="1156"/>
      <c r="CP1008" s="1156"/>
      <c r="CQ1008" s="1156"/>
      <c r="CR1008" s="1156"/>
      <c r="CS1008" s="1156"/>
      <c r="CT1008" s="1156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6"/>
      <c r="CE1009" s="1156"/>
      <c r="CF1009" s="1156"/>
      <c r="CG1009" s="1156"/>
      <c r="CH1009" s="1156"/>
      <c r="CI1009" s="1156"/>
      <c r="CJ1009" s="1156"/>
      <c r="CK1009" s="1156"/>
      <c r="CL1009" s="1156"/>
      <c r="CM1009" s="1156"/>
      <c r="CN1009" s="1156"/>
      <c r="CO1009" s="1156"/>
      <c r="CP1009" s="1156"/>
      <c r="CQ1009" s="1156"/>
      <c r="CR1009" s="1156"/>
      <c r="CS1009" s="1156"/>
      <c r="CT1009" s="1156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6"/>
      <c r="CE1010" s="1156"/>
      <c r="CF1010" s="1156"/>
      <c r="CG1010" s="1156"/>
      <c r="CH1010" s="1156"/>
      <c r="CI1010" s="1156"/>
      <c r="CJ1010" s="1156"/>
      <c r="CK1010" s="1156"/>
      <c r="CL1010" s="1156"/>
      <c r="CM1010" s="1156"/>
      <c r="CN1010" s="1156"/>
      <c r="CO1010" s="1156"/>
      <c r="CP1010" s="1156"/>
      <c r="CQ1010" s="1156"/>
      <c r="CR1010" s="1156"/>
      <c r="CS1010" s="1156"/>
      <c r="CT1010" s="1156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6"/>
      <c r="CE1011" s="1156"/>
      <c r="CF1011" s="1156"/>
      <c r="CG1011" s="1156"/>
      <c r="CH1011" s="1156"/>
      <c r="CI1011" s="1156"/>
      <c r="CJ1011" s="1156"/>
      <c r="CK1011" s="1156"/>
      <c r="CL1011" s="1156"/>
      <c r="CM1011" s="1156"/>
      <c r="CN1011" s="1156"/>
      <c r="CO1011" s="1156"/>
      <c r="CP1011" s="1156"/>
      <c r="CQ1011" s="1156"/>
      <c r="CR1011" s="1156"/>
      <c r="CS1011" s="1156"/>
      <c r="CT1011" s="1156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6"/>
      <c r="CE1012" s="1156"/>
      <c r="CF1012" s="1156"/>
      <c r="CG1012" s="1156"/>
      <c r="CH1012" s="1156"/>
      <c r="CI1012" s="1156"/>
      <c r="CJ1012" s="1156"/>
      <c r="CK1012" s="1156"/>
      <c r="CL1012" s="1156"/>
      <c r="CM1012" s="1156"/>
      <c r="CN1012" s="1156"/>
      <c r="CO1012" s="1156"/>
      <c r="CP1012" s="1156"/>
      <c r="CQ1012" s="1156"/>
      <c r="CR1012" s="1156"/>
      <c r="CS1012" s="1156"/>
      <c r="CT1012" s="1156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6"/>
      <c r="CE1013" s="1156"/>
      <c r="CF1013" s="1156"/>
      <c r="CG1013" s="1156"/>
      <c r="CH1013" s="1156"/>
      <c r="CI1013" s="1156"/>
      <c r="CJ1013" s="1156"/>
      <c r="CK1013" s="1156"/>
      <c r="CL1013" s="1156"/>
      <c r="CM1013" s="1156"/>
      <c r="CN1013" s="1156"/>
      <c r="CO1013" s="1156"/>
      <c r="CP1013" s="1156"/>
      <c r="CQ1013" s="1156"/>
      <c r="CR1013" s="1156"/>
      <c r="CS1013" s="1156"/>
      <c r="CT1013" s="1156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6"/>
      <c r="CE1014" s="1156"/>
      <c r="CF1014" s="1156"/>
      <c r="CG1014" s="1156"/>
      <c r="CH1014" s="1156"/>
      <c r="CI1014" s="1156"/>
      <c r="CJ1014" s="1156"/>
      <c r="CK1014" s="1156"/>
      <c r="CL1014" s="1156"/>
      <c r="CM1014" s="1156"/>
      <c r="CN1014" s="1156"/>
      <c r="CO1014" s="1156"/>
      <c r="CP1014" s="1156"/>
      <c r="CQ1014" s="1156"/>
      <c r="CR1014" s="1156"/>
      <c r="CS1014" s="1156"/>
      <c r="CT1014" s="1156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6"/>
      <c r="CE1015" s="1156"/>
      <c r="CF1015" s="1156"/>
      <c r="CG1015" s="1156"/>
      <c r="CH1015" s="1156"/>
      <c r="CI1015" s="1156"/>
      <c r="CJ1015" s="1156"/>
      <c r="CK1015" s="1156"/>
      <c r="CL1015" s="1156"/>
      <c r="CM1015" s="1156"/>
      <c r="CN1015" s="1156"/>
      <c r="CO1015" s="1156"/>
      <c r="CP1015" s="1156"/>
      <c r="CQ1015" s="1156"/>
      <c r="CR1015" s="1156"/>
      <c r="CS1015" s="1156"/>
      <c r="CT1015" s="1156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6"/>
      <c r="CE1016" s="1156"/>
      <c r="CF1016" s="1156"/>
      <c r="CG1016" s="1156"/>
      <c r="CH1016" s="1156"/>
      <c r="CI1016" s="1156"/>
      <c r="CJ1016" s="1156"/>
      <c r="CK1016" s="1156"/>
      <c r="CL1016" s="1156"/>
      <c r="CM1016" s="1156"/>
      <c r="CN1016" s="1156"/>
      <c r="CO1016" s="1156"/>
      <c r="CP1016" s="1156"/>
      <c r="CQ1016" s="1156"/>
      <c r="CR1016" s="1156"/>
      <c r="CS1016" s="1156"/>
      <c r="CT1016" s="1156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6"/>
      <c r="CE1017" s="1156"/>
      <c r="CF1017" s="1156"/>
      <c r="CG1017" s="1156"/>
      <c r="CH1017" s="1156"/>
      <c r="CI1017" s="1156"/>
      <c r="CJ1017" s="1156"/>
      <c r="CK1017" s="1156"/>
      <c r="CL1017" s="1156"/>
      <c r="CM1017" s="1156"/>
      <c r="CN1017" s="1156"/>
      <c r="CO1017" s="1156"/>
      <c r="CP1017" s="1156"/>
      <c r="CQ1017" s="1156"/>
      <c r="CR1017" s="1156"/>
      <c r="CS1017" s="1156"/>
      <c r="CT1017" s="1156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6"/>
      <c r="CE1018" s="1156"/>
      <c r="CF1018" s="1156"/>
      <c r="CG1018" s="1156"/>
      <c r="CH1018" s="1156"/>
      <c r="CI1018" s="1156"/>
      <c r="CJ1018" s="1156"/>
      <c r="CK1018" s="1156"/>
      <c r="CL1018" s="1156"/>
      <c r="CM1018" s="1156"/>
      <c r="CN1018" s="1156"/>
      <c r="CO1018" s="1156"/>
      <c r="CP1018" s="1156"/>
      <c r="CQ1018" s="1156"/>
      <c r="CR1018" s="1156"/>
      <c r="CS1018" s="1156"/>
      <c r="CT1018" s="1156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6"/>
      <c r="CE1019" s="1156"/>
      <c r="CF1019" s="1156"/>
      <c r="CG1019" s="1156"/>
      <c r="CH1019" s="1156"/>
      <c r="CI1019" s="1156"/>
      <c r="CJ1019" s="1156"/>
      <c r="CK1019" s="1156"/>
      <c r="CL1019" s="1156"/>
      <c r="CM1019" s="1156"/>
      <c r="CN1019" s="1156"/>
      <c r="CO1019" s="1156"/>
      <c r="CP1019" s="1156"/>
      <c r="CQ1019" s="1156"/>
      <c r="CR1019" s="1156"/>
      <c r="CS1019" s="1156"/>
      <c r="CT1019" s="1156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6"/>
      <c r="CE1020" s="1156"/>
      <c r="CF1020" s="1156"/>
      <c r="CG1020" s="1156"/>
      <c r="CH1020" s="1156"/>
      <c r="CI1020" s="1156"/>
      <c r="CJ1020" s="1156"/>
      <c r="CK1020" s="1156"/>
      <c r="CL1020" s="1156"/>
      <c r="CM1020" s="1156"/>
      <c r="CN1020" s="1156"/>
      <c r="CO1020" s="1156"/>
      <c r="CP1020" s="1156"/>
      <c r="CQ1020" s="1156"/>
      <c r="CR1020" s="1156"/>
      <c r="CS1020" s="1156"/>
      <c r="CT1020" s="1156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6"/>
      <c r="CE1021" s="1156"/>
      <c r="CF1021" s="1156"/>
      <c r="CG1021" s="1156"/>
      <c r="CH1021" s="1156"/>
      <c r="CI1021" s="1156"/>
      <c r="CJ1021" s="1156"/>
      <c r="CK1021" s="1156"/>
      <c r="CL1021" s="1156"/>
      <c r="CM1021" s="1156"/>
      <c r="CN1021" s="1156"/>
      <c r="CO1021" s="1156"/>
      <c r="CP1021" s="1156"/>
      <c r="CQ1021" s="1156"/>
      <c r="CR1021" s="1156"/>
      <c r="CS1021" s="1156"/>
      <c r="CT1021" s="1156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6"/>
      <c r="CE1022" s="1156"/>
      <c r="CF1022" s="1156"/>
      <c r="CG1022" s="1156"/>
      <c r="CH1022" s="1156"/>
      <c r="CI1022" s="1156"/>
      <c r="CJ1022" s="1156"/>
      <c r="CK1022" s="1156"/>
      <c r="CL1022" s="1156"/>
      <c r="CM1022" s="1156"/>
      <c r="CN1022" s="1156"/>
      <c r="CO1022" s="1156"/>
      <c r="CP1022" s="1156"/>
      <c r="CQ1022" s="1156"/>
      <c r="CR1022" s="1156"/>
      <c r="CS1022" s="1156"/>
      <c r="CT1022" s="1156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</v>
      </c>
      <c r="BW1023" s="609" t="e">
        <f>IF(BW1022="",BW1019,BW1019+BW1022)</f>
        <v>#VALUE!</v>
      </c>
      <c r="BX1023" s="609">
        <f>IF(BX1022="",BX1019,BX1019+BX1022)</f>
        <v>0</v>
      </c>
      <c r="BY1023" s="609">
        <f>IF(BY1022="",BY1019,BY1019+BY1022)</f>
        <v>0</v>
      </c>
      <c r="BZ1023" s="393"/>
      <c r="CA1023" s="393"/>
      <c r="CB1023" s="393"/>
      <c r="CC1023" s="393"/>
      <c r="CD1023" s="1156"/>
      <c r="CE1023" s="1156"/>
      <c r="CF1023" s="1156"/>
      <c r="CG1023" s="1156"/>
      <c r="CH1023" s="1156"/>
      <c r="CI1023" s="1156"/>
      <c r="CJ1023" s="1156"/>
      <c r="CK1023" s="1156"/>
      <c r="CL1023" s="1156"/>
      <c r="CM1023" s="1156"/>
      <c r="CN1023" s="1156"/>
      <c r="CO1023" s="1156"/>
      <c r="CP1023" s="1156"/>
      <c r="CQ1023" s="1156"/>
      <c r="CR1023" s="1156"/>
      <c r="CS1023" s="1156"/>
      <c r="CT1023" s="1156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6"/>
      <c r="CE1024" s="1156"/>
      <c r="CF1024" s="1156"/>
      <c r="CG1024" s="1156"/>
      <c r="CH1024" s="1156"/>
      <c r="CI1024" s="1156"/>
      <c r="CJ1024" s="1156"/>
      <c r="CK1024" s="1156"/>
      <c r="CL1024" s="1156"/>
      <c r="CM1024" s="1156"/>
      <c r="CN1024" s="1156"/>
      <c r="CO1024" s="1156"/>
      <c r="CP1024" s="1156"/>
      <c r="CQ1024" s="1156"/>
      <c r="CR1024" s="1156"/>
      <c r="CS1024" s="1156"/>
      <c r="CT1024" s="1156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6"/>
      <c r="CE1025" s="1156"/>
      <c r="CF1025" s="1156"/>
      <c r="CG1025" s="1156"/>
      <c r="CH1025" s="1156"/>
      <c r="CI1025" s="1156"/>
      <c r="CJ1025" s="1156"/>
      <c r="CK1025" s="1156"/>
      <c r="CL1025" s="1156"/>
      <c r="CM1025" s="1156"/>
      <c r="CN1025" s="1156"/>
      <c r="CO1025" s="1156"/>
      <c r="CP1025" s="1156"/>
      <c r="CQ1025" s="1156"/>
      <c r="CR1025" s="1156"/>
      <c r="CS1025" s="1156"/>
      <c r="CT1025" s="1156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6"/>
      <c r="CE1026" s="1156"/>
      <c r="CF1026" s="1156"/>
      <c r="CG1026" s="1156"/>
      <c r="CH1026" s="1156"/>
      <c r="CI1026" s="1156"/>
      <c r="CJ1026" s="1156"/>
      <c r="CK1026" s="1156"/>
      <c r="CL1026" s="1156"/>
      <c r="CM1026" s="1156"/>
      <c r="CN1026" s="1156"/>
      <c r="CO1026" s="1156"/>
      <c r="CP1026" s="1156"/>
      <c r="CQ1026" s="1156"/>
      <c r="CR1026" s="1156"/>
      <c r="CS1026" s="1156"/>
      <c r="CT1026" s="1156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6"/>
      <c r="CE1027" s="1156"/>
      <c r="CF1027" s="1156"/>
      <c r="CG1027" s="1156"/>
      <c r="CH1027" s="1156"/>
      <c r="CI1027" s="1156"/>
      <c r="CJ1027" s="1156"/>
      <c r="CK1027" s="1156"/>
      <c r="CL1027" s="1156"/>
      <c r="CM1027" s="1156"/>
      <c r="CN1027" s="1156"/>
      <c r="CO1027" s="1156"/>
      <c r="CP1027" s="1156"/>
      <c r="CQ1027" s="1156"/>
      <c r="CR1027" s="1156"/>
      <c r="CS1027" s="1156"/>
      <c r="CT1027" s="1156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6"/>
      <c r="CE1028" s="1156"/>
      <c r="CF1028" s="1156"/>
      <c r="CG1028" s="1156"/>
      <c r="CH1028" s="1156"/>
      <c r="CI1028" s="1156"/>
      <c r="CJ1028" s="1156"/>
      <c r="CK1028" s="1156"/>
      <c r="CL1028" s="1156"/>
      <c r="CM1028" s="1156"/>
      <c r="CN1028" s="1156"/>
      <c r="CO1028" s="1156"/>
      <c r="CP1028" s="1156"/>
      <c r="CQ1028" s="1156"/>
      <c r="CR1028" s="1156"/>
      <c r="CS1028" s="1156"/>
      <c r="CT1028" s="1156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6"/>
      <c r="CE1029" s="1156"/>
      <c r="CF1029" s="1156"/>
      <c r="CG1029" s="1156"/>
      <c r="CH1029" s="1156"/>
      <c r="CI1029" s="1156"/>
      <c r="CJ1029" s="1156"/>
      <c r="CK1029" s="1156"/>
      <c r="CL1029" s="1156"/>
      <c r="CM1029" s="1156"/>
      <c r="CN1029" s="1156"/>
      <c r="CO1029" s="1156"/>
      <c r="CP1029" s="1156"/>
      <c r="CQ1029" s="1156"/>
      <c r="CR1029" s="1156"/>
      <c r="CS1029" s="1156"/>
      <c r="CT1029" s="1156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7"/>
      <c r="CE1030" s="1097"/>
      <c r="CF1030" s="1097"/>
      <c r="CG1030" s="1097"/>
      <c r="CH1030" s="1097"/>
      <c r="CI1030" s="1097"/>
      <c r="CJ1030" s="1097"/>
      <c r="CK1030" s="1097"/>
      <c r="CL1030" s="1097"/>
      <c r="CM1030" s="1097"/>
      <c r="CN1030" s="1097"/>
      <c r="CO1030" s="1097"/>
      <c r="CP1030" s="1097"/>
      <c r="CQ1030" s="1097"/>
      <c r="CR1030" s="1097"/>
      <c r="CS1030" s="1097"/>
      <c r="CT1030" s="1097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7"/>
      <c r="CE1031" s="1097"/>
      <c r="CF1031" s="1097"/>
      <c r="CG1031" s="1097"/>
      <c r="CH1031" s="1097"/>
      <c r="CI1031" s="1097"/>
      <c r="CJ1031" s="1097"/>
      <c r="CK1031" s="1097"/>
      <c r="CL1031" s="1097"/>
      <c r="CM1031" s="1097"/>
      <c r="CN1031" s="1097"/>
      <c r="CO1031" s="1097"/>
      <c r="CP1031" s="1097"/>
      <c r="CQ1031" s="1097"/>
      <c r="CR1031" s="1097"/>
      <c r="CS1031" s="1097"/>
      <c r="CT1031" s="1097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7"/>
      <c r="CE1032" s="1097"/>
      <c r="CF1032" s="1097"/>
      <c r="CG1032" s="1097"/>
      <c r="CH1032" s="1097"/>
      <c r="CI1032" s="1097"/>
      <c r="CJ1032" s="1097"/>
      <c r="CK1032" s="1097"/>
      <c r="CL1032" s="1097"/>
      <c r="CM1032" s="1097"/>
      <c r="CN1032" s="1097"/>
      <c r="CO1032" s="1097"/>
      <c r="CP1032" s="1097"/>
      <c r="CQ1032" s="1097"/>
      <c r="CR1032" s="1097"/>
      <c r="CS1032" s="1097"/>
      <c r="CT1032" s="1097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7"/>
      <c r="CE1033" s="1097"/>
      <c r="CF1033" s="1097"/>
      <c r="CG1033" s="1097"/>
      <c r="CH1033" s="1097"/>
      <c r="CI1033" s="1097"/>
      <c r="CJ1033" s="1097"/>
      <c r="CK1033" s="1097"/>
      <c r="CL1033" s="1097"/>
      <c r="CM1033" s="1097"/>
      <c r="CN1033" s="1097"/>
      <c r="CO1033" s="1097"/>
      <c r="CP1033" s="1097"/>
      <c r="CQ1033" s="1097"/>
      <c r="CR1033" s="1097"/>
      <c r="CS1033" s="1097"/>
      <c r="CT1033" s="1097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7"/>
      <c r="CE1034" s="1097"/>
      <c r="CF1034" s="1097"/>
      <c r="CG1034" s="1097"/>
      <c r="CH1034" s="1097"/>
      <c r="CI1034" s="1097"/>
      <c r="CJ1034" s="1097"/>
      <c r="CK1034" s="1097"/>
      <c r="CL1034" s="1097"/>
      <c r="CM1034" s="1097"/>
      <c r="CN1034" s="1097"/>
      <c r="CO1034" s="1097"/>
      <c r="CP1034" s="1097"/>
      <c r="CQ1034" s="1097"/>
      <c r="CR1034" s="1097"/>
      <c r="CS1034" s="1097"/>
      <c r="CT1034" s="1097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7"/>
      <c r="CE1035" s="1097"/>
      <c r="CF1035" s="1097"/>
      <c r="CG1035" s="1097"/>
      <c r="CH1035" s="1097"/>
      <c r="CI1035" s="1097"/>
      <c r="CJ1035" s="1097"/>
      <c r="CK1035" s="1097"/>
      <c r="CL1035" s="1097"/>
      <c r="CM1035" s="1097"/>
      <c r="CN1035" s="1097"/>
      <c r="CO1035" s="1097"/>
      <c r="CP1035" s="1097"/>
      <c r="CQ1035" s="1097"/>
      <c r="CR1035" s="1097"/>
      <c r="CS1035" s="1097"/>
      <c r="CT1035" s="1097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7"/>
      <c r="CE1036" s="1097"/>
      <c r="CF1036" s="1097"/>
      <c r="CG1036" s="1097"/>
      <c r="CH1036" s="1097"/>
      <c r="CI1036" s="1097"/>
      <c r="CJ1036" s="1097"/>
      <c r="CK1036" s="1097"/>
      <c r="CL1036" s="1097"/>
      <c r="CM1036" s="1097"/>
      <c r="CN1036" s="1097"/>
      <c r="CO1036" s="1097"/>
      <c r="CP1036" s="1097"/>
      <c r="CQ1036" s="1097"/>
      <c r="CR1036" s="1097"/>
      <c r="CS1036" s="1097"/>
      <c r="CT1036" s="1097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7"/>
      <c r="CE1037" s="1097"/>
      <c r="CF1037" s="1097"/>
      <c r="CG1037" s="1097"/>
      <c r="CH1037" s="1097"/>
      <c r="CI1037" s="1097"/>
      <c r="CJ1037" s="1097"/>
      <c r="CK1037" s="1097"/>
      <c r="CL1037" s="1097"/>
      <c r="CM1037" s="1097"/>
      <c r="CN1037" s="1097"/>
      <c r="CO1037" s="1097"/>
      <c r="CP1037" s="1097"/>
      <c r="CQ1037" s="1097"/>
      <c r="CR1037" s="1097"/>
      <c r="CS1037" s="1097"/>
      <c r="CT1037" s="1097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7"/>
      <c r="CE1038" s="1097"/>
      <c r="CF1038" s="1097"/>
      <c r="CG1038" s="1097"/>
      <c r="CH1038" s="1097"/>
      <c r="CI1038" s="1097"/>
      <c r="CJ1038" s="1097"/>
      <c r="CK1038" s="1097"/>
      <c r="CL1038" s="1097"/>
      <c r="CM1038" s="1097"/>
      <c r="CN1038" s="1097"/>
      <c r="CO1038" s="1097"/>
      <c r="CP1038" s="1097"/>
      <c r="CQ1038" s="1097"/>
      <c r="CR1038" s="1097"/>
      <c r="CS1038" s="1097"/>
      <c r="CT1038" s="1097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7"/>
      <c r="CE1039" s="1097"/>
      <c r="CF1039" s="1097"/>
      <c r="CG1039" s="1097"/>
      <c r="CH1039" s="1097"/>
      <c r="CI1039" s="1097"/>
      <c r="CJ1039" s="1097"/>
      <c r="CK1039" s="1097"/>
      <c r="CL1039" s="1097"/>
      <c r="CM1039" s="1097"/>
      <c r="CN1039" s="1097"/>
      <c r="CO1039" s="1097"/>
      <c r="CP1039" s="1097"/>
      <c r="CQ1039" s="1097"/>
      <c r="CR1039" s="1097"/>
      <c r="CS1039" s="1097"/>
      <c r="CT1039" s="109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7"/>
      <c r="CE1040" s="1097"/>
      <c r="CF1040" s="1097"/>
      <c r="CG1040" s="1097"/>
      <c r="CH1040" s="1097"/>
      <c r="CI1040" s="1097"/>
      <c r="CJ1040" s="1097"/>
      <c r="CK1040" s="1097"/>
      <c r="CL1040" s="1097"/>
      <c r="CM1040" s="1097"/>
      <c r="CN1040" s="1097"/>
      <c r="CO1040" s="1097"/>
      <c r="CP1040" s="1097"/>
      <c r="CQ1040" s="1097"/>
      <c r="CR1040" s="1097"/>
      <c r="CS1040" s="1097"/>
      <c r="CT1040" s="109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7"/>
      <c r="CE1041" s="1097"/>
      <c r="CF1041" s="1097"/>
      <c r="CG1041" s="1097"/>
      <c r="CH1041" s="1097"/>
      <c r="CI1041" s="1097"/>
      <c r="CJ1041" s="1097"/>
      <c r="CK1041" s="1097"/>
      <c r="CL1041" s="1097"/>
      <c r="CM1041" s="1097"/>
      <c r="CN1041" s="1097"/>
      <c r="CO1041" s="1097"/>
      <c r="CP1041" s="1097"/>
      <c r="CQ1041" s="1097"/>
      <c r="CR1041" s="1097"/>
      <c r="CS1041" s="1097"/>
      <c r="CT1041" s="1097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7"/>
      <c r="CE1042" s="1097"/>
      <c r="CF1042" s="1097"/>
      <c r="CG1042" s="1097"/>
      <c r="CH1042" s="1097"/>
      <c r="CI1042" s="1097"/>
      <c r="CJ1042" s="1097"/>
      <c r="CK1042" s="1097"/>
      <c r="CL1042" s="1097"/>
      <c r="CM1042" s="1097"/>
      <c r="CN1042" s="1097"/>
      <c r="CO1042" s="1097"/>
      <c r="CP1042" s="1097"/>
      <c r="CQ1042" s="1097"/>
      <c r="CR1042" s="1097"/>
      <c r="CS1042" s="1097"/>
      <c r="CT1042" s="1097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7"/>
      <c r="CE1043" s="1097"/>
      <c r="CF1043" s="1097"/>
      <c r="CG1043" s="1097"/>
      <c r="CH1043" s="1097"/>
      <c r="CI1043" s="1097"/>
      <c r="CJ1043" s="1097"/>
      <c r="CK1043" s="1097"/>
      <c r="CL1043" s="1097"/>
      <c r="CM1043" s="1097"/>
      <c r="CN1043" s="1097"/>
      <c r="CO1043" s="1097"/>
      <c r="CP1043" s="1097"/>
      <c r="CQ1043" s="1097"/>
      <c r="CR1043" s="1097"/>
      <c r="CS1043" s="1097"/>
      <c r="CT1043" s="1097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597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35" t="s">
        <v>50</v>
      </c>
      <c r="DR4" s="1835"/>
      <c r="DS4" s="1835"/>
      <c r="DT4" s="1835"/>
      <c r="DU4" s="1835"/>
      <c r="DV4" s="1835"/>
      <c r="DW4" s="1835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36" t="s">
        <v>47</v>
      </c>
      <c r="CE5" s="1836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37" t="s">
        <v>48</v>
      </c>
      <c r="CT5" s="1837"/>
      <c r="CU5" s="1833" t="s">
        <v>47</v>
      </c>
      <c r="CV5" s="1833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34" t="s">
        <v>48</v>
      </c>
      <c r="DK5" s="1834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0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0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1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1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2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2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2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2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3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3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3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3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3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3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04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04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2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2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2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2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3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3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3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3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3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3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04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04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2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2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2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2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3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3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3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3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3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3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04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04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2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2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2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2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3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3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3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3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3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3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04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04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2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2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2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2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3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3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3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3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3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3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04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04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2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2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2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2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3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3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3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3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3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3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04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04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2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2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2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2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3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3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3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3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3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3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04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04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2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2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2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2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3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3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3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3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3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3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04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04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2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2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2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2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3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3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3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3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3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3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04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04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05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05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0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0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1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1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2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2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2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2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3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3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3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3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3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3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04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04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2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2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2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2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3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3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3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3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3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3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04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04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2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2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2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2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3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3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3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3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3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3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04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04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2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2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2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2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3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3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3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3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3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3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04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04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2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2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2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2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3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3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3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3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3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3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04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04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2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2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2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2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3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3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3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3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3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3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04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04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2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2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2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2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3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3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3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3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3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3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04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04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2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2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2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2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3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3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3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3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3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3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04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04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2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2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2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2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3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3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3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3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3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3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04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04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05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05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0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0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1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1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2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2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2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2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3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3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3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3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3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3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04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04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2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2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2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2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3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3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3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3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3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3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04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04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2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2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2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2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3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3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3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3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3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3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04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04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2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2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2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2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3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3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3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3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3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3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04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04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2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2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2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2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3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3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3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3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3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3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04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04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05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05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0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0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1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1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2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2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2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2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3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3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3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3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3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3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04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04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2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2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2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2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3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3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3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3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3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3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04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04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2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2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2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2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3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3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3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3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3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3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04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04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2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2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2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2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3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3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3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3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3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3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04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04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2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2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2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2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3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3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3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3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3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3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04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04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2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2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2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2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3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3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3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3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3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3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04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04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2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2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2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2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3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3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3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3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3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3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04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04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2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2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2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2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3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3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3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3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3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3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04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04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2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2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2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2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3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3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3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3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3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3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04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04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05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05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0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0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1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1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2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2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2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2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3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3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3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3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3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3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04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04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2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2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2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2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3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3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3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3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3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3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04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04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2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2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2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2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3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3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3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3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3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3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04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04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2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2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2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2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3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3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3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3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3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3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04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04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2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2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2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2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3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3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3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3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3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3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04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04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2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2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2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2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3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3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3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3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3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3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04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04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06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06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0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0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1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1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2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2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3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2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2"/>
      <c r="BW253" s="1182"/>
      <c r="BX253" s="1182"/>
      <c r="BY253" s="1182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3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3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3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3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3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3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04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04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2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2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2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2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4"/>
      <c r="BW259" s="1184"/>
      <c r="BX259" s="1184"/>
      <c r="BY259" s="1184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3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3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3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3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3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3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04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04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2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2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2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2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3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3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3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3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3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3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04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04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2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2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2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2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3"/>
      <c r="BW271" s="1183"/>
      <c r="BX271" s="1183"/>
      <c r="BY271" s="1183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3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3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3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3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3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3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04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04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2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2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2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2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4"/>
      <c r="BW277" s="1184"/>
      <c r="BX277" s="1184"/>
      <c r="BY277" s="1184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3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3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3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3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3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3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04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04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2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2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2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2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3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3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3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3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3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3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04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04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2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2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2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2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3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3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3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3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3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3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04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04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2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2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2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2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3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3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3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3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3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3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04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04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06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06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0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0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1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1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2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2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2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2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3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3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3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3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3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3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04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04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2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2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2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2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3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3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3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3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3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3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04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04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2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2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2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2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3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3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3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3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3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3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04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04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2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2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2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2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3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3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3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3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3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3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04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04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05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05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225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09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09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09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09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599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599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599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599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07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07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599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599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36" t="s">
        <v>47</v>
      </c>
      <c r="CE6" s="1836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37" t="s">
        <v>48</v>
      </c>
      <c r="CT6" s="1837"/>
      <c r="CU6" s="1833" t="s">
        <v>47</v>
      </c>
      <c r="CV6" s="183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4" t="s">
        <v>48</v>
      </c>
      <c r="DK6" s="1834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599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599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599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599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0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0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0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0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1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1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3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1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1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1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3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2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2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2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3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3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3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3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2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14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4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4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89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89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89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89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7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87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7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7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0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1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1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1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1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2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2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2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2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3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3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3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3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4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14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4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4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89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89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89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89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7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87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7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7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0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0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0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0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1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1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1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1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2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2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2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2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3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3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3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3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4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14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4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4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89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89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89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89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7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87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7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7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0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0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0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0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1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1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1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1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2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2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2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2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3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3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3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3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4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14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4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4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89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89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89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89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7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87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7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7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0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0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0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0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1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1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1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1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2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2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2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2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3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3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3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3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4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14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4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4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89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89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89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89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7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87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7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7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0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0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0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0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05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05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05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05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08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08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08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08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0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0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0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0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1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1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1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1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1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1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1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1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15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15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15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15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3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3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3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3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4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14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4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4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89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89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89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89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7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87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7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7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0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0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0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0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1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1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1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1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15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15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15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15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3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3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3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3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4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14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4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4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89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89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89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89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7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87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7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7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0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0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0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0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1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1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1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1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2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2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2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2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3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3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3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3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4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14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4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4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89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89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89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89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7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87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7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7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0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0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0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0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1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1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1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1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2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2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2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2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3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3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3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3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4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14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4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4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89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89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89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89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7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87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7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7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0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0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0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0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1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1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1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1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2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2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2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2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3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3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3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3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4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14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4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4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89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89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89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89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7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87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7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7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0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0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0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0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05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05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05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05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08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08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08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08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0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0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616">
        <f>Data!$K$1</f>
        <v>1</v>
      </c>
      <c r="L1" s="40"/>
      <c r="M1" s="40"/>
      <c r="N1" s="40"/>
      <c r="O1" s="40"/>
      <c r="P1" s="40"/>
      <c r="Q1" s="40"/>
      <c r="R1" s="40"/>
      <c r="S1" s="40"/>
      <c r="T1" s="1259"/>
      <c r="U1" s="1259"/>
      <c r="V1" s="1259"/>
      <c r="W1" s="1259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9"/>
      <c r="AM1" s="1259"/>
      <c r="AN1" s="1259"/>
      <c r="AO1" s="1259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0"/>
      <c r="L2" s="40"/>
      <c r="M2" s="40"/>
      <c r="N2" s="40"/>
      <c r="O2" s="40"/>
      <c r="P2" s="40"/>
      <c r="Q2" s="40"/>
      <c r="R2" s="40"/>
      <c r="S2" s="40"/>
      <c r="T2" s="1259"/>
      <c r="U2" s="1259"/>
      <c r="V2" s="1259"/>
      <c r="W2" s="1259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9"/>
      <c r="AM2" s="1259"/>
      <c r="AN2" s="1259"/>
      <c r="AO2" s="125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597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597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2" customFormat="1" ht="39" customHeight="1">
      <c r="A4" s="1618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07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19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07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19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19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07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19"/>
      <c r="BV4" s="1620" t="str">
        <f>Data!BV4</f>
        <v>'Very Poor'</v>
      </c>
      <c r="BW4" s="1620" t="str">
        <f>Data!BW4</f>
        <v>'Poor'</v>
      </c>
      <c r="BX4" s="1620" t="str">
        <f>Data!BX4</f>
        <v>'Middle'</v>
      </c>
      <c r="BY4" s="1620" t="str">
        <f>Data!BY4</f>
        <v>'Better-Off'</v>
      </c>
      <c r="BZ4" s="1621" t="str">
        <f>WB!B9</f>
        <v>VP</v>
      </c>
      <c r="CA4" s="1622" t="str">
        <f>WB!B10</f>
        <v>P</v>
      </c>
      <c r="CB4" s="1622" t="str">
        <f>WB!B11</f>
        <v>M</v>
      </c>
      <c r="CC4" s="1623" t="str">
        <f>WB!B12</f>
        <v>BO</v>
      </c>
      <c r="CD4" s="1102" t="s">
        <v>554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1105"/>
      <c r="CV4" s="1105"/>
      <c r="CW4" s="1105"/>
      <c r="CX4" s="1105"/>
      <c r="CY4" s="1105"/>
      <c r="CZ4" s="1105"/>
      <c r="DA4" s="1105"/>
      <c r="DB4" s="1105"/>
      <c r="DC4" s="1105"/>
      <c r="DD4" s="1105"/>
      <c r="DE4" s="1105"/>
      <c r="DF4" s="1105"/>
      <c r="DG4" s="1105"/>
      <c r="DH4" s="1105"/>
      <c r="DI4" s="1105"/>
      <c r="DJ4" s="1105"/>
      <c r="DK4" s="1105"/>
      <c r="DL4" s="1624" t="str">
        <f>BZ4</f>
        <v>VP</v>
      </c>
      <c r="DM4" s="1625" t="str">
        <f>CA4</f>
        <v>P</v>
      </c>
      <c r="DN4" s="1625" t="str">
        <f>CB4</f>
        <v>M</v>
      </c>
      <c r="DO4" s="1625" t="str">
        <f>CC4</f>
        <v>BO</v>
      </c>
      <c r="DP4" s="1626" t="str">
        <f>DL4</f>
        <v>VP</v>
      </c>
      <c r="DQ4" s="1627" t="str">
        <f>DM4</f>
        <v>P</v>
      </c>
      <c r="DR4" s="1628" t="str">
        <f>DN4</f>
        <v>M</v>
      </c>
      <c r="DS4" s="1629" t="str">
        <f>DO4</f>
        <v>BO</v>
      </c>
      <c r="DT4" s="1104" t="s">
        <v>49</v>
      </c>
      <c r="DU4" s="1630"/>
      <c r="DV4" s="1631"/>
    </row>
    <row r="5" spans="1:127" s="1651" customFormat="1" ht="26" customHeight="1">
      <c r="A5" s="1633" t="s">
        <v>103</v>
      </c>
      <c r="B5" s="1634" t="str">
        <f>IF(WB!T5="","",WB!T5)</f>
        <v>Saulo Kela</v>
      </c>
      <c r="C5" s="1635" t="str">
        <f>IF(WB!U5="","",WB!U5)</f>
        <v>Kaka</v>
      </c>
      <c r="D5" s="1635" t="str">
        <f>IF(WB!V5="","",WB!V5)</f>
        <v>David Chikoti</v>
      </c>
      <c r="E5" s="1635" t="str">
        <f>IF(WB!W5="","",WB!W5)</f>
        <v>Shem</v>
      </c>
      <c r="F5" s="1635" t="str">
        <f>IF(WB!X5="","",WB!X5)</f>
        <v>Kazembe</v>
      </c>
      <c r="G5" s="1635" t="str">
        <f>IF(WB!Y5="","",WB!Y5)</f>
        <v>Nakapata</v>
      </c>
      <c r="H5" s="1635" t="str">
        <f>IF(WB!Z5="","",WB!Z5)</f>
        <v>Ntatumbila</v>
      </c>
      <c r="I5" s="1635" t="str">
        <f>IF(WB!AA5="","",WB!AA5)</f>
        <v>Mkalizi</v>
      </c>
      <c r="J5" s="1635" t="str">
        <f>IF(WB!AB5="","",WB!AB5)</f>
        <v>Musyani</v>
      </c>
      <c r="K5" s="1636" t="str">
        <f>IF(WB!AC5="","",WB!AC5)</f>
        <v>Village</v>
      </c>
      <c r="L5" s="1635" t="str">
        <f>IF(WB!AD5="","",WB!AD5)</f>
        <v>Village</v>
      </c>
      <c r="M5" s="1635" t="str">
        <f>IF(WB!AE5="","",WB!AE5)</f>
        <v>Village</v>
      </c>
      <c r="N5" s="1635" t="str">
        <f>IF(WB!AF5="","",WB!AF5)</f>
        <v>Village</v>
      </c>
      <c r="O5" s="1635" t="str">
        <f>IF(WB!AG5="","",WB!AG5)</f>
        <v>Village</v>
      </c>
      <c r="P5" s="1635" t="str">
        <f>IF(WB!AH5="","",WB!AH5)</f>
        <v>Village</v>
      </c>
      <c r="Q5" s="1635" t="str">
        <f>IF(WB!AI5="","",WB!AI5)</f>
        <v>Village</v>
      </c>
      <c r="R5" s="1635" t="str">
        <f>IF(WB!AJ5="","",WB!AJ5)</f>
        <v>Village</v>
      </c>
      <c r="S5" s="1637"/>
      <c r="T5" s="1635" t="str">
        <f>IF(WB!AK5="","",WB!AK5)</f>
        <v>Saulo Kela</v>
      </c>
      <c r="U5" s="1635" t="str">
        <f>IF(WB!AL5="","",WB!AL5)</f>
        <v>Kaka</v>
      </c>
      <c r="V5" s="1635" t="str">
        <f>IF(WB!AM5="","",WB!AM5)</f>
        <v>David Chikoti</v>
      </c>
      <c r="W5" s="1635" t="str">
        <f>IF(WB!AN5="","",WB!AN5)</f>
        <v>Shem</v>
      </c>
      <c r="X5" s="1635" t="str">
        <f>IF(WB!AO5="","",WB!AO5)</f>
        <v>Kazembe</v>
      </c>
      <c r="Y5" s="1635" t="str">
        <f>IF(WB!AP5="","",WB!AP5)</f>
        <v>Nakapata</v>
      </c>
      <c r="Z5" s="1635" t="str">
        <f>IF(WB!AQ5="","",WB!AQ5)</f>
        <v>Ntatumbila</v>
      </c>
      <c r="AA5" s="1635" t="str">
        <f>IF(WB!AR5="","",WB!AR5)</f>
        <v>Mkalizi</v>
      </c>
      <c r="AB5" s="1635" t="str">
        <f>IF(WB!AS5="","",WB!AS5)</f>
        <v>Musyani</v>
      </c>
      <c r="AC5" s="1636" t="str">
        <f>IF(WB!AT5="","",WB!AT5)</f>
        <v>Village</v>
      </c>
      <c r="AD5" s="1635" t="str">
        <f>IF(WB!AU5="","",WB!AU5)</f>
        <v>Village</v>
      </c>
      <c r="AE5" s="1635" t="str">
        <f>IF(WB!AV5="","",WB!AV5)</f>
        <v>Village</v>
      </c>
      <c r="AF5" s="1635" t="str">
        <f>IF(WB!AW5="","",WB!AW5)</f>
        <v>Village</v>
      </c>
      <c r="AG5" s="1635" t="str">
        <f>IF(WB!AX5="","",WB!AX5)</f>
        <v>Village</v>
      </c>
      <c r="AH5" s="1635" t="str">
        <f>IF(WB!AY5="","",WB!AY5)</f>
        <v>Village</v>
      </c>
      <c r="AI5" s="1635" t="str">
        <f>IF(WB!AZ5="","",WB!AZ5)</f>
        <v>Village</v>
      </c>
      <c r="AJ5" s="1635" t="str">
        <f>IF(WB!BA5="","",WB!BA5)</f>
        <v>Village</v>
      </c>
      <c r="AK5" s="1637"/>
      <c r="AL5" s="1635" t="str">
        <f>IF(WB!BB5="","",WB!BB5)</f>
        <v>Saulo Kela</v>
      </c>
      <c r="AM5" s="1635" t="str">
        <f>IF(WB!BC5="","",WB!BC5)</f>
        <v>Kaka</v>
      </c>
      <c r="AN5" s="1635" t="str">
        <f>IF(WB!BD5="","",WB!BD5)</f>
        <v>David Chikoti</v>
      </c>
      <c r="AO5" s="1635" t="str">
        <f>IF(WB!BE5="","",WB!BE5)</f>
        <v>Shem</v>
      </c>
      <c r="AP5" s="1635" t="str">
        <f>IF(WB!BF5="","",WB!BF5)</f>
        <v>Kazembe</v>
      </c>
      <c r="AQ5" s="1635" t="str">
        <f>IF(WB!BG5="","",WB!BG5)</f>
        <v>Nakapata</v>
      </c>
      <c r="AR5" s="1635" t="str">
        <f>IF(WB!BH5="","",WB!BH5)</f>
        <v>Ntatumbila</v>
      </c>
      <c r="AS5" s="1635" t="str">
        <f>IF(WB!BI5="","",WB!BI5)</f>
        <v>Mkalizi</v>
      </c>
      <c r="AT5" s="1635" t="str">
        <f>IF(WB!BJ5="","",WB!BJ5)</f>
        <v>Musyani</v>
      </c>
      <c r="AU5" s="1635" t="str">
        <f>IF(WB!BK5="","",WB!BK5)</f>
        <v>Village</v>
      </c>
      <c r="AV5" s="1635" t="str">
        <f>IF(WB!BL5="","",WB!BL5)</f>
        <v>Village</v>
      </c>
      <c r="AW5" s="1635" t="str">
        <f>IF(WB!BM5="","",WB!BM5)</f>
        <v>Village</v>
      </c>
      <c r="AX5" s="1635" t="str">
        <f>IF(WB!BN5="","",WB!BN5)</f>
        <v>Village</v>
      </c>
      <c r="AY5" s="1635" t="str">
        <f>IF(WB!BO5="","",WB!BO5)</f>
        <v>Village</v>
      </c>
      <c r="AZ5" s="1635" t="str">
        <f>IF(WB!BP5="","",WB!BP5)</f>
        <v>Village</v>
      </c>
      <c r="BA5" s="1635" t="str">
        <f>IF(WB!BQ5="","",WB!BQ5)</f>
        <v>Village</v>
      </c>
      <c r="BB5" s="1635" t="str">
        <f>IF(WB!BR5="","",WB!BR5)</f>
        <v>Village</v>
      </c>
      <c r="BC5" s="1637"/>
      <c r="BD5" s="1635" t="str">
        <f>IF(WB!BS5="","",WB!BS5)</f>
        <v>Saulo Kela</v>
      </c>
      <c r="BE5" s="1635" t="str">
        <f>IF(WB!BT5="","",WB!BT5)</f>
        <v>Kaka</v>
      </c>
      <c r="BF5" s="1635" t="str">
        <f>IF(WB!BU5="","",WB!BU5)</f>
        <v>David Chikoti</v>
      </c>
      <c r="BG5" s="1635" t="str">
        <f>IF(WB!BV5="","",WB!BV5)</f>
        <v>Shem</v>
      </c>
      <c r="BH5" s="1635" t="str">
        <f>IF(WB!BW5="","",WB!BW5)</f>
        <v>Kazembe</v>
      </c>
      <c r="BI5" s="1635" t="str">
        <f>IF(WB!BX5="","",WB!BX5)</f>
        <v>Nakapata</v>
      </c>
      <c r="BJ5" s="1635" t="str">
        <f>IF(WB!BY5="","",WB!BY5)</f>
        <v>Ntatumbila</v>
      </c>
      <c r="BK5" s="1635" t="str">
        <f>IF(WB!BZ5="","",WB!BZ5)</f>
        <v>Mkalizi</v>
      </c>
      <c r="BL5" s="1635" t="str">
        <f>IF(WB!CA5="","",WB!CA5)</f>
        <v>Musyani</v>
      </c>
      <c r="BM5" s="1635" t="str">
        <f>IF(WB!CB5="","",WB!CB5)</f>
        <v>Village</v>
      </c>
      <c r="BN5" s="1636" t="str">
        <f>IF(WB!CC5="","",WB!CC5)</f>
        <v>Village</v>
      </c>
      <c r="BO5" s="1635" t="str">
        <f>IF(WB!CD5="","",WB!CD5)</f>
        <v>Village</v>
      </c>
      <c r="BP5" s="1635" t="str">
        <f>IF(WB!CE5="","",WB!CE5)</f>
        <v>Village</v>
      </c>
      <c r="BQ5" s="1635" t="str">
        <f>IF(WB!CF5="","",WB!CF5)</f>
        <v>Village</v>
      </c>
      <c r="BR5" s="1635" t="str">
        <f>IF(WB!CG5="","",WB!CG5)</f>
        <v>Village</v>
      </c>
      <c r="BS5" s="1635" t="str">
        <f>IF(WB!CH5="","",WB!CH5)</f>
        <v>Village</v>
      </c>
      <c r="BT5" s="1635" t="str">
        <f>IF(WB!CI5="","",WB!CI5)</f>
        <v>Village</v>
      </c>
      <c r="BU5" s="1637"/>
      <c r="BV5" s="1638"/>
      <c r="BW5" s="1638"/>
      <c r="BX5" s="1638"/>
      <c r="BY5" s="1638"/>
      <c r="BZ5" s="1639"/>
      <c r="CA5" s="1639"/>
      <c r="CB5" s="1639"/>
      <c r="CC5" s="1640"/>
      <c r="CD5" s="1641" t="str">
        <f>IF(UPPER($CD$4)=UPPER($BZ$4),$BV$4,IF(UPPER($CD$4)=UPPER($CA$4),$BW$4,IF(UPPER($CD$4)=UPPER($CB$4),$BX$4,$BY$4)))</f>
        <v>'Better-Off'</v>
      </c>
      <c r="CE5" s="1642"/>
      <c r="CF5" s="1642"/>
      <c r="CG5" s="1642"/>
      <c r="CH5" s="1642"/>
      <c r="CI5" s="1642"/>
      <c r="CJ5" s="1642"/>
      <c r="CK5" s="1642"/>
      <c r="CL5" s="1642"/>
      <c r="CM5" s="1642"/>
      <c r="CN5" s="1642"/>
      <c r="CO5" s="1642"/>
      <c r="CP5" s="1642"/>
      <c r="CQ5" s="1642"/>
      <c r="CR5" s="1642"/>
      <c r="CS5" s="1642"/>
      <c r="CT5" s="1643"/>
      <c r="CU5" s="1644" t="str">
        <f>IF($CD$4=$BZ$4,$BW$4,$BY$4)</f>
        <v>'Better-Off'</v>
      </c>
      <c r="CV5" s="1642"/>
      <c r="CW5" s="1642"/>
      <c r="CX5" s="1642"/>
      <c r="CY5" s="1642"/>
      <c r="CZ5" s="1642"/>
      <c r="DA5" s="1642"/>
      <c r="DB5" s="1642"/>
      <c r="DC5" s="1642"/>
      <c r="DD5" s="1642"/>
      <c r="DE5" s="1642"/>
      <c r="DF5" s="1642"/>
      <c r="DG5" s="1642"/>
      <c r="DH5" s="1642"/>
      <c r="DI5" s="1642"/>
      <c r="DJ5" s="1642"/>
      <c r="DK5" s="1642"/>
      <c r="DL5" s="1645"/>
      <c r="DM5" s="1646"/>
      <c r="DN5" s="1646"/>
      <c r="DO5" s="1646"/>
      <c r="DP5" s="1647"/>
      <c r="DQ5" s="1648"/>
      <c r="DR5" s="1638"/>
      <c r="DS5" s="1649"/>
      <c r="DT5" s="1646"/>
      <c r="DU5" s="1646"/>
      <c r="DV5" s="1650"/>
      <c r="DW5" s="1650"/>
    </row>
    <row r="6" spans="1:127" s="1665" customFormat="1" ht="12.75" customHeight="1">
      <c r="A6" s="1633" t="s">
        <v>104</v>
      </c>
      <c r="B6" s="1652">
        <f>IF(WB!T6="","",WB!T6)</f>
        <v>1</v>
      </c>
      <c r="C6" s="1653">
        <f>IF(WB!U6="","",WB!U6)</f>
        <v>2</v>
      </c>
      <c r="D6" s="1653">
        <f>IF(WB!V6="","",WB!V6)</f>
        <v>3</v>
      </c>
      <c r="E6" s="1653">
        <f>IF(WB!W6="","",WB!W6)</f>
        <v>4</v>
      </c>
      <c r="F6" s="1653">
        <f>IF(WB!X6="","",WB!X6)</f>
        <v>5</v>
      </c>
      <c r="G6" s="1653">
        <f>IF(WB!Y6="","",WB!Y6)</f>
        <v>6</v>
      </c>
      <c r="H6" s="1653">
        <f>IF(WB!Z6="","",WB!Z6)</f>
        <v>7</v>
      </c>
      <c r="I6" s="1653">
        <f>IF(WB!AA6="","",WB!AA6)</f>
        <v>8</v>
      </c>
      <c r="J6" s="1653">
        <f>IF(WB!AB6="","",WB!AB6)</f>
        <v>9</v>
      </c>
      <c r="K6" s="1654">
        <f>IF(WB!AC6="","",WB!AC6)</f>
        <v>10</v>
      </c>
      <c r="L6" s="1653">
        <f>IF(WB!AD6="","",WB!AD6)</f>
        <v>11</v>
      </c>
      <c r="M6" s="1653">
        <f>IF(WB!AE6="","",WB!AE6)</f>
        <v>12</v>
      </c>
      <c r="N6" s="1653">
        <f>IF(WB!AF6="","",WB!AF6)</f>
        <v>13</v>
      </c>
      <c r="O6" s="1653">
        <f>IF(WB!AG6="","",WB!AG6)</f>
        <v>14</v>
      </c>
      <c r="P6" s="1653">
        <f>IF(WB!AH6="","",WB!AH6)</f>
        <v>15</v>
      </c>
      <c r="Q6" s="1653">
        <f>IF(WB!AI6="","",WB!AI6)</f>
        <v>16</v>
      </c>
      <c r="R6" s="1653">
        <f>IF(WB!AJ6="","",WB!AJ6)</f>
        <v>17</v>
      </c>
      <c r="S6" s="1655"/>
      <c r="T6" s="1653">
        <f>IF(WB!AK6="","",WB!AK6)</f>
        <v>18</v>
      </c>
      <c r="U6" s="1653">
        <f>IF(WB!AL6="","",WB!AL6)</f>
        <v>19</v>
      </c>
      <c r="V6" s="1653">
        <f>IF(WB!AM6="","",WB!AM6)</f>
        <v>20</v>
      </c>
      <c r="W6" s="1653">
        <f>IF(WB!AN6="","",WB!AN6)</f>
        <v>21</v>
      </c>
      <c r="X6" s="1653">
        <f>IF(WB!AO6="","",WB!AO6)</f>
        <v>22</v>
      </c>
      <c r="Y6" s="1653">
        <f>IF(WB!AP6="","",WB!AP6)</f>
        <v>23</v>
      </c>
      <c r="Z6" s="1653">
        <f>IF(WB!AQ6="","",WB!AQ6)</f>
        <v>24</v>
      </c>
      <c r="AA6" s="1653">
        <f>IF(WB!AR6="","",WB!AR6)</f>
        <v>25</v>
      </c>
      <c r="AB6" s="1653">
        <f>IF(WB!AS6="","",WB!AS6)</f>
        <v>26</v>
      </c>
      <c r="AC6" s="1654">
        <f>IF(WB!AT6="","",WB!AT6)</f>
        <v>27</v>
      </c>
      <c r="AD6" s="1653">
        <f>IF(WB!AU6="","",WB!AU6)</f>
        <v>28</v>
      </c>
      <c r="AE6" s="1653">
        <f>IF(WB!AV6="","",WB!AV6)</f>
        <v>29</v>
      </c>
      <c r="AF6" s="1653">
        <f>IF(WB!AW6="","",WB!AW6)</f>
        <v>30</v>
      </c>
      <c r="AG6" s="1653">
        <f>IF(WB!AX6="","",WB!AX6)</f>
        <v>31</v>
      </c>
      <c r="AH6" s="1653">
        <f>IF(WB!AY6="","",WB!AY6)</f>
        <v>32</v>
      </c>
      <c r="AI6" s="1653">
        <f>IF(WB!AZ6="","",WB!AZ6)</f>
        <v>33</v>
      </c>
      <c r="AJ6" s="1653">
        <f>IF(WB!BA6="","",WB!BA6)</f>
        <v>34</v>
      </c>
      <c r="AK6" s="1655"/>
      <c r="AL6" s="1653">
        <f>IF(WB!BB6="","",WB!BB6)</f>
        <v>35</v>
      </c>
      <c r="AM6" s="1653">
        <f>IF(WB!BC6="","",WB!BC6)</f>
        <v>36</v>
      </c>
      <c r="AN6" s="1653">
        <f>IF(WB!BD6="","",WB!BD6)</f>
        <v>37</v>
      </c>
      <c r="AO6" s="1653">
        <f>IF(WB!BE6="","",WB!BE6)</f>
        <v>38</v>
      </c>
      <c r="AP6" s="1653">
        <f>IF(WB!BF6="","",WB!BF6)</f>
        <v>39</v>
      </c>
      <c r="AQ6" s="1653">
        <f>IF(WB!BG6="","",WB!BG6)</f>
        <v>40</v>
      </c>
      <c r="AR6" s="1653">
        <f>IF(WB!BH6="","",WB!BH6)</f>
        <v>41</v>
      </c>
      <c r="AS6" s="1653">
        <f>IF(WB!BI6="","",WB!BI6)</f>
        <v>42</v>
      </c>
      <c r="AT6" s="1653">
        <f>IF(WB!BJ6="","",WB!BJ6)</f>
        <v>43</v>
      </c>
      <c r="AU6" s="1653">
        <f>IF(WB!BK6="","",WB!BK6)</f>
        <v>44</v>
      </c>
      <c r="AV6" s="1653">
        <f>IF(WB!BL6="","",WB!BL6)</f>
        <v>45</v>
      </c>
      <c r="AW6" s="1653">
        <f>IF(WB!BM6="","",WB!BM6)</f>
        <v>46</v>
      </c>
      <c r="AX6" s="1653">
        <f>IF(WB!BN6="","",WB!BN6)</f>
        <v>47</v>
      </c>
      <c r="AY6" s="1653">
        <f>IF(WB!BO6="","",WB!BO6)</f>
        <v>48</v>
      </c>
      <c r="AZ6" s="1653">
        <f>IF(WB!BP6="","",WB!BP6)</f>
        <v>49</v>
      </c>
      <c r="BA6" s="1653">
        <f>IF(WB!BQ6="","",WB!BQ6)</f>
        <v>50</v>
      </c>
      <c r="BB6" s="1653">
        <f>IF(WB!BR6="","",WB!BR6)</f>
        <v>51</v>
      </c>
      <c r="BC6" s="1655"/>
      <c r="BD6" s="1653" t="str">
        <f>IF(WB!BS7="","",WB!BS7)</f>
        <v>Sekeli, Chimbele</v>
      </c>
      <c r="BE6" s="1653" t="str">
        <f>IF(WB!BT7="","",WB!BT7)</f>
        <v>Mpazi, Chimbele</v>
      </c>
      <c r="BF6" s="1653" t="str">
        <f>IF(WB!BU7="","",WB!BU7)</f>
        <v>Sekeli, Mpazi</v>
      </c>
      <c r="BG6" s="1653">
        <f>IF(WB!BV6="","",WB!BV6)</f>
        <v>55</v>
      </c>
      <c r="BH6" s="1653">
        <f>IF(WB!BW6="","",WB!BW6)</f>
        <v>56</v>
      </c>
      <c r="BI6" s="1653">
        <f>IF(WB!BX6="","",WB!BX6)</f>
        <v>57</v>
      </c>
      <c r="BJ6" s="1653">
        <f>IF(WB!BY6="","",WB!BY6)</f>
        <v>58</v>
      </c>
      <c r="BK6" s="1653">
        <f>IF(WB!BZ6="","",WB!BZ6)</f>
        <v>59</v>
      </c>
      <c r="BL6" s="1653">
        <f>IF(WB!CA6="","",WB!CA6)</f>
        <v>60</v>
      </c>
      <c r="BM6" s="1653">
        <f>IF(WB!CB6="","",WB!CB6)</f>
        <v>61</v>
      </c>
      <c r="BN6" s="1654">
        <f>IF(WB!CC6="","",WB!CC6)</f>
        <v>62</v>
      </c>
      <c r="BO6" s="1653">
        <f>IF(WB!CD6="","",WB!CD6)</f>
        <v>63</v>
      </c>
      <c r="BP6" s="1653">
        <f>IF(WB!CE6="","",WB!CE6)</f>
        <v>64</v>
      </c>
      <c r="BQ6" s="1653">
        <f>IF(WB!CF6="","",WB!CF6)</f>
        <v>65</v>
      </c>
      <c r="BR6" s="1653">
        <f>IF(WB!CG6="","",WB!CG6)</f>
        <v>66</v>
      </c>
      <c r="BS6" s="1653">
        <f>IF(WB!CH6="","",WB!CH6)</f>
        <v>67</v>
      </c>
      <c r="BT6" s="1653">
        <f>IF(WB!CI6="","",WB!CI6)</f>
        <v>68</v>
      </c>
      <c r="BU6" s="1655"/>
      <c r="BV6" s="1656"/>
      <c r="BW6" s="1656"/>
      <c r="BX6" s="1656"/>
      <c r="BY6" s="1656"/>
      <c r="BZ6" s="1657"/>
      <c r="CA6" s="1657"/>
      <c r="CB6" s="1657"/>
      <c r="CC6" s="1658"/>
      <c r="CD6" s="1838" t="s">
        <v>47</v>
      </c>
      <c r="CE6" s="1838"/>
      <c r="CF6" s="1560"/>
      <c r="CG6" s="1560"/>
      <c r="CH6" s="1560"/>
      <c r="CI6" s="1560"/>
      <c r="CJ6" s="1560"/>
      <c r="CK6" s="1560"/>
      <c r="CL6" s="1560"/>
      <c r="CM6" s="1560"/>
      <c r="CN6" s="1560"/>
      <c r="CO6" s="1560"/>
      <c r="CP6" s="1560"/>
      <c r="CQ6" s="1560"/>
      <c r="CR6" s="1560"/>
      <c r="CS6" s="1839" t="s">
        <v>48</v>
      </c>
      <c r="CT6" s="1839"/>
      <c r="CU6" s="1840" t="s">
        <v>47</v>
      </c>
      <c r="CV6" s="1840"/>
      <c r="CW6" s="1560"/>
      <c r="CX6" s="1560"/>
      <c r="CY6" s="1560"/>
      <c r="CZ6" s="1560"/>
      <c r="DA6" s="1560"/>
      <c r="DB6" s="1560"/>
      <c r="DC6" s="1560"/>
      <c r="DD6" s="1560"/>
      <c r="DE6" s="1560"/>
      <c r="DF6" s="1560"/>
      <c r="DG6" s="1560"/>
      <c r="DH6" s="1560"/>
      <c r="DI6" s="1560"/>
      <c r="DJ6" s="1841" t="s">
        <v>48</v>
      </c>
      <c r="DK6" s="1841"/>
      <c r="DL6" s="1659"/>
      <c r="DM6" s="1660"/>
      <c r="DN6" s="1660"/>
      <c r="DO6" s="1660"/>
      <c r="DP6" s="1661"/>
      <c r="DQ6" s="1662"/>
      <c r="DR6" s="1656"/>
      <c r="DS6" s="1663"/>
      <c r="DT6" s="1660"/>
      <c r="DU6" s="1660"/>
      <c r="DV6" s="1664"/>
      <c r="DW6" s="1664"/>
    </row>
    <row r="7" spans="1:127" s="1665" customFormat="1" ht="14" customHeight="1">
      <c r="A7" s="1666" t="s">
        <v>64</v>
      </c>
      <c r="B7" s="1652">
        <f>IF(WB!T14="","",WB!T14)</f>
        <v>10</v>
      </c>
      <c r="C7" s="1653">
        <f>IF(WB!U14="","",WB!U14)</f>
        <v>7</v>
      </c>
      <c r="D7" s="1653">
        <f>IF(WB!V14="","",WB!V14)</f>
        <v>6</v>
      </c>
      <c r="E7" s="1653">
        <f>IF(WB!W14="","",WB!W14)</f>
        <v>6</v>
      </c>
      <c r="F7" s="1653">
        <f>IF(WB!X14="","",WB!X14)</f>
        <v>6</v>
      </c>
      <c r="G7" s="1653">
        <f>IF(WB!Y14="","",WB!Y14)</f>
        <v>8</v>
      </c>
      <c r="H7" s="1653">
        <f>IF(WB!Z14="","",WB!Z14)</f>
        <v>6</v>
      </c>
      <c r="I7" s="1653">
        <f>IF(WB!AA14="","",WB!AA14)</f>
        <v>6</v>
      </c>
      <c r="J7" s="1653">
        <f>IF(WB!AB14="","",WB!AB14)</f>
        <v>7</v>
      </c>
      <c r="K7" s="1654" t="str">
        <f>IF(WB!AC14="","",WB!AC14)</f>
        <v/>
      </c>
      <c r="L7" s="1653" t="str">
        <f>IF(WB!AD14="","",WB!AD14)</f>
        <v/>
      </c>
      <c r="M7" s="1653" t="str">
        <f>IF(WB!AE14="","",WB!AE14)</f>
        <v/>
      </c>
      <c r="N7" s="1653" t="str">
        <f>IF(WB!AF14="","",WB!AF14)</f>
        <v/>
      </c>
      <c r="O7" s="1653" t="str">
        <f>IF(WB!AG14="","",WB!AG14)</f>
        <v/>
      </c>
      <c r="P7" s="1653" t="str">
        <f>IF(WB!AH14="","",WB!AH14)</f>
        <v/>
      </c>
      <c r="Q7" s="1653" t="str">
        <f>IF(WB!AI14="","",WB!AI14)</f>
        <v/>
      </c>
      <c r="R7" s="1653" t="str">
        <f>IF(WB!AJ14="","",WB!AJ14)</f>
        <v/>
      </c>
      <c r="S7" s="1667"/>
      <c r="T7" s="1653">
        <f>IF(WB!AK15="","",WB!AK15)</f>
        <v>8</v>
      </c>
      <c r="U7" s="1653">
        <f>IF(WB!AL15="","",WB!AL15)</f>
        <v>11</v>
      </c>
      <c r="V7" s="1653">
        <f>IF(WB!AM15="","",WB!AM15)</f>
        <v>12</v>
      </c>
      <c r="W7" s="1653">
        <f>IF(WB!AN15="","",WB!AN15)</f>
        <v>10</v>
      </c>
      <c r="X7" s="1653">
        <f>IF(WB!AO15="","",WB!AO15)</f>
        <v>8</v>
      </c>
      <c r="Y7" s="1653">
        <f>IF(WB!AP15="","",WB!AP15)</f>
        <v>7</v>
      </c>
      <c r="Z7" s="1653">
        <f>IF(WB!AQ15="","",WB!AQ15)</f>
        <v>8</v>
      </c>
      <c r="AA7" s="1653">
        <f>IF(WB!AR15="","",WB!AR15)</f>
        <v>10</v>
      </c>
      <c r="AB7" s="1653">
        <f>IF(WB!AS15="","",WB!AS15)</f>
        <v>7</v>
      </c>
      <c r="AC7" s="1654" t="str">
        <f>IF(WB!AT15="","",WB!AT15)</f>
        <v/>
      </c>
      <c r="AD7" s="1653" t="str">
        <f>IF(WB!AU15="","",WB!AU15)</f>
        <v/>
      </c>
      <c r="AE7" s="1653" t="str">
        <f>IF(WB!AV15="","",WB!AV15)</f>
        <v/>
      </c>
      <c r="AF7" s="1653" t="str">
        <f>IF(WB!AW15="","",WB!AW15)</f>
        <v/>
      </c>
      <c r="AG7" s="1653" t="str">
        <f>IF(WB!AX15="","",WB!AX15)</f>
        <v/>
      </c>
      <c r="AH7" s="1653" t="str">
        <f>IF(WB!AY15="","",WB!AY15)</f>
        <v/>
      </c>
      <c r="AI7" s="1653" t="str">
        <f>IF(WB!AZ15="","",WB!AZ15)</f>
        <v/>
      </c>
      <c r="AJ7" s="1653" t="str">
        <f>IF(WB!BA15="","",WB!BA15)</f>
        <v/>
      </c>
      <c r="AK7" s="1667"/>
      <c r="AL7" s="1653">
        <f>IF(WB!BB16="","",WB!BB16)</f>
        <v>11</v>
      </c>
      <c r="AM7" s="1653">
        <f>IF(WB!BC16="","",WB!BC16)</f>
        <v>12</v>
      </c>
      <c r="AN7" s="1653">
        <f>IF(WB!BD16="","",WB!BD16)</f>
        <v>8</v>
      </c>
      <c r="AO7" s="1653">
        <f>IF(WB!BE16="","",WB!BE16)</f>
        <v>8</v>
      </c>
      <c r="AP7" s="1653">
        <f>IF(WB!BF16="","",WB!BF16)</f>
        <v>6</v>
      </c>
      <c r="AQ7" s="1653">
        <f>IF(WB!BG16="","",WB!BG16)</f>
        <v>6</v>
      </c>
      <c r="AR7" s="1653">
        <f>IF(WB!BH16="","",WB!BH16)</f>
        <v>8</v>
      </c>
      <c r="AS7" s="1653">
        <f>IF(WB!BI16="","",WB!BI16)</f>
        <v>8</v>
      </c>
      <c r="AT7" s="1653">
        <f>IF(WB!BJ16="","",WB!BJ16)</f>
        <v>10</v>
      </c>
      <c r="AU7" s="1653" t="str">
        <f>IF(WB!BK16="","",WB!BK16)</f>
        <v/>
      </c>
      <c r="AV7" s="1653" t="str">
        <f>IF(WB!BL16="","",WB!BL16)</f>
        <v/>
      </c>
      <c r="AW7" s="1653" t="str">
        <f>IF(WB!BM16="","",WB!BM16)</f>
        <v/>
      </c>
      <c r="AX7" s="1653" t="str">
        <f>IF(WB!BN16="","",WB!BN16)</f>
        <v/>
      </c>
      <c r="AY7" s="1653" t="str">
        <f>IF(WB!BO16="","",WB!BO16)</f>
        <v/>
      </c>
      <c r="AZ7" s="1653" t="str">
        <f>IF(WB!BP16="","",WB!BP16)</f>
        <v/>
      </c>
      <c r="BA7" s="1653" t="str">
        <f>IF(WB!BQ16="","",WB!BQ16)</f>
        <v/>
      </c>
      <c r="BB7" s="1653" t="str">
        <f>IF(WB!BR16="","",WB!BR16)</f>
        <v/>
      </c>
      <c r="BC7" s="1667"/>
      <c r="BD7" s="1653">
        <f>IF(WB!BS17="","",WB!BS17)</f>
        <v>12</v>
      </c>
      <c r="BE7" s="1653">
        <f>IF(WB!BT17="","",WB!BT17)</f>
        <v>12</v>
      </c>
      <c r="BF7" s="1653">
        <f>IF(WB!BU17="","",WB!BU17)</f>
        <v>10</v>
      </c>
      <c r="BG7" s="1653">
        <f>IF(WB!BV17="","",WB!BV17)</f>
        <v>10</v>
      </c>
      <c r="BH7" s="1653">
        <f>IF(WB!BW17="","",WB!BW17)</f>
        <v>10</v>
      </c>
      <c r="BI7" s="1653">
        <f>IF(WB!BX17="","",WB!BX17)</f>
        <v>7</v>
      </c>
      <c r="BJ7" s="1653">
        <f>IF(WB!BY17="","",WB!BY17)</f>
        <v>6</v>
      </c>
      <c r="BK7" s="1653">
        <f>IF(WB!BZ17="","",WB!BZ17)</f>
        <v>12</v>
      </c>
      <c r="BL7" s="1653">
        <f>IF(WB!CA17="","",WB!CA17)</f>
        <v>9</v>
      </c>
      <c r="BM7" s="1653" t="str">
        <f>IF(WB!CB17="","",WB!CB17)</f>
        <v/>
      </c>
      <c r="BN7" s="1654" t="str">
        <f>IF(WB!CC17="","",WB!CC17)</f>
        <v/>
      </c>
      <c r="BO7" s="1653" t="str">
        <f>IF(WB!CD17="","",WB!CD17)</f>
        <v/>
      </c>
      <c r="BP7" s="1653" t="str">
        <f>IF(WB!CE17="","",WB!CE17)</f>
        <v/>
      </c>
      <c r="BQ7" s="1653" t="str">
        <f>IF(WB!CF17="","",WB!CF17)</f>
        <v/>
      </c>
      <c r="BR7" s="1653" t="str">
        <f>IF(WB!CG17="","",WB!CG17)</f>
        <v/>
      </c>
      <c r="BS7" s="1653" t="str">
        <f>IF(WB!CH17="","",WB!CH17)</f>
        <v/>
      </c>
      <c r="BT7" s="1653" t="str">
        <f>IF(WB!CI17="","",WB!CI17)</f>
        <v/>
      </c>
      <c r="BU7" s="1667"/>
      <c r="BV7" s="1653" t="str">
        <f>IF(WB!CK14="","",WB!CK14)</f>
        <v/>
      </c>
      <c r="BW7" s="1653" t="str">
        <f>IF(WB!CK15="","",WB!CK15)</f>
        <v/>
      </c>
      <c r="BX7" s="1653" t="str">
        <f>IF(WB!CK16="","",WB!CK16)</f>
        <v/>
      </c>
      <c r="BY7" s="1653" t="str">
        <f>IF(WB!CK17="","",WB!CK17)</f>
        <v/>
      </c>
      <c r="BZ7" s="1657"/>
      <c r="CA7" s="1657"/>
      <c r="CB7" s="1657"/>
      <c r="CC7" s="1658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659"/>
      <c r="DM7" s="1660"/>
      <c r="DN7" s="1660"/>
      <c r="DO7" s="1660"/>
      <c r="DP7" s="1653" t="str">
        <f>IF(WB!CK14="","",WB!CK14)</f>
        <v/>
      </c>
      <c r="DQ7" s="1653" t="str">
        <f>IF(WB!CK15="","",WB!CK15)</f>
        <v/>
      </c>
      <c r="DR7" s="1653" t="str">
        <f>IF(WB!CK16="","",WB!CK16)</f>
        <v/>
      </c>
      <c r="DS7" s="1653" t="str">
        <f>IF(WB!CK17="","",WB!CK17)</f>
        <v/>
      </c>
      <c r="DT7" s="1660"/>
      <c r="DU7" s="1660"/>
      <c r="DV7" s="1664"/>
      <c r="DW7" s="1664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0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0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0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1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27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8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8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8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3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3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3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3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2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2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 t="str">
        <f t="shared" ref="BZ12:BZ14" si="23">IF(DL12&lt;3,"",(SUM(B12:R12)-MIN(B12:R12)-MAX(B12:R12))/(DL12-2))</f>
        <v/>
      </c>
      <c r="CA12" s="660" t="str">
        <f t="shared" ref="CA12:CA14" si="24">IF(DM12&lt;3,"",(SUM(T12:AJ12)-MIN(T12:AJ12)-MAX(T12:AJ12))/(DM12-2))</f>
        <v/>
      </c>
      <c r="CB12" s="660" t="str">
        <f t="shared" ref="CB12:CB14" si="25">IF(DN12&lt;3,"",(SUM(AL12:BB12)-MIN(AL12:BB12)-MAX(AL12:BB12))/(DN12-2))</f>
        <v/>
      </c>
      <c r="CC12" s="661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3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3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3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 t="str">
        <f t="shared" si="23"/>
        <v/>
      </c>
      <c r="CA13" s="660" t="str">
        <f t="shared" si="24"/>
        <v/>
      </c>
      <c r="CB13" s="660" t="str">
        <f t="shared" si="25"/>
        <v/>
      </c>
      <c r="CC13" s="661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9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9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9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 t="shared" si="23"/>
        <v/>
      </c>
      <c r="CA14" s="660" t="str">
        <f t="shared" si="24"/>
        <v/>
      </c>
      <c r="CB14" s="660" t="str">
        <f t="shared" si="25"/>
        <v/>
      </c>
      <c r="CC14" s="661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32">4440*$K$1</f>
        <v>4440</v>
      </c>
      <c r="D15" s="781">
        <f t="shared" si="32"/>
        <v>4440</v>
      </c>
      <c r="E15" s="781">
        <f t="shared" si="32"/>
        <v>4440</v>
      </c>
      <c r="F15" s="781">
        <f t="shared" si="32"/>
        <v>4440</v>
      </c>
      <c r="G15" s="781">
        <f t="shared" si="32"/>
        <v>4440</v>
      </c>
      <c r="H15" s="781">
        <f t="shared" si="32"/>
        <v>4440</v>
      </c>
      <c r="I15" s="781">
        <f t="shared" si="32"/>
        <v>4440</v>
      </c>
      <c r="J15" s="781">
        <f t="shared" si="32"/>
        <v>4440</v>
      </c>
      <c r="K15" s="1617">
        <f t="shared" si="32"/>
        <v>4440</v>
      </c>
      <c r="L15" s="781">
        <f t="shared" si="32"/>
        <v>4440</v>
      </c>
      <c r="M15" s="781">
        <f t="shared" si="32"/>
        <v>4440</v>
      </c>
      <c r="N15" s="781">
        <f t="shared" si="32"/>
        <v>4440</v>
      </c>
      <c r="O15" s="781">
        <f t="shared" si="32"/>
        <v>4440</v>
      </c>
      <c r="P15" s="781">
        <f t="shared" si="32"/>
        <v>4440</v>
      </c>
      <c r="Q15" s="781">
        <f t="shared" si="32"/>
        <v>4440</v>
      </c>
      <c r="R15" s="781">
        <f t="shared" si="32"/>
        <v>4440</v>
      </c>
      <c r="S15" s="778"/>
      <c r="T15" s="781">
        <f>4440*$K$1</f>
        <v>4440</v>
      </c>
      <c r="U15" s="781">
        <f t="shared" ref="U15:AJ15" si="33">4440*$K$1</f>
        <v>4440</v>
      </c>
      <c r="V15" s="781">
        <f t="shared" si="33"/>
        <v>4440</v>
      </c>
      <c r="W15" s="781">
        <f t="shared" si="33"/>
        <v>4440</v>
      </c>
      <c r="X15" s="781">
        <f t="shared" si="33"/>
        <v>4440</v>
      </c>
      <c r="Y15" s="781">
        <f t="shared" si="33"/>
        <v>4440</v>
      </c>
      <c r="Z15" s="781">
        <f t="shared" si="33"/>
        <v>4440</v>
      </c>
      <c r="AA15" s="781">
        <f t="shared" si="33"/>
        <v>4440</v>
      </c>
      <c r="AB15" s="781">
        <f t="shared" si="33"/>
        <v>4440</v>
      </c>
      <c r="AC15" s="1617">
        <f t="shared" si="33"/>
        <v>4440</v>
      </c>
      <c r="AD15" s="781">
        <f t="shared" si="33"/>
        <v>4440</v>
      </c>
      <c r="AE15" s="781">
        <f t="shared" si="33"/>
        <v>4440</v>
      </c>
      <c r="AF15" s="781">
        <f t="shared" si="33"/>
        <v>4440</v>
      </c>
      <c r="AG15" s="781">
        <f t="shared" si="33"/>
        <v>4440</v>
      </c>
      <c r="AH15" s="781">
        <f t="shared" si="33"/>
        <v>4440</v>
      </c>
      <c r="AI15" s="781">
        <f t="shared" si="33"/>
        <v>4440</v>
      </c>
      <c r="AJ15" s="781">
        <f t="shared" si="33"/>
        <v>4440</v>
      </c>
      <c r="AK15" s="778"/>
      <c r="AL15" s="781">
        <f>4440*$K$1</f>
        <v>4440</v>
      </c>
      <c r="AM15" s="781">
        <f t="shared" ref="AM15:BB15" si="34">4440*$K$1</f>
        <v>4440</v>
      </c>
      <c r="AN15" s="781">
        <f t="shared" si="34"/>
        <v>4440</v>
      </c>
      <c r="AO15" s="781">
        <f t="shared" si="34"/>
        <v>4440</v>
      </c>
      <c r="AP15" s="781">
        <f t="shared" si="34"/>
        <v>4440</v>
      </c>
      <c r="AQ15" s="781">
        <f t="shared" si="34"/>
        <v>4440</v>
      </c>
      <c r="AR15" s="781">
        <f t="shared" si="34"/>
        <v>4440</v>
      </c>
      <c r="AS15" s="781">
        <f t="shared" si="34"/>
        <v>4440</v>
      </c>
      <c r="AT15" s="781">
        <f t="shared" si="34"/>
        <v>4440</v>
      </c>
      <c r="AU15" s="781">
        <f t="shared" si="34"/>
        <v>4440</v>
      </c>
      <c r="AV15" s="781">
        <f t="shared" si="34"/>
        <v>4440</v>
      </c>
      <c r="AW15" s="781">
        <f t="shared" si="34"/>
        <v>4440</v>
      </c>
      <c r="AX15" s="781">
        <f t="shared" si="34"/>
        <v>4440</v>
      </c>
      <c r="AY15" s="781">
        <f t="shared" si="34"/>
        <v>4440</v>
      </c>
      <c r="AZ15" s="781">
        <f t="shared" si="34"/>
        <v>4440</v>
      </c>
      <c r="BA15" s="781">
        <f t="shared" si="34"/>
        <v>4440</v>
      </c>
      <c r="BB15" s="781">
        <f t="shared" si="34"/>
        <v>4440</v>
      </c>
      <c r="BC15" s="778"/>
      <c r="BD15" s="781">
        <f>4440*$K$1</f>
        <v>4440</v>
      </c>
      <c r="BE15" s="781">
        <f t="shared" ref="BE15:BY15" si="35">4440*$K$1</f>
        <v>4440</v>
      </c>
      <c r="BF15" s="781">
        <f t="shared" si="35"/>
        <v>4440</v>
      </c>
      <c r="BG15" s="781">
        <f t="shared" si="35"/>
        <v>4440</v>
      </c>
      <c r="BH15" s="781">
        <f t="shared" si="35"/>
        <v>4440</v>
      </c>
      <c r="BI15" s="781">
        <f t="shared" si="35"/>
        <v>4440</v>
      </c>
      <c r="BJ15" s="781">
        <f t="shared" si="35"/>
        <v>4440</v>
      </c>
      <c r="BK15" s="781">
        <f t="shared" si="35"/>
        <v>4440</v>
      </c>
      <c r="BL15" s="781">
        <f t="shared" si="35"/>
        <v>4440</v>
      </c>
      <c r="BM15" s="781">
        <f t="shared" si="35"/>
        <v>4440</v>
      </c>
      <c r="BN15" s="1617">
        <f t="shared" si="35"/>
        <v>4440</v>
      </c>
      <c r="BO15" s="781">
        <f t="shared" si="35"/>
        <v>4440</v>
      </c>
      <c r="BP15" s="781">
        <f t="shared" si="35"/>
        <v>4440</v>
      </c>
      <c r="BQ15" s="781">
        <f t="shared" si="35"/>
        <v>4440</v>
      </c>
      <c r="BR15" s="781">
        <f t="shared" si="35"/>
        <v>4440</v>
      </c>
      <c r="BS15" s="781">
        <f t="shared" si="35"/>
        <v>4440</v>
      </c>
      <c r="BT15" s="781">
        <f t="shared" si="35"/>
        <v>4440</v>
      </c>
      <c r="BU15" s="778"/>
      <c r="BV15" s="781">
        <f t="shared" si="35"/>
        <v>4440</v>
      </c>
      <c r="BW15" s="781">
        <f t="shared" si="35"/>
        <v>4440</v>
      </c>
      <c r="BX15" s="781">
        <f t="shared" si="35"/>
        <v>4440</v>
      </c>
      <c r="BY15" s="781">
        <f t="shared" si="35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90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8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82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8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8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82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9" t="str">
        <f>IF(DL16&lt;3,"",(SUM(B16:R16)-MIN(B16:R16)-MAX(B16:R16))/(DL16-2))</f>
        <v/>
      </c>
      <c r="CA16" s="749" t="str">
        <f t="shared" ref="CA16:CC16" si="40">IF(DM16&lt;3,"",(SUM(C16:S16)-MIN(C16:S16)-MAX(C16:S16))/(DM16-2))</f>
        <v/>
      </c>
      <c r="CB16" s="749" t="str">
        <f t="shared" si="40"/>
        <v/>
      </c>
      <c r="CC16" s="749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5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7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88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8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9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9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9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26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0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0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0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3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3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3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64">COUNT(B20:R20)</f>
        <v>0</v>
      </c>
      <c r="DM20" s="617">
        <f t="shared" ref="DM20:DM27" si="65">COUNT(T20:AJ20)</f>
        <v>1</v>
      </c>
      <c r="DN20" s="617">
        <f t="shared" ref="DN20:DN27" si="66">COUNT(AL20:BB20)</f>
        <v>1</v>
      </c>
      <c r="DO20" s="617">
        <f t="shared" ref="DO20:DO27" si="67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4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4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4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 t="str">
        <f t="shared" ref="BZ21:BZ23" si="68">IF(DL21&lt;3,"",(SUM(B21:R21)-MIN(B21:R21)-MAX(B21:R21))/(DL21-2))</f>
        <v/>
      </c>
      <c r="CA21" s="660" t="str">
        <f t="shared" ref="CA21:CA23" si="69">IF(DM21&lt;3,"",(SUM(T21:AJ21)-MIN(T21:AJ21)-MAX(T21:AJ21))/(DM21-2))</f>
        <v/>
      </c>
      <c r="CB21" s="660" t="str">
        <f t="shared" ref="CB21:CB23" si="70">IF(DN21&lt;3,"",(SUM(AL21:BB21)-MIN(AL21:BB21)-MAX(AL21:BB21))/(DN21-2))</f>
        <v/>
      </c>
      <c r="CC21" s="661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2">
        <f t="shared" si="64"/>
        <v>0</v>
      </c>
      <c r="DM21" s="617">
        <f t="shared" si="65"/>
        <v>1</v>
      </c>
      <c r="DN21" s="617">
        <f t="shared" si="66"/>
        <v>1</v>
      </c>
      <c r="DO21" s="617">
        <f t="shared" si="67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3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3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3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 t="str">
        <f t="shared" si="68"/>
        <v/>
      </c>
      <c r="CA22" s="660" t="str">
        <f t="shared" si="69"/>
        <v/>
      </c>
      <c r="CB22" s="660" t="str">
        <f t="shared" si="70"/>
        <v/>
      </c>
      <c r="CC22" s="661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2">
        <f t="shared" si="64"/>
        <v>0</v>
      </c>
      <c r="DM22" s="617">
        <f t="shared" si="65"/>
        <v>1</v>
      </c>
      <c r="DN22" s="617">
        <f t="shared" si="66"/>
        <v>1</v>
      </c>
      <c r="DO22" s="617">
        <f t="shared" si="67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81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81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81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 t="shared" si="68"/>
        <v/>
      </c>
      <c r="CA23" s="660" t="str">
        <f t="shared" si="69"/>
        <v/>
      </c>
      <c r="CB23" s="660" t="str">
        <f t="shared" si="70"/>
        <v/>
      </c>
      <c r="CC23" s="661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2">
        <f t="shared" si="64"/>
        <v>0</v>
      </c>
      <c r="DM23" s="617">
        <f t="shared" si="65"/>
        <v>1</v>
      </c>
      <c r="DN23" s="617">
        <f t="shared" si="66"/>
        <v>1</v>
      </c>
      <c r="DO23" s="617">
        <f t="shared" si="67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6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6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6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2">
        <f t="shared" si="64"/>
        <v>17</v>
      </c>
      <c r="DM24" s="617">
        <f t="shared" si="65"/>
        <v>17</v>
      </c>
      <c r="DN24" s="617">
        <f t="shared" si="66"/>
        <v>17</v>
      </c>
      <c r="DO24" s="617">
        <f t="shared" si="67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82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82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82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9" t="str">
        <f>IF(DL25&lt;3,"",(SUM(B25:R25)-MIN(B25:R25)-MAX(B25:R25))/(DL25-2))</f>
        <v/>
      </c>
      <c r="CA25" s="749" t="str">
        <f t="shared" ref="CA25:CC25" si="85">IF(DM25&lt;3,"",(SUM(C25:S25)-MIN(C25:S25)-MAX(C25:S25))/(DM25-2))</f>
        <v/>
      </c>
      <c r="CB25" s="749" t="str">
        <f t="shared" si="85"/>
        <v/>
      </c>
      <c r="CC25" s="749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5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2">
        <f t="shared" si="64"/>
        <v>0</v>
      </c>
      <c r="DM25" s="617">
        <f t="shared" si="65"/>
        <v>1</v>
      </c>
      <c r="DN25" s="617">
        <f t="shared" si="66"/>
        <v>1</v>
      </c>
      <c r="DO25" s="617">
        <f t="shared" si="67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3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3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3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2">
        <f t="shared" si="64"/>
        <v>0</v>
      </c>
      <c r="DM26" s="617">
        <f t="shared" si="65"/>
        <v>1</v>
      </c>
      <c r="DN26" s="617">
        <f t="shared" si="66"/>
        <v>1</v>
      </c>
      <c r="DO26" s="617">
        <f t="shared" si="67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81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81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81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2">
        <f t="shared" si="64"/>
        <v>0</v>
      </c>
      <c r="DM27" s="617">
        <f t="shared" si="65"/>
        <v>1</v>
      </c>
      <c r="DN27" s="617">
        <f t="shared" si="66"/>
        <v>1</v>
      </c>
      <c r="DO27" s="617">
        <f t="shared" si="67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26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0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0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0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3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3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0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6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109">COUNT(B29:R29)</f>
        <v>0</v>
      </c>
      <c r="DM29" s="617">
        <f t="shared" ref="DM29:DM36" si="110">COUNT(T29:AJ29)</f>
        <v>2</v>
      </c>
      <c r="DN29" s="617">
        <f t="shared" ref="DN29:DN36" si="111">COUNT(AL29:BB29)</f>
        <v>4</v>
      </c>
      <c r="DO29" s="617">
        <f t="shared" ref="DO29:DO36" si="11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0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0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 t="str">
        <f t="shared" ref="BZ30:BZ32" si="113">IF(DL30&lt;3,"",(SUM(B30:R30)-MIN(B30:R30)-MAX(B30:R30))/(DL30-2))</f>
        <v/>
      </c>
      <c r="CA30" s="660" t="str">
        <f t="shared" ref="CA30:CA32" si="114">IF(DM30&lt;3,"",(SUM(T30:AJ30)-MIN(T30:AJ30)-MAX(T30:AJ30))/(DM30-2))</f>
        <v/>
      </c>
      <c r="CB30" s="660">
        <f t="shared" ref="CB30:CB32" si="115">IF(DN30&lt;3,"",(SUM(AL30:BB30)-MIN(AL30:BB30)-MAX(AL30:BB30))/(DN30-2))</f>
        <v>5</v>
      </c>
      <c r="CC30" s="661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2">
        <f t="shared" si="109"/>
        <v>0</v>
      </c>
      <c r="DM30" s="617">
        <f t="shared" si="110"/>
        <v>2</v>
      </c>
      <c r="DN30" s="617">
        <f t="shared" si="111"/>
        <v>4</v>
      </c>
      <c r="DO30" s="617">
        <f t="shared" si="11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3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9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 t="str">
        <f t="shared" si="113"/>
        <v/>
      </c>
      <c r="CA31" s="660" t="str">
        <f t="shared" si="114"/>
        <v/>
      </c>
      <c r="CB31" s="660">
        <f t="shared" si="115"/>
        <v>12</v>
      </c>
      <c r="CC31" s="661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2">
        <f t="shared" si="109"/>
        <v>0</v>
      </c>
      <c r="DM31" s="617">
        <f t="shared" si="110"/>
        <v>2</v>
      </c>
      <c r="DN31" s="617">
        <f t="shared" si="111"/>
        <v>4</v>
      </c>
      <c r="DO31" s="617">
        <f t="shared" si="11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81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81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81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 t="shared" si="113"/>
        <v/>
      </c>
      <c r="CA32" s="660" t="str">
        <f t="shared" si="114"/>
        <v/>
      </c>
      <c r="CB32" s="660">
        <f t="shared" si="115"/>
        <v>36.900000000000006</v>
      </c>
      <c r="CC32" s="661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2">
        <f t="shared" si="109"/>
        <v>0</v>
      </c>
      <c r="DM32" s="617">
        <f t="shared" si="110"/>
        <v>2</v>
      </c>
      <c r="DN32" s="617">
        <f t="shared" si="111"/>
        <v>4</v>
      </c>
      <c r="DO32" s="617">
        <f t="shared" si="11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6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6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2">
        <f t="shared" si="109"/>
        <v>17</v>
      </c>
      <c r="DM33" s="617">
        <f t="shared" si="110"/>
        <v>17</v>
      </c>
      <c r="DN33" s="617">
        <f t="shared" si="111"/>
        <v>17</v>
      </c>
      <c r="DO33" s="617">
        <f t="shared" si="11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82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82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82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9" t="str">
        <f>IF(DL34&lt;3,"",(SUM(B34:R34)-MIN(B34:R34)-MAX(B34:R34))/(DL34-2))</f>
        <v/>
      </c>
      <c r="CA34" s="749" t="str">
        <f t="shared" ref="CA34:CC34" si="129">IF(DM34&lt;3,"",(SUM(C34:S34)-MIN(C34:S34)-MAX(C34:S34))/(DM34-2))</f>
        <v/>
      </c>
      <c r="CB34" s="749">
        <f t="shared" si="129"/>
        <v>-8.8062622309197655E-4</v>
      </c>
      <c r="CC34" s="749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5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2">
        <f t="shared" si="109"/>
        <v>0</v>
      </c>
      <c r="DM34" s="617">
        <f t="shared" si="110"/>
        <v>2</v>
      </c>
      <c r="DN34" s="617">
        <f t="shared" si="111"/>
        <v>4</v>
      </c>
      <c r="DO34" s="617">
        <f t="shared" si="11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3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3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3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2">
        <f t="shared" si="109"/>
        <v>0</v>
      </c>
      <c r="DM35" s="617">
        <f t="shared" si="110"/>
        <v>2</v>
      </c>
      <c r="DN35" s="617">
        <f t="shared" si="111"/>
        <v>4</v>
      </c>
      <c r="DO35" s="617">
        <f t="shared" si="11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81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81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81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2">
        <f t="shared" si="109"/>
        <v>0</v>
      </c>
      <c r="DM36" s="617">
        <f t="shared" si="110"/>
        <v>2</v>
      </c>
      <c r="DN36" s="617">
        <f t="shared" si="111"/>
        <v>4</v>
      </c>
      <c r="DO36" s="617">
        <f t="shared" si="11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26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4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4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4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4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4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4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53">COUNT(B38:R38)</f>
        <v>3</v>
      </c>
      <c r="DM38" s="617">
        <f t="shared" ref="DM38:DM45" si="154">COUNT(T38:AJ38)</f>
        <v>2</v>
      </c>
      <c r="DN38" s="617">
        <f t="shared" ref="DN38:DN45" si="155">COUNT(AL38:BB38)</f>
        <v>5</v>
      </c>
      <c r="DO38" s="617">
        <f t="shared" ref="DO38:DO45" si="156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4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4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4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>
        <f t="shared" ref="BZ39:BZ41" si="157">IF(DL39&lt;3,"",(SUM(B39:R39)-MIN(B39:R39)-MAX(B39:R39))/(DL39-2))</f>
        <v>3</v>
      </c>
      <c r="CA39" s="660" t="str">
        <f t="shared" ref="CA39:CA41" si="158">IF(DM39&lt;3,"",(SUM(T39:AJ39)-MIN(T39:AJ39)-MAX(T39:AJ39))/(DM39-2))</f>
        <v/>
      </c>
      <c r="CB39" s="660">
        <f t="shared" ref="CB39:CB41" si="159">IF(DN39&lt;3,"",(SUM(AL39:BB39)-MIN(AL39:BB39)-MAX(AL39:BB39))/(DN39-2))</f>
        <v>4.333333333333333</v>
      </c>
      <c r="CC39" s="661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2">
        <f t="shared" si="153"/>
        <v>3</v>
      </c>
      <c r="DM39" s="617">
        <f t="shared" si="154"/>
        <v>2</v>
      </c>
      <c r="DN39" s="617">
        <f t="shared" si="155"/>
        <v>5</v>
      </c>
      <c r="DO39" s="617">
        <f t="shared" si="156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4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4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4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>
        <f t="shared" si="157"/>
        <v>2</v>
      </c>
      <c r="CA40" s="660" t="str">
        <f t="shared" si="158"/>
        <v/>
      </c>
      <c r="CB40" s="660">
        <f t="shared" si="159"/>
        <v>3</v>
      </c>
      <c r="CC40" s="661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2">
        <f t="shared" si="153"/>
        <v>3</v>
      </c>
      <c r="DM40" s="617">
        <f t="shared" si="154"/>
        <v>2</v>
      </c>
      <c r="DN40" s="617">
        <f t="shared" si="155"/>
        <v>5</v>
      </c>
      <c r="DO40" s="617">
        <f t="shared" si="156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81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81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81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 t="shared" si="157"/>
        <v>3</v>
      </c>
      <c r="CA41" s="660" t="str">
        <f t="shared" si="158"/>
        <v/>
      </c>
      <c r="CB41" s="660">
        <f t="shared" si="159"/>
        <v>10.5</v>
      </c>
      <c r="CC41" s="661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2">
        <f t="shared" si="153"/>
        <v>3</v>
      </c>
      <c r="DM41" s="617">
        <f t="shared" si="154"/>
        <v>2</v>
      </c>
      <c r="DN41" s="617">
        <f t="shared" si="155"/>
        <v>5</v>
      </c>
      <c r="DO41" s="617">
        <f t="shared" si="156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6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6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6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2">
        <f t="shared" si="153"/>
        <v>17</v>
      </c>
      <c r="DM42" s="617">
        <f t="shared" si="154"/>
        <v>17</v>
      </c>
      <c r="DN42" s="617">
        <f t="shared" si="155"/>
        <v>17</v>
      </c>
      <c r="DO42" s="617">
        <f t="shared" si="156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82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82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82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9">
        <f>IF(DL43&lt;3,"",(SUM(B43:R43)-MIN(B43:R43)-MAX(B43:R43))/(DL43-2))</f>
        <v>1.617742987606001E-3</v>
      </c>
      <c r="CA43" s="749" t="str">
        <f t="shared" ref="CA43:CC43" si="174">IF(DM43&lt;3,"",(SUM(C43:S43)-MIN(C43:S43)-MAX(C43:S43))/(DM43-2))</f>
        <v/>
      </c>
      <c r="CB43" s="749">
        <f t="shared" si="174"/>
        <v>0</v>
      </c>
      <c r="CC43" s="749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5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2">
        <f t="shared" si="153"/>
        <v>3</v>
      </c>
      <c r="DM43" s="617">
        <f t="shared" si="154"/>
        <v>2</v>
      </c>
      <c r="DN43" s="617">
        <f t="shared" si="155"/>
        <v>5</v>
      </c>
      <c r="DO43" s="617">
        <f t="shared" si="156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3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3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3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2">
        <f t="shared" si="153"/>
        <v>3</v>
      </c>
      <c r="DM44" s="617">
        <f t="shared" si="154"/>
        <v>2</v>
      </c>
      <c r="DN44" s="617">
        <f t="shared" si="155"/>
        <v>5</v>
      </c>
      <c r="DO44" s="617">
        <f t="shared" si="156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81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81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81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2">
        <f t="shared" si="153"/>
        <v>3</v>
      </c>
      <c r="DM45" s="617">
        <f t="shared" si="154"/>
        <v>2</v>
      </c>
      <c r="DN45" s="617">
        <f t="shared" si="155"/>
        <v>5</v>
      </c>
      <c r="DO45" s="617">
        <f t="shared" si="156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3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3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1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2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3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3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98">COUNT(B47:R47)</f>
        <v>2</v>
      </c>
      <c r="DM47" s="617">
        <f t="shared" ref="DM47:DM54" si="199">COUNT(T47:AJ47)</f>
        <v>0</v>
      </c>
      <c r="DN47" s="617">
        <f t="shared" ref="DN47:DN54" si="200">COUNT(AL47:BB47)</f>
        <v>0</v>
      </c>
      <c r="DO47" s="617">
        <f t="shared" ref="DO47:DO54" si="20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3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3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3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 t="str">
        <f t="shared" ref="BZ48:BZ50" si="202">IF(DL48&lt;3,"",(SUM(B48:R48)-MIN(B48:R48)-MAX(B48:R48))/(DL48-2))</f>
        <v/>
      </c>
      <c r="CA48" s="660" t="str">
        <f t="shared" ref="CA48:CA50" si="203">IF(DM48&lt;3,"",(SUM(T48:AJ48)-MIN(T48:AJ48)-MAX(T48:AJ48))/(DM48-2))</f>
        <v/>
      </c>
      <c r="CB48" s="660" t="str">
        <f t="shared" ref="CB48:CB50" si="204">IF(DN48&lt;3,"",(SUM(AL48:BB48)-MIN(AL48:BB48)-MAX(AL48:BB48))/(DN48-2))</f>
        <v/>
      </c>
      <c r="CC48" s="661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2">
        <f t="shared" si="198"/>
        <v>2</v>
      </c>
      <c r="DM48" s="617">
        <f t="shared" si="199"/>
        <v>0</v>
      </c>
      <c r="DN48" s="617">
        <f t="shared" si="200"/>
        <v>0</v>
      </c>
      <c r="DO48" s="617">
        <f t="shared" si="20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3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3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3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 t="str">
        <f t="shared" si="202"/>
        <v/>
      </c>
      <c r="CA49" s="660" t="str">
        <f t="shared" si="203"/>
        <v/>
      </c>
      <c r="CB49" s="660" t="str">
        <f t="shared" si="204"/>
        <v/>
      </c>
      <c r="CC49" s="661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2">
        <f t="shared" si="198"/>
        <v>2</v>
      </c>
      <c r="DM49" s="617">
        <f t="shared" si="199"/>
        <v>0</v>
      </c>
      <c r="DN49" s="617">
        <f t="shared" si="200"/>
        <v>0</v>
      </c>
      <c r="DO49" s="617">
        <f t="shared" si="20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9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9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9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 t="shared" si="202"/>
        <v/>
      </c>
      <c r="CA50" s="660" t="str">
        <f t="shared" si="203"/>
        <v/>
      </c>
      <c r="CB50" s="660" t="str">
        <f t="shared" si="204"/>
        <v/>
      </c>
      <c r="CC50" s="661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2">
        <f t="shared" si="198"/>
        <v>2</v>
      </c>
      <c r="DM50" s="617">
        <f t="shared" si="199"/>
        <v>0</v>
      </c>
      <c r="DN50" s="617">
        <f t="shared" si="200"/>
        <v>0</v>
      </c>
      <c r="DO50" s="617">
        <f t="shared" si="20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2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4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4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2">
        <f t="shared" si="198"/>
        <v>17</v>
      </c>
      <c r="DM51" s="617">
        <f t="shared" si="199"/>
        <v>17</v>
      </c>
      <c r="DN51" s="617">
        <f t="shared" si="200"/>
        <v>17</v>
      </c>
      <c r="DO51" s="617">
        <f t="shared" si="20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90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8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90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8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8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90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9" t="str">
        <f>IF(DL52&lt;3,"",(SUM(B52:R52)-MIN(B52:R52)-MAX(B52:R52))/(DL52-2))</f>
        <v/>
      </c>
      <c r="CA52" s="749" t="str">
        <f t="shared" ref="CA52:CC52" si="215">IF(DM52&lt;3,"",(SUM(C52:S52)-MIN(C52:S52)-MAX(C52:S52))/(DM52-2))</f>
        <v/>
      </c>
      <c r="CB52" s="749" t="str">
        <f t="shared" si="215"/>
        <v/>
      </c>
      <c r="CC52" s="749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5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2">
        <f t="shared" si="198"/>
        <v>2</v>
      </c>
      <c r="DM52" s="617">
        <f t="shared" si="199"/>
        <v>0</v>
      </c>
      <c r="DN52" s="617">
        <f t="shared" si="200"/>
        <v>0</v>
      </c>
      <c r="DO52" s="617">
        <f t="shared" si="20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7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88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8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2">
        <f t="shared" si="198"/>
        <v>2</v>
      </c>
      <c r="DM53" s="617">
        <f t="shared" si="199"/>
        <v>0</v>
      </c>
      <c r="DN53" s="617">
        <f t="shared" si="200"/>
        <v>0</v>
      </c>
      <c r="DO53" s="617">
        <f t="shared" si="20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9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9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9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2">
        <f t="shared" si="198"/>
        <v>2</v>
      </c>
      <c r="DM54" s="617">
        <f t="shared" si="199"/>
        <v>0</v>
      </c>
      <c r="DN54" s="617">
        <f t="shared" si="200"/>
        <v>0</v>
      </c>
      <c r="DO54" s="617">
        <f t="shared" si="20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1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3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1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2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3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3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39">COUNT(B56:R56)</f>
        <v>2</v>
      </c>
      <c r="DM56" s="617">
        <f t="shared" ref="DM56:DM63" si="240">COUNT(T56:AJ56)</f>
        <v>1</v>
      </c>
      <c r="DN56" s="617">
        <f t="shared" ref="DN56:DN63" si="241">COUNT(AL56:BB56)</f>
        <v>5</v>
      </c>
      <c r="DO56" s="617">
        <f t="shared" ref="DO56:DO63" si="242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3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3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3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 t="str">
        <f t="shared" ref="BZ57:BZ60" si="243">IF(DL57&lt;3,"",(SUM(B57:R57)-MIN(B57:R57)-MAX(B57:R57))/(DL57-2))</f>
        <v/>
      </c>
      <c r="CA57" s="660" t="str">
        <f t="shared" ref="CA57:CA60" si="244">IF(DM57&lt;3,"",(SUM(T57:AJ57)-MIN(T57:AJ57)-MAX(T57:AJ57))/(DM57-2))</f>
        <v/>
      </c>
      <c r="CB57" s="660">
        <f t="shared" ref="CB57:CB60" si="245">IF(DN57&lt;3,"",(SUM(AL57:BB57)-MIN(AL57:BB57)-MAX(AL57:BB57))/(DN57-2))</f>
        <v>2</v>
      </c>
      <c r="CC57" s="661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2">
        <f t="shared" si="239"/>
        <v>2</v>
      </c>
      <c r="DM57" s="617">
        <f t="shared" si="240"/>
        <v>1</v>
      </c>
      <c r="DN57" s="617">
        <f t="shared" si="241"/>
        <v>5</v>
      </c>
      <c r="DO57" s="617">
        <f t="shared" si="242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3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3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3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 t="str">
        <f t="shared" si="243"/>
        <v/>
      </c>
      <c r="CA58" s="660" t="str">
        <f t="shared" si="244"/>
        <v/>
      </c>
      <c r="CB58" s="660">
        <f t="shared" si="245"/>
        <v>5.333333333333333</v>
      </c>
      <c r="CC58" s="661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2">
        <f t="shared" si="239"/>
        <v>2</v>
      </c>
      <c r="DM58" s="617">
        <f t="shared" si="240"/>
        <v>1</v>
      </c>
      <c r="DN58" s="617">
        <f t="shared" si="241"/>
        <v>5</v>
      </c>
      <c r="DO58" s="617">
        <f t="shared" si="242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9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9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9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 t="shared" si="243"/>
        <v/>
      </c>
      <c r="CA59" s="660" t="str">
        <f t="shared" si="244"/>
        <v/>
      </c>
      <c r="CB59" s="660">
        <f t="shared" si="245"/>
        <v>22</v>
      </c>
      <c r="CC59" s="661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2">
        <f t="shared" si="239"/>
        <v>2</v>
      </c>
      <c r="DM59" s="617">
        <f t="shared" si="240"/>
        <v>1</v>
      </c>
      <c r="DN59" s="617">
        <f t="shared" si="241"/>
        <v>5</v>
      </c>
      <c r="DO59" s="617">
        <f t="shared" si="242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2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4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4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 t="shared" si="243"/>
        <v>1450</v>
      </c>
      <c r="CA60" s="660">
        <f t="shared" si="244"/>
        <v>1450</v>
      </c>
      <c r="CB60" s="660">
        <f t="shared" si="245"/>
        <v>1450</v>
      </c>
      <c r="CC60" s="661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2">
        <f t="shared" si="239"/>
        <v>17</v>
      </c>
      <c r="DM60" s="617">
        <f t="shared" si="240"/>
        <v>17</v>
      </c>
      <c r="DN60" s="617">
        <f t="shared" si="241"/>
        <v>17</v>
      </c>
      <c r="DO60" s="617">
        <f t="shared" si="242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90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8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90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8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8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90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9" t="str">
        <f>IF(DL61&lt;3,"",(SUM(B61:R61)-MIN(B61:R61)-MAX(B61:R61))/(DL61-2))</f>
        <v/>
      </c>
      <c r="CA61" s="749" t="str">
        <f t="shared" ref="CA61:CC61" si="256">IF(DM61&lt;3,"",(SUM(C61:S61)-MIN(C61:S61)-MAX(C61:S61))/(DM61-2))</f>
        <v/>
      </c>
      <c r="CB61" s="749">
        <f t="shared" si="256"/>
        <v>-2.7024508433510391E-4</v>
      </c>
      <c r="CC61" s="749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5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2">
        <f t="shared" si="239"/>
        <v>2</v>
      </c>
      <c r="DM61" s="617">
        <f t="shared" si="240"/>
        <v>1</v>
      </c>
      <c r="DN61" s="617">
        <f t="shared" si="241"/>
        <v>5</v>
      </c>
      <c r="DO61" s="617">
        <f t="shared" si="242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7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8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8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2">
        <f t="shared" si="239"/>
        <v>2</v>
      </c>
      <c r="DM62" s="617">
        <f t="shared" si="240"/>
        <v>1</v>
      </c>
      <c r="DN62" s="617">
        <f t="shared" si="241"/>
        <v>5</v>
      </c>
      <c r="DO62" s="617">
        <f t="shared" si="242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9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9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9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2">
        <f t="shared" si="239"/>
        <v>2</v>
      </c>
      <c r="DM63" s="617">
        <f t="shared" si="240"/>
        <v>1</v>
      </c>
      <c r="DN63" s="617">
        <f t="shared" si="241"/>
        <v>5</v>
      </c>
      <c r="DO63" s="617">
        <f t="shared" si="242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1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1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3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2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3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3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80">COUNT(B65:R65)</f>
        <v>0</v>
      </c>
      <c r="DM65" s="617">
        <f t="shared" ref="DM65:DM72" si="281">COUNT(T65:AJ65)</f>
        <v>1</v>
      </c>
      <c r="DN65" s="617">
        <f t="shared" ref="DN65:DN72" si="282">COUNT(AL65:BB65)</f>
        <v>0</v>
      </c>
      <c r="DO65" s="617">
        <f t="shared" ref="DO65:DO72" si="28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3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3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3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 t="str">
        <f t="shared" ref="BZ66:BZ69" si="284">IF(DL66&lt;3,"",(SUM(B66:R66)-MIN(B66:R66)-MAX(B66:R66))/(DL66-2))</f>
        <v/>
      </c>
      <c r="CA66" s="660" t="str">
        <f t="shared" ref="CA66:CA69" si="285">IF(DM66&lt;3,"",(SUM(T66:AJ66)-MIN(T66:AJ66)-MAX(T66:AJ66))/(DM66-2))</f>
        <v/>
      </c>
      <c r="CB66" s="660" t="str">
        <f t="shared" ref="CB66:CB69" si="286">IF(DN66&lt;3,"",(SUM(AL66:BB66)-MIN(AL66:BB66)-MAX(AL66:BB66))/(DN66-2))</f>
        <v/>
      </c>
      <c r="CC66" s="661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2">
        <f t="shared" si="280"/>
        <v>0</v>
      </c>
      <c r="DM66" s="617">
        <f t="shared" si="281"/>
        <v>1</v>
      </c>
      <c r="DN66" s="617">
        <f t="shared" si="282"/>
        <v>0</v>
      </c>
      <c r="DO66" s="617">
        <f t="shared" si="28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3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3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3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 t="str">
        <f t="shared" si="284"/>
        <v/>
      </c>
      <c r="CA67" s="660" t="str">
        <f t="shared" si="285"/>
        <v/>
      </c>
      <c r="CB67" s="660" t="str">
        <f t="shared" si="286"/>
        <v/>
      </c>
      <c r="CC67" s="661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2">
        <f t="shared" si="280"/>
        <v>0</v>
      </c>
      <c r="DM67" s="617">
        <f t="shared" si="281"/>
        <v>1</v>
      </c>
      <c r="DN67" s="617">
        <f t="shared" si="282"/>
        <v>0</v>
      </c>
      <c r="DO67" s="617">
        <f t="shared" si="28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9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9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9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si="284"/>
        <v/>
      </c>
      <c r="CA68" s="660" t="str">
        <f t="shared" si="285"/>
        <v/>
      </c>
      <c r="CB68" s="660" t="str">
        <f t="shared" si="286"/>
        <v/>
      </c>
      <c r="CC68" s="661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2">
        <f t="shared" si="280"/>
        <v>0</v>
      </c>
      <c r="DM68" s="617">
        <f t="shared" si="281"/>
        <v>1</v>
      </c>
      <c r="DN68" s="617">
        <f t="shared" si="282"/>
        <v>0</v>
      </c>
      <c r="DO68" s="617">
        <f t="shared" si="28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4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4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2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84"/>
        <v/>
      </c>
      <c r="CA69" s="660">
        <f t="shared" si="285"/>
        <v>115</v>
      </c>
      <c r="CB69" s="660" t="str">
        <f t="shared" si="286"/>
        <v/>
      </c>
      <c r="CC69" s="661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2">
        <f t="shared" si="280"/>
        <v>0</v>
      </c>
      <c r="DM69" s="617">
        <f t="shared" si="281"/>
        <v>17</v>
      </c>
      <c r="DN69" s="617">
        <f t="shared" si="282"/>
        <v>0</v>
      </c>
      <c r="DO69" s="617">
        <f t="shared" si="28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90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8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90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8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8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90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9" t="str">
        <f>IF(DL70&lt;3,"",(SUM(B70:R70)-MIN(B70:R70)-MAX(B70:R70))/(DL70-2))</f>
        <v/>
      </c>
      <c r="CA70" s="749" t="str">
        <f t="shared" ref="CA70:CC70" si="297">IF(DM70&lt;3,"",(SUM(C70:S70)-MIN(C70:S70)-MAX(C70:S70))/(DM70-2))</f>
        <v/>
      </c>
      <c r="CB70" s="749" t="str">
        <f t="shared" si="297"/>
        <v/>
      </c>
      <c r="CC70" s="749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5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2">
        <f t="shared" si="280"/>
        <v>0</v>
      </c>
      <c r="DM70" s="617">
        <f t="shared" si="281"/>
        <v>1</v>
      </c>
      <c r="DN70" s="617">
        <f t="shared" si="282"/>
        <v>0</v>
      </c>
      <c r="DO70" s="617">
        <f t="shared" si="28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7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8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8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ref="BZ71:BZ74" si="298">IF(DL71&lt;3,"",(SUM(B71:R71)-MIN(B71:R71)-MAX(B71:R71))/(DL71-2))</f>
        <v/>
      </c>
      <c r="CA71" s="660" t="str">
        <f t="shared" ref="CA71:CA74" si="299">IF(DM71&lt;3,"",(SUM(T71:AJ71)-MIN(T71:AJ71)-MAX(T71:AJ71))/(DM71-2))</f>
        <v/>
      </c>
      <c r="CB71" s="660" t="str">
        <f t="shared" ref="CB71:CB74" si="300">IF(DN71&lt;3,"",(SUM(AL71:BB71)-MIN(AL71:BB71)-MAX(AL71:BB71))/(DN71-2))</f>
        <v/>
      </c>
      <c r="CC71" s="661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2">
        <f t="shared" si="280"/>
        <v>0</v>
      </c>
      <c r="DM71" s="617">
        <f t="shared" si="281"/>
        <v>1</v>
      </c>
      <c r="DN71" s="617">
        <f t="shared" si="282"/>
        <v>0</v>
      </c>
      <c r="DO71" s="617">
        <f t="shared" si="28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9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9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9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98"/>
        <v/>
      </c>
      <c r="CA72" s="749" t="str">
        <f t="shared" si="299"/>
        <v/>
      </c>
      <c r="CB72" s="749" t="str">
        <f t="shared" si="300"/>
        <v/>
      </c>
      <c r="CC72" s="750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2">
        <f t="shared" si="280"/>
        <v>0</v>
      </c>
      <c r="DM72" s="617">
        <f t="shared" si="281"/>
        <v>1</v>
      </c>
      <c r="DN72" s="617">
        <f t="shared" si="282"/>
        <v>0</v>
      </c>
      <c r="DO72" s="617">
        <f t="shared" si="28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306">SUM(B16,B25,B34,B43,B52,B61,B70)</f>
        <v>1.5884148727984347E-2</v>
      </c>
      <c r="C73" s="759">
        <f t="shared" si="306"/>
        <v>2.0799552697791444E-3</v>
      </c>
      <c r="D73" s="759">
        <f t="shared" si="306"/>
        <v>1.6177429876060012E-3</v>
      </c>
      <c r="E73" s="759">
        <f t="shared" si="306"/>
        <v>0</v>
      </c>
      <c r="F73" s="759">
        <f t="shared" si="306"/>
        <v>0</v>
      </c>
      <c r="G73" s="759">
        <f t="shared" si="306"/>
        <v>0</v>
      </c>
      <c r="H73" s="759">
        <f t="shared" si="306"/>
        <v>0</v>
      </c>
      <c r="I73" s="759">
        <f t="shared" si="306"/>
        <v>0</v>
      </c>
      <c r="J73" s="759">
        <f t="shared" si="306"/>
        <v>2.9818283477774672E-3</v>
      </c>
      <c r="K73" s="1608">
        <f t="shared" si="306"/>
        <v>0</v>
      </c>
      <c r="L73" s="759">
        <f t="shared" si="306"/>
        <v>0</v>
      </c>
      <c r="M73" s="759">
        <f t="shared" si="306"/>
        <v>0</v>
      </c>
      <c r="N73" s="759">
        <f t="shared" si="306"/>
        <v>0</v>
      </c>
      <c r="O73" s="759">
        <f t="shared" si="306"/>
        <v>0</v>
      </c>
      <c r="P73" s="759">
        <f t="shared" si="306"/>
        <v>0</v>
      </c>
      <c r="Q73" s="759">
        <f t="shared" si="306"/>
        <v>0</v>
      </c>
      <c r="R73" s="759">
        <f t="shared" si="306"/>
        <v>0</v>
      </c>
      <c r="S73" s="760"/>
      <c r="T73" s="759">
        <f t="shared" ref="T73:AJ73" si="307">SUM(T16,T25,T34,T43,T52,T61,T70)</f>
        <v>1.0227005870841488E-2</v>
      </c>
      <c r="U73" s="759">
        <f t="shared" si="307"/>
        <v>0</v>
      </c>
      <c r="V73" s="759">
        <f t="shared" si="307"/>
        <v>0</v>
      </c>
      <c r="W73" s="759">
        <f t="shared" si="307"/>
        <v>0</v>
      </c>
      <c r="X73" s="759">
        <f t="shared" si="307"/>
        <v>0</v>
      </c>
      <c r="Y73" s="759">
        <f t="shared" si="307"/>
        <v>5.4049016867020782E-4</v>
      </c>
      <c r="Z73" s="759">
        <f t="shared" si="307"/>
        <v>0</v>
      </c>
      <c r="AA73" s="759">
        <f t="shared" si="307"/>
        <v>1.0457925636007828E-3</v>
      </c>
      <c r="AB73" s="759">
        <f t="shared" si="307"/>
        <v>0</v>
      </c>
      <c r="AC73" s="1608">
        <f t="shared" si="307"/>
        <v>0</v>
      </c>
      <c r="AD73" s="759">
        <f t="shared" si="307"/>
        <v>0</v>
      </c>
      <c r="AE73" s="759">
        <f t="shared" si="307"/>
        <v>0</v>
      </c>
      <c r="AF73" s="759">
        <f t="shared" si="307"/>
        <v>0</v>
      </c>
      <c r="AG73" s="759">
        <f t="shared" si="307"/>
        <v>0</v>
      </c>
      <c r="AH73" s="759">
        <f t="shared" si="307"/>
        <v>0</v>
      </c>
      <c r="AI73" s="759">
        <f t="shared" si="307"/>
        <v>0</v>
      </c>
      <c r="AJ73" s="759">
        <f t="shared" si="307"/>
        <v>0</v>
      </c>
      <c r="AK73" s="760"/>
      <c r="AL73" s="759">
        <f t="shared" ref="AL73:BB73" si="308">SUM(AL16,AL25,AL34,AL43,AL52,AL61,AL70)</f>
        <v>1.3677281622487101E-2</v>
      </c>
      <c r="AM73" s="759">
        <f t="shared" si="308"/>
        <v>0</v>
      </c>
      <c r="AN73" s="759">
        <f t="shared" si="308"/>
        <v>0</v>
      </c>
      <c r="AO73" s="759">
        <f t="shared" si="308"/>
        <v>1.6127201565557733E-2</v>
      </c>
      <c r="AP73" s="759">
        <f t="shared" si="308"/>
        <v>3.7834311806914547E-3</v>
      </c>
      <c r="AQ73" s="759">
        <f t="shared" si="308"/>
        <v>1.0734942378777996E-2</v>
      </c>
      <c r="AR73" s="759">
        <f t="shared" si="308"/>
        <v>0</v>
      </c>
      <c r="AS73" s="759">
        <f t="shared" si="308"/>
        <v>1.4140574037834312E-2</v>
      </c>
      <c r="AT73" s="759">
        <f t="shared" si="308"/>
        <v>2.1009784735812134E-2</v>
      </c>
      <c r="AU73" s="759">
        <f t="shared" si="308"/>
        <v>0</v>
      </c>
      <c r="AV73" s="759">
        <f t="shared" si="308"/>
        <v>0</v>
      </c>
      <c r="AW73" s="759">
        <f t="shared" si="308"/>
        <v>0</v>
      </c>
      <c r="AX73" s="759">
        <f t="shared" si="308"/>
        <v>0</v>
      </c>
      <c r="AY73" s="759">
        <f t="shared" si="308"/>
        <v>0</v>
      </c>
      <c r="AZ73" s="759">
        <f t="shared" si="308"/>
        <v>0</v>
      </c>
      <c r="BA73" s="759">
        <f t="shared" si="308"/>
        <v>0</v>
      </c>
      <c r="BB73" s="759">
        <f t="shared" si="308"/>
        <v>0</v>
      </c>
      <c r="BC73" s="760"/>
      <c r="BD73" s="759">
        <f t="shared" ref="BD73:BT73" si="309">SUM(BD16,BD25,BD34,BD43,BD52,BD61,BD70)</f>
        <v>0</v>
      </c>
      <c r="BE73" s="759">
        <f t="shared" si="309"/>
        <v>0.13333985649054142</v>
      </c>
      <c r="BF73" s="759">
        <f t="shared" si="309"/>
        <v>0</v>
      </c>
      <c r="BG73" s="759">
        <f t="shared" si="309"/>
        <v>3.4146771037181993E-2</v>
      </c>
      <c r="BH73" s="759">
        <f t="shared" si="309"/>
        <v>5.8044618395303331E-2</v>
      </c>
      <c r="BI73" s="759">
        <f t="shared" si="309"/>
        <v>2.0799552697791444E-3</v>
      </c>
      <c r="BJ73" s="759">
        <f t="shared" si="309"/>
        <v>2.2518808436616654E-2</v>
      </c>
      <c r="BK73" s="759">
        <f t="shared" si="309"/>
        <v>7.0939334637964771E-2</v>
      </c>
      <c r="BL73" s="759">
        <f t="shared" si="309"/>
        <v>2.6302819453504385E-2</v>
      </c>
      <c r="BM73" s="759">
        <f t="shared" si="309"/>
        <v>0</v>
      </c>
      <c r="BN73" s="1608">
        <f t="shared" si="309"/>
        <v>0</v>
      </c>
      <c r="BO73" s="759">
        <f t="shared" si="309"/>
        <v>0</v>
      </c>
      <c r="BP73" s="759">
        <f t="shared" si="309"/>
        <v>0</v>
      </c>
      <c r="BQ73" s="759">
        <f t="shared" si="309"/>
        <v>0</v>
      </c>
      <c r="BR73" s="759">
        <f t="shared" si="309"/>
        <v>0</v>
      </c>
      <c r="BS73" s="759">
        <f t="shared" si="309"/>
        <v>0</v>
      </c>
      <c r="BT73" s="759">
        <f t="shared" si="309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98"/>
        <v/>
      </c>
      <c r="CA73" s="749" t="str">
        <f t="shared" si="299"/>
        <v/>
      </c>
      <c r="CB73" s="749" t="str">
        <f t="shared" si="300"/>
        <v/>
      </c>
      <c r="CC73" s="750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5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311">SUM(B18,B27,B36,B45,B54,B63,B72)</f>
        <v>132</v>
      </c>
      <c r="C74" s="673">
        <f t="shared" si="311"/>
        <v>12</v>
      </c>
      <c r="D74" s="673">
        <f t="shared" si="311"/>
        <v>40</v>
      </c>
      <c r="E74" s="673">
        <f t="shared" si="311"/>
        <v>0</v>
      </c>
      <c r="F74" s="673">
        <f t="shared" si="311"/>
        <v>0</v>
      </c>
      <c r="G74" s="673">
        <f t="shared" si="311"/>
        <v>0</v>
      </c>
      <c r="H74" s="673">
        <f t="shared" si="311"/>
        <v>0</v>
      </c>
      <c r="I74" s="673">
        <f t="shared" si="311"/>
        <v>0</v>
      </c>
      <c r="J74" s="673">
        <f t="shared" si="311"/>
        <v>75</v>
      </c>
      <c r="K74" s="1605">
        <f t="shared" si="311"/>
        <v>0</v>
      </c>
      <c r="L74" s="673">
        <f t="shared" si="311"/>
        <v>0</v>
      </c>
      <c r="M74" s="673">
        <f t="shared" si="311"/>
        <v>0</v>
      </c>
      <c r="N74" s="673">
        <f t="shared" si="311"/>
        <v>0</v>
      </c>
      <c r="O74" s="673">
        <f t="shared" si="311"/>
        <v>0</v>
      </c>
      <c r="P74" s="673">
        <f t="shared" si="311"/>
        <v>0</v>
      </c>
      <c r="Q74" s="673">
        <f t="shared" si="311"/>
        <v>0</v>
      </c>
      <c r="R74" s="673">
        <f t="shared" si="311"/>
        <v>0</v>
      </c>
      <c r="S74" s="756"/>
      <c r="T74" s="673">
        <f t="shared" ref="T74:AJ74" si="312">SUM(T18,T27,T36,T45,T54,T63,T72)</f>
        <v>278</v>
      </c>
      <c r="U74" s="673">
        <f t="shared" si="312"/>
        <v>0</v>
      </c>
      <c r="V74" s="673">
        <f t="shared" si="312"/>
        <v>0</v>
      </c>
      <c r="W74" s="673">
        <f t="shared" si="312"/>
        <v>0</v>
      </c>
      <c r="X74" s="673">
        <f t="shared" si="312"/>
        <v>0</v>
      </c>
      <c r="Y74" s="673">
        <f t="shared" si="312"/>
        <v>20</v>
      </c>
      <c r="Z74" s="673">
        <f t="shared" si="312"/>
        <v>0</v>
      </c>
      <c r="AA74" s="673">
        <f t="shared" si="312"/>
        <v>230</v>
      </c>
      <c r="AB74" s="673">
        <f t="shared" si="312"/>
        <v>0</v>
      </c>
      <c r="AC74" s="1605">
        <f t="shared" si="312"/>
        <v>0</v>
      </c>
      <c r="AD74" s="673">
        <f t="shared" si="312"/>
        <v>0</v>
      </c>
      <c r="AE74" s="673">
        <f t="shared" si="312"/>
        <v>0</v>
      </c>
      <c r="AF74" s="673">
        <f t="shared" si="312"/>
        <v>0</v>
      </c>
      <c r="AG74" s="673">
        <f t="shared" si="312"/>
        <v>0</v>
      </c>
      <c r="AH74" s="673">
        <f t="shared" si="312"/>
        <v>0</v>
      </c>
      <c r="AI74" s="673">
        <f t="shared" si="312"/>
        <v>0</v>
      </c>
      <c r="AJ74" s="673">
        <f t="shared" si="312"/>
        <v>0</v>
      </c>
      <c r="AK74" s="756"/>
      <c r="AL74" s="673">
        <f t="shared" ref="AL74:BB74" si="313">SUM(AL18,AL27,AL36,AL45,AL54,AL63,AL72)</f>
        <v>240</v>
      </c>
      <c r="AM74" s="673">
        <f t="shared" si="313"/>
        <v>0</v>
      </c>
      <c r="AN74" s="673">
        <f t="shared" si="313"/>
        <v>0</v>
      </c>
      <c r="AO74" s="673">
        <f t="shared" si="313"/>
        <v>690</v>
      </c>
      <c r="AP74" s="673">
        <f t="shared" si="313"/>
        <v>180</v>
      </c>
      <c r="AQ74" s="673">
        <f t="shared" si="313"/>
        <v>207.5</v>
      </c>
      <c r="AR74" s="673">
        <f t="shared" si="313"/>
        <v>0</v>
      </c>
      <c r="AS74" s="673">
        <f t="shared" si="313"/>
        <v>773</v>
      </c>
      <c r="AT74" s="673">
        <f t="shared" si="313"/>
        <v>1740</v>
      </c>
      <c r="AU74" s="673">
        <f t="shared" si="313"/>
        <v>0</v>
      </c>
      <c r="AV74" s="673">
        <f t="shared" si="313"/>
        <v>0</v>
      </c>
      <c r="AW74" s="673">
        <f t="shared" si="313"/>
        <v>0</v>
      </c>
      <c r="AX74" s="673">
        <f t="shared" si="313"/>
        <v>0</v>
      </c>
      <c r="AY74" s="673">
        <f t="shared" si="313"/>
        <v>0</v>
      </c>
      <c r="AZ74" s="673">
        <f t="shared" si="313"/>
        <v>0</v>
      </c>
      <c r="BA74" s="673">
        <f t="shared" si="313"/>
        <v>0</v>
      </c>
      <c r="BB74" s="673">
        <f t="shared" si="313"/>
        <v>0</v>
      </c>
      <c r="BC74" s="756"/>
      <c r="BD74" s="673">
        <f t="shared" ref="BD74:BT74" si="314">SUM(BD18,BD27,BD36,BD45,BD54,BD63,BD72)</f>
        <v>0</v>
      </c>
      <c r="BE74" s="673">
        <f t="shared" si="314"/>
        <v>348</v>
      </c>
      <c r="BF74" s="673">
        <f t="shared" si="314"/>
        <v>0</v>
      </c>
      <c r="BG74" s="673">
        <f t="shared" si="314"/>
        <v>1575</v>
      </c>
      <c r="BH74" s="673">
        <f t="shared" si="314"/>
        <v>1812</v>
      </c>
      <c r="BI74" s="673">
        <f t="shared" si="314"/>
        <v>60</v>
      </c>
      <c r="BJ74" s="673">
        <f t="shared" si="314"/>
        <v>312</v>
      </c>
      <c r="BK74" s="673">
        <f t="shared" si="314"/>
        <v>0</v>
      </c>
      <c r="BL74" s="673">
        <f t="shared" si="314"/>
        <v>496</v>
      </c>
      <c r="BM74" s="673">
        <f t="shared" si="314"/>
        <v>0</v>
      </c>
      <c r="BN74" s="1605">
        <f t="shared" si="314"/>
        <v>0</v>
      </c>
      <c r="BO74" s="673">
        <f t="shared" si="314"/>
        <v>0</v>
      </c>
      <c r="BP74" s="673">
        <f t="shared" si="314"/>
        <v>0</v>
      </c>
      <c r="BQ74" s="673">
        <f t="shared" si="314"/>
        <v>0</v>
      </c>
      <c r="BR74" s="673">
        <f t="shared" si="314"/>
        <v>0</v>
      </c>
      <c r="BS74" s="673">
        <f t="shared" si="314"/>
        <v>0</v>
      </c>
      <c r="BT74" s="673">
        <f t="shared" si="314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98"/>
        <v/>
      </c>
      <c r="CA74" s="660" t="str">
        <f t="shared" si="299"/>
        <v/>
      </c>
      <c r="CB74" s="660" t="str">
        <f t="shared" si="300"/>
        <v/>
      </c>
      <c r="CC74" s="661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9"/>
      <c r="U75" s="1259"/>
      <c r="V75" s="1259"/>
      <c r="W75" s="1259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9"/>
      <c r="AM75" s="1259"/>
      <c r="AN75" s="1259"/>
      <c r="AO75" s="1259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9"/>
      <c r="U76" s="1259"/>
      <c r="V76" s="1259"/>
      <c r="W76" s="1259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9"/>
      <c r="AM76" s="1259"/>
      <c r="AN76" s="1259"/>
      <c r="AO76" s="1259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9"/>
      <c r="U77" s="1259"/>
      <c r="V77" s="1259"/>
      <c r="W77" s="1259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9"/>
      <c r="AM77" s="1259"/>
      <c r="AN77" s="1259"/>
      <c r="AO77" s="1259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9"/>
      <c r="U78" s="1259"/>
      <c r="V78" s="1259"/>
      <c r="W78" s="1259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9"/>
      <c r="AM78" s="1259"/>
      <c r="AN78" s="1259"/>
      <c r="AO78" s="1259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9"/>
      <c r="U79" s="1259"/>
      <c r="V79" s="1259"/>
      <c r="W79" s="1259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9"/>
      <c r="AM79" s="1259"/>
      <c r="AN79" s="1259"/>
      <c r="AO79" s="1259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9"/>
      <c r="U80" s="1259"/>
      <c r="V80" s="1259"/>
      <c r="W80" s="1259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9"/>
      <c r="AM80" s="1259"/>
      <c r="AN80" s="1259"/>
      <c r="AO80" s="1259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9"/>
      <c r="U81" s="1259"/>
      <c r="V81" s="1259"/>
      <c r="W81" s="1259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9"/>
      <c r="AM81" s="1259"/>
      <c r="AN81" s="1259"/>
      <c r="AO81" s="1259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9"/>
      <c r="U82" s="1259"/>
      <c r="V82" s="1259"/>
      <c r="W82" s="1259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9"/>
      <c r="AM82" s="1259"/>
      <c r="AN82" s="1259"/>
      <c r="AO82" s="1259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9"/>
      <c r="U83" s="1259"/>
      <c r="V83" s="1259"/>
      <c r="W83" s="1259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9"/>
      <c r="AM83" s="1259"/>
      <c r="AN83" s="1259"/>
      <c r="AO83" s="1259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9"/>
      <c r="U84" s="1259"/>
      <c r="V84" s="1259"/>
      <c r="W84" s="1259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9"/>
      <c r="AM84" s="1259"/>
      <c r="AN84" s="1259"/>
      <c r="AO84" s="1259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9"/>
      <c r="U85" s="1259"/>
      <c r="V85" s="1259"/>
      <c r="W85" s="1259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9"/>
      <c r="AM85" s="1259"/>
      <c r="AN85" s="1259"/>
      <c r="AO85" s="1259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9"/>
      <c r="U86" s="1259"/>
      <c r="V86" s="1259"/>
      <c r="W86" s="1259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9"/>
      <c r="AM86" s="1259"/>
      <c r="AN86" s="1259"/>
      <c r="AO86" s="1259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9"/>
      <c r="U87" s="1259"/>
      <c r="V87" s="1259"/>
      <c r="W87" s="1259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9"/>
      <c r="AM87" s="1259"/>
      <c r="AN87" s="1259"/>
      <c r="AO87" s="1259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9"/>
      <c r="U88" s="1259"/>
      <c r="V88" s="1259"/>
      <c r="W88" s="1259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9"/>
      <c r="AM88" s="1259"/>
      <c r="AN88" s="1259"/>
      <c r="AO88" s="1259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9"/>
      <c r="U89" s="1259"/>
      <c r="V89" s="1259"/>
      <c r="W89" s="1259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9"/>
      <c r="AM89" s="1259"/>
      <c r="AN89" s="1259"/>
      <c r="AO89" s="1259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459" activePane="bottomRight" state="frozen"/>
      <selection pane="topRight" activeCell="B1" sqref="B1"/>
      <selection pane="bottomLeft" activeCell="A8" sqref="A8"/>
      <selection pane="bottomRight" activeCell="H477" sqref="H477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6" t="s">
        <v>687</v>
      </c>
      <c r="N1" s="1207"/>
      <c r="O1" s="1207"/>
      <c r="P1" s="1208">
        <f>Data!$G$1</f>
        <v>2100</v>
      </c>
      <c r="Q1" s="1209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4" t="s">
        <v>693</v>
      </c>
      <c r="O2" s="1225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 t="e">
        <f>SUM(M11:M19)</f>
        <v>#VALUE!</v>
      </c>
      <c r="N10" s="825" t="e">
        <f>SUM(N11:N19)</f>
        <v>#VALUE!</v>
      </c>
      <c r="O10" s="825" t="e">
        <f>SUM(O11:O19)</f>
        <v>#VALUE!</v>
      </c>
      <c r="P10" s="825" t="e">
        <f>SUM(P11:P19)</f>
        <v>#VALUE!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319">
        <f>SUM(C819:C828)</f>
        <v>0</v>
      </c>
      <c r="D13" s="319">
        <f>SUM(D819:D828)</f>
        <v>0</v>
      </c>
      <c r="E13" s="319">
        <f>SUM(E819:E828)</f>
        <v>0</v>
      </c>
      <c r="F13" s="319">
        <f>SUM(F819:F828)</f>
        <v>0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2"/>
      <c r="I16" s="832"/>
      <c r="J16" s="832"/>
      <c r="K16" s="832"/>
      <c r="L16" s="24"/>
      <c r="M16" s="319" t="e">
        <f>SUM(M858:M861)</f>
        <v>#VALUE!</v>
      </c>
      <c r="N16" s="319" t="e">
        <f>SUM(N858:N861)</f>
        <v>#VALUE!</v>
      </c>
      <c r="O16" s="319" t="e">
        <f>SUM(O858:O861)</f>
        <v>#VALUE!</v>
      </c>
      <c r="P16" s="319" t="e">
        <f>SUM(P858:P861)</f>
        <v>#VALUE!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 t="e">
        <f>SUM(C860:C886)</f>
        <v>#VALUE!</v>
      </c>
      <c r="D17" s="319" t="e">
        <f t="shared" ref="D17:F17" si="3">SUM(D860:D886)</f>
        <v>#VALUE!</v>
      </c>
      <c r="E17" s="319" t="e">
        <f t="shared" si="3"/>
        <v>#VALUE!</v>
      </c>
      <c r="F17" s="319" t="e">
        <f t="shared" si="3"/>
        <v>#VALUE!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0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1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0" t="s">
        <v>124</v>
      </c>
      <c r="B31" s="835"/>
      <c r="C31" s="836">
        <f>SUM(C32:C41)</f>
        <v>0</v>
      </c>
      <c r="D31" s="836">
        <f>SUM(D32:D41)</f>
        <v>72</v>
      </c>
      <c r="E31" s="836">
        <f>SUM(E32:E41)</f>
        <v>372</v>
      </c>
      <c r="F31" s="836">
        <f>SUM(F32:F41)</f>
        <v>648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>SUM(C$988:C$990)</f>
        <v>0</v>
      </c>
      <c r="D33" s="843">
        <f t="shared" ref="D33:F33" si="4">SUM(D$988:D$990)</f>
        <v>72</v>
      </c>
      <c r="E33" s="843">
        <f t="shared" si="4"/>
        <v>372</v>
      </c>
      <c r="F33" s="843">
        <f t="shared" si="4"/>
        <v>648</v>
      </c>
      <c r="G33" s="842"/>
      <c r="H33" s="845"/>
      <c r="I33" s="845"/>
      <c r="J33" s="845"/>
      <c r="K33" s="845"/>
      <c r="L33" s="842"/>
      <c r="M33" s="846">
        <f t="shared" ref="M33:P41" si="5">M990</f>
        <v>0</v>
      </c>
      <c r="N33" s="846">
        <f t="shared" si="5"/>
        <v>0</v>
      </c>
      <c r="O33" s="846">
        <f t="shared" si="5"/>
        <v>0</v>
      </c>
      <c r="P33" s="846">
        <f t="shared" si="5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ref="C34:F41" si="6">C991</f>
        <v>0</v>
      </c>
      <c r="D34" s="844">
        <f t="shared" si="6"/>
        <v>0</v>
      </c>
      <c r="E34" s="844">
        <f t="shared" si="6"/>
        <v>0</v>
      </c>
      <c r="F34" s="844">
        <f t="shared" si="6"/>
        <v>0</v>
      </c>
      <c r="G34" s="847"/>
      <c r="H34" s="848"/>
      <c r="I34" s="848"/>
      <c r="J34" s="848"/>
      <c r="K34" s="848"/>
      <c r="L34" s="847"/>
      <c r="M34" s="846">
        <f t="shared" si="5"/>
        <v>0</v>
      </c>
      <c r="N34" s="846">
        <f t="shared" si="5"/>
        <v>0</v>
      </c>
      <c r="O34" s="846">
        <f t="shared" si="5"/>
        <v>0</v>
      </c>
      <c r="P34" s="846">
        <f t="shared" si="5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6"/>
        <v>0</v>
      </c>
      <c r="D35" s="844">
        <f t="shared" si="6"/>
        <v>0</v>
      </c>
      <c r="E35" s="844">
        <f t="shared" si="6"/>
        <v>0</v>
      </c>
      <c r="F35" s="844">
        <f t="shared" si="6"/>
        <v>0</v>
      </c>
      <c r="G35" s="847"/>
      <c r="H35" s="848"/>
      <c r="I35" s="848"/>
      <c r="J35" s="848"/>
      <c r="K35" s="848"/>
      <c r="L35" s="847"/>
      <c r="M35" s="846">
        <f t="shared" si="5"/>
        <v>0</v>
      </c>
      <c r="N35" s="846">
        <f t="shared" si="5"/>
        <v>0</v>
      </c>
      <c r="O35" s="846">
        <f t="shared" si="5"/>
        <v>0</v>
      </c>
      <c r="P35" s="846">
        <f t="shared" si="5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6"/>
        <v>0</v>
      </c>
      <c r="D36" s="844">
        <f t="shared" si="6"/>
        <v>0</v>
      </c>
      <c r="E36" s="844">
        <f t="shared" si="6"/>
        <v>0</v>
      </c>
      <c r="F36" s="844">
        <f t="shared" si="6"/>
        <v>0</v>
      </c>
      <c r="G36" s="847"/>
      <c r="H36" s="848"/>
      <c r="I36" s="848"/>
      <c r="J36" s="848"/>
      <c r="K36" s="848"/>
      <c r="L36" s="847"/>
      <c r="M36" s="846">
        <f t="shared" si="5"/>
        <v>0</v>
      </c>
      <c r="N36" s="846">
        <f t="shared" si="5"/>
        <v>0</v>
      </c>
      <c r="O36" s="846">
        <f t="shared" si="5"/>
        <v>0</v>
      </c>
      <c r="P36" s="846">
        <f t="shared" si="5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6"/>
        <v>0</v>
      </c>
      <c r="D37" s="844">
        <f t="shared" si="6"/>
        <v>0</v>
      </c>
      <c r="E37" s="844">
        <f t="shared" si="6"/>
        <v>0</v>
      </c>
      <c r="F37" s="844">
        <f t="shared" si="6"/>
        <v>0</v>
      </c>
      <c r="G37" s="847"/>
      <c r="H37" s="848"/>
      <c r="I37" s="848"/>
      <c r="J37" s="848"/>
      <c r="K37" s="848"/>
      <c r="L37" s="847"/>
      <c r="M37" s="846">
        <f t="shared" si="5"/>
        <v>0</v>
      </c>
      <c r="N37" s="846">
        <f t="shared" si="5"/>
        <v>0</v>
      </c>
      <c r="O37" s="846">
        <f t="shared" si="5"/>
        <v>0</v>
      </c>
      <c r="P37" s="846">
        <f t="shared" si="5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6"/>
        <v>0</v>
      </c>
      <c r="D38" s="844">
        <f t="shared" si="6"/>
        <v>0</v>
      </c>
      <c r="E38" s="844">
        <f t="shared" si="6"/>
        <v>0</v>
      </c>
      <c r="F38" s="844">
        <f t="shared" si="6"/>
        <v>0</v>
      </c>
      <c r="G38" s="847"/>
      <c r="H38" s="848"/>
      <c r="I38" s="848"/>
      <c r="J38" s="848"/>
      <c r="K38" s="848"/>
      <c r="L38" s="847"/>
      <c r="M38" s="846">
        <f t="shared" si="5"/>
        <v>0</v>
      </c>
      <c r="N38" s="846">
        <f t="shared" si="5"/>
        <v>0</v>
      </c>
      <c r="O38" s="846">
        <f t="shared" si="5"/>
        <v>0</v>
      </c>
      <c r="P38" s="846">
        <f t="shared" si="5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6"/>
        <v>0</v>
      </c>
      <c r="D39" s="843">
        <f t="shared" si="6"/>
        <v>0</v>
      </c>
      <c r="E39" s="843">
        <f t="shared" si="6"/>
        <v>0</v>
      </c>
      <c r="F39" s="843">
        <f t="shared" si="6"/>
        <v>0</v>
      </c>
      <c r="G39" s="847"/>
      <c r="H39" s="848"/>
      <c r="I39" s="848"/>
      <c r="J39" s="848"/>
      <c r="K39" s="848"/>
      <c r="L39" s="847"/>
      <c r="M39" s="843">
        <f t="shared" si="5"/>
        <v>0</v>
      </c>
      <c r="N39" s="843">
        <f t="shared" si="5"/>
        <v>0</v>
      </c>
      <c r="O39" s="843">
        <f t="shared" si="5"/>
        <v>0</v>
      </c>
      <c r="P39" s="843">
        <f t="shared" si="5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>
        <f t="shared" si="6"/>
        <v>0</v>
      </c>
      <c r="D40" s="843">
        <f t="shared" si="6"/>
        <v>0</v>
      </c>
      <c r="E40" s="843">
        <f t="shared" si="6"/>
        <v>0</v>
      </c>
      <c r="F40" s="843">
        <f t="shared" si="6"/>
        <v>0</v>
      </c>
      <c r="G40" s="847"/>
      <c r="H40" s="848"/>
      <c r="I40" s="848"/>
      <c r="J40" s="848"/>
      <c r="K40" s="848"/>
      <c r="L40" s="847"/>
      <c r="M40" s="843">
        <f t="shared" si="5"/>
        <v>0</v>
      </c>
      <c r="N40" s="843">
        <f t="shared" si="5"/>
        <v>0</v>
      </c>
      <c r="O40" s="843">
        <f t="shared" si="5"/>
        <v>0</v>
      </c>
      <c r="P40" s="843">
        <f t="shared" si="5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6"/>
        <v>0</v>
      </c>
      <c r="D41" s="843">
        <f t="shared" si="6"/>
        <v>0</v>
      </c>
      <c r="E41" s="843">
        <f t="shared" si="6"/>
        <v>0</v>
      </c>
      <c r="F41" s="843">
        <f t="shared" si="6"/>
        <v>0</v>
      </c>
      <c r="G41" s="847"/>
      <c r="H41" s="848"/>
      <c r="I41" s="848"/>
      <c r="J41" s="848"/>
      <c r="K41" s="848"/>
      <c r="L41" s="847"/>
      <c r="M41" s="843">
        <f t="shared" si="5"/>
        <v>0</v>
      </c>
      <c r="N41" s="843">
        <f t="shared" si="5"/>
        <v>0</v>
      </c>
      <c r="O41" s="843">
        <f t="shared" si="5"/>
        <v>0</v>
      </c>
      <c r="P41" s="843">
        <f t="shared" si="5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-72</v>
      </c>
      <c r="E43" s="853">
        <f>E20-E31</f>
        <v>-372</v>
      </c>
      <c r="F43" s="853">
        <f>F20-F31</f>
        <v>-648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7">SUM(C51)</f>
        <v>0</v>
      </c>
      <c r="I51" s="863">
        <f t="shared" si="7"/>
        <v>0</v>
      </c>
      <c r="J51" s="863">
        <f t="shared" si="7"/>
        <v>0</v>
      </c>
      <c r="K51" s="863">
        <f t="shared" si="7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7"/>
        <v>0</v>
      </c>
      <c r="I52" s="863">
        <f t="shared" si="7"/>
        <v>0</v>
      </c>
      <c r="J52" s="863">
        <f t="shared" si="7"/>
        <v>0</v>
      </c>
      <c r="K52" s="863">
        <f t="shared" si="7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8">SUM(C54)</f>
        <v>0</v>
      </c>
      <c r="I54" s="863">
        <f t="shared" si="8"/>
        <v>0</v>
      </c>
      <c r="J54" s="863">
        <f t="shared" si="8"/>
        <v>0</v>
      </c>
      <c r="K54" s="863">
        <f t="shared" si="8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8"/>
        <v>0</v>
      </c>
      <c r="I55" s="863">
        <f t="shared" si="8"/>
        <v>0</v>
      </c>
      <c r="J55" s="863">
        <f t="shared" si="8"/>
        <v>0</v>
      </c>
      <c r="K55" s="863">
        <f t="shared" si="8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2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9">IF(H88="","",SUM(H88)-SUM(C88))</f>
        <v/>
      </c>
      <c r="N88" s="888" t="str">
        <f t="shared" si="9"/>
        <v/>
      </c>
      <c r="O88" s="888" t="str">
        <f t="shared" si="9"/>
        <v/>
      </c>
      <c r="P88" s="888" t="str">
        <f t="shared" si="9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9"/>
        <v/>
      </c>
      <c r="N89" s="916" t="str">
        <f t="shared" si="9"/>
        <v/>
      </c>
      <c r="O89" s="916" t="str">
        <f t="shared" si="9"/>
        <v/>
      </c>
      <c r="P89" s="916" t="str">
        <f t="shared" si="9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9"/>
        <v/>
      </c>
      <c r="N90" s="916" t="str">
        <f t="shared" si="9"/>
        <v/>
      </c>
      <c r="O90" s="916" t="str">
        <f t="shared" si="9"/>
        <v/>
      </c>
      <c r="P90" s="916" t="str">
        <f t="shared" si="9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3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10">IF(H115="","",SUM(H115)-SUM(C115))</f>
        <v/>
      </c>
      <c r="N115" s="888" t="str">
        <f t="shared" si="10"/>
        <v/>
      </c>
      <c r="O115" s="888" t="str">
        <f t="shared" si="10"/>
        <v/>
      </c>
      <c r="P115" s="888" t="str">
        <f t="shared" si="10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10"/>
        <v/>
      </c>
      <c r="N116" s="916" t="str">
        <f t="shared" si="10"/>
        <v/>
      </c>
      <c r="O116" s="916" t="str">
        <f t="shared" si="10"/>
        <v/>
      </c>
      <c r="P116" s="916" t="str">
        <f t="shared" si="10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10"/>
        <v/>
      </c>
      <c r="N117" s="916" t="str">
        <f t="shared" si="10"/>
        <v/>
      </c>
      <c r="O117" s="916" t="str">
        <f t="shared" si="10"/>
        <v/>
      </c>
      <c r="P117" s="916" t="str">
        <f t="shared" si="10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2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11">IF(H143="","",SUM(H143)-SUM(C143))</f>
        <v/>
      </c>
      <c r="N143" s="888" t="str">
        <f t="shared" si="11"/>
        <v/>
      </c>
      <c r="O143" s="888" t="str">
        <f t="shared" si="11"/>
        <v/>
      </c>
      <c r="P143" s="888" t="str">
        <f t="shared" si="11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11"/>
        <v/>
      </c>
      <c r="N144" s="916" t="str">
        <f t="shared" si="11"/>
        <v/>
      </c>
      <c r="O144" s="916" t="str">
        <f t="shared" si="11"/>
        <v/>
      </c>
      <c r="P144" s="916" t="str">
        <f t="shared" si="11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11"/>
        <v/>
      </c>
      <c r="N145" s="916" t="str">
        <f t="shared" si="11"/>
        <v/>
      </c>
      <c r="O145" s="916" t="str">
        <f t="shared" si="11"/>
        <v/>
      </c>
      <c r="P145" s="916" t="str">
        <f t="shared" si="11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3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12">IF(H171="","",SUM(H171)-SUM(C171))</f>
        <v/>
      </c>
      <c r="N171" s="888" t="str">
        <f t="shared" si="12"/>
        <v/>
      </c>
      <c r="O171" s="888" t="str">
        <f t="shared" si="12"/>
        <v/>
      </c>
      <c r="P171" s="888" t="str">
        <f t="shared" si="12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12"/>
        <v/>
      </c>
      <c r="N172" s="916" t="str">
        <f t="shared" si="12"/>
        <v/>
      </c>
      <c r="O172" s="916" t="str">
        <f t="shared" si="12"/>
        <v/>
      </c>
      <c r="P172" s="916" t="str">
        <f t="shared" si="12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12"/>
        <v/>
      </c>
      <c r="N173" s="916" t="str">
        <f t="shared" si="12"/>
        <v/>
      </c>
      <c r="O173" s="916" t="str">
        <f t="shared" si="12"/>
        <v/>
      </c>
      <c r="P173" s="916" t="str">
        <f t="shared" si="12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4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str">
        <f>IF(OR(C179="",C178=0,C178=""),"",C178*C179*2350*$O$2/$P$1/365/C$46)</f>
        <v/>
      </c>
      <c r="D180" s="915" t="str">
        <f t="shared" ref="D180:F180" si="13">IF(OR(D179="",D178=0,D178=""),"",D178*D179*2350*$O$2/$P$1/365/D$46)</f>
        <v/>
      </c>
      <c r="E180" s="915" t="str">
        <f t="shared" si="13"/>
        <v/>
      </c>
      <c r="F180" s="915" t="str">
        <f t="shared" si="13"/>
        <v/>
      </c>
      <c r="G180" s="880"/>
      <c r="H180" s="915" t="str">
        <f>IF(OR(H178="",H178=0),"",H178*C179*2350*$O$2/$P$1/365/H$46)</f>
        <v/>
      </c>
      <c r="I180" s="915" t="str">
        <f t="shared" ref="I180:K180" si="14">IF(OR(I178="",I178=0),"",I178*D179*2350*$O$2/$P$1/365/I$46)</f>
        <v/>
      </c>
      <c r="J180" s="915" t="str">
        <f t="shared" si="14"/>
        <v/>
      </c>
      <c r="K180" s="915" t="str">
        <f t="shared" si="14"/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str">
        <f>IF(OR(C182="",C181="",C181=0),"",C181*C182*1450*$O$2/$P$1/365/C$46)</f>
        <v/>
      </c>
      <c r="D183" s="915" t="str">
        <f t="shared" ref="D183:F183" si="15">IF(OR(D182="",D181="",D181=0),"",D181*D182*1450*$O$2/$P$1/365/D$46)</f>
        <v/>
      </c>
      <c r="E183" s="915" t="str">
        <f t="shared" si="15"/>
        <v/>
      </c>
      <c r="F183" s="915" t="str">
        <f t="shared" si="15"/>
        <v/>
      </c>
      <c r="G183" s="880"/>
      <c r="H183" s="915" t="str">
        <f>IF(OR(H181="",H181=0),"",H181*C182*1450*$O$2/$P$1/365/H$46)</f>
        <v/>
      </c>
      <c r="I183" s="915" t="str">
        <f t="shared" ref="I183:K183" si="16">IF(OR(I181="",I181=0),"",I181*D182*1450*$O$2/$P$1/365/I$46)</f>
        <v/>
      </c>
      <c r="J183" s="915" t="str">
        <f t="shared" si="16"/>
        <v/>
      </c>
      <c r="K183" s="915" t="str">
        <f t="shared" si="16"/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5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1897" t="str">
        <f>IF(C450="","",C449*C450*C451)</f>
        <v/>
      </c>
      <c r="D452" s="1897" t="str">
        <f>IF(D450="","",D449*D450*D451)</f>
        <v/>
      </c>
      <c r="E452" s="1897" t="str">
        <f>IF(E450="","",E449*E450*E451)</f>
        <v/>
      </c>
      <c r="F452" s="1897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6" t="str">
        <f>IF(C452="","",C452*C453/C$46/365/$P$1)</f>
        <v/>
      </c>
      <c r="D454" s="1186" t="str">
        <f>IF(D452="","",D452*D453/D$46/365/$P$1)</f>
        <v/>
      </c>
      <c r="E454" s="1186" t="str">
        <f>IF(E452="","",E452*E453/E$46/365/$P$1)</f>
        <v/>
      </c>
      <c r="F454" s="1186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1877"/>
      <c r="N455" s="1877"/>
      <c r="O455" s="1877"/>
      <c r="P455" s="1877"/>
      <c r="Q455" s="1878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1897" t="str">
        <f>IF(C455="","",C450*C451*C455)</f>
        <v/>
      </c>
      <c r="D456" s="1897" t="str">
        <f>IF(D455="","",D450*D451*D455)</f>
        <v/>
      </c>
      <c r="E456" s="1897" t="str">
        <f>IF(E455="","",E450*E451*E455)</f>
        <v/>
      </c>
      <c r="F456" s="1897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1879" t="s">
        <v>1107</v>
      </c>
      <c r="R456" s="669"/>
      <c r="S456" s="797"/>
      <c r="T456" s="797"/>
      <c r="U456" s="829">
        <v>457</v>
      </c>
      <c r="V456" s="260"/>
    </row>
    <row r="457" spans="1:22" ht="15.75" customHeight="1">
      <c r="A457" s="1185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1897" t="str">
        <f>IF(C459="","",C458*C459*C460)</f>
        <v/>
      </c>
      <c r="D461" s="1897" t="str">
        <f>IF(D459="","",D458*D459*D460)</f>
        <v/>
      </c>
      <c r="E461" s="1897" t="str">
        <f>IF(E459="","",E458*E459*E460)</f>
        <v/>
      </c>
      <c r="F461" s="1897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6" t="str">
        <f>IF(C461="","",C461*C462/C$46/365/$P$1)</f>
        <v/>
      </c>
      <c r="D463" s="1186" t="str">
        <f>IF(D461="","",D461*D462/D$46/365/$P$1)</f>
        <v/>
      </c>
      <c r="E463" s="1186" t="str">
        <f>IF(E461="","",E461*E462/E$46/365/$P$1)</f>
        <v/>
      </c>
      <c r="F463" s="1186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1877"/>
      <c r="N464" s="1877"/>
      <c r="O464" s="1877"/>
      <c r="P464" s="1877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1897" t="str">
        <f>IF(C464="","",C459*C460*C464)</f>
        <v/>
      </c>
      <c r="D465" s="1897" t="str">
        <f>IF(D464="","",D459*D460*D464)</f>
        <v/>
      </c>
      <c r="E465" s="1897" t="str">
        <f>IF(E464="","",E459*E460*E464)</f>
        <v/>
      </c>
      <c r="F465" s="1897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1879" t="s">
        <v>1107</v>
      </c>
      <c r="R465" s="669"/>
      <c r="S465" s="797"/>
      <c r="T465" s="797"/>
      <c r="U465" s="829">
        <v>466</v>
      </c>
      <c r="V465" s="260"/>
    </row>
    <row r="466" spans="1:22" ht="15.75" customHeight="1">
      <c r="A466" s="1898" t="str">
        <f>IF(Data!A466="","",Data!A466)</f>
        <v>Rice purchase - unit</v>
      </c>
      <c r="B466" s="868"/>
      <c r="C466" s="773" t="str">
        <f>IF([2]Data!BV466="","",[2]Data!BV466)</f>
        <v/>
      </c>
      <c r="D466" s="773" t="str">
        <f>IF([2]Data!BW466="","",[2]Data!BW466)</f>
        <v/>
      </c>
      <c r="E466" s="773" t="str">
        <f>IF([2]Data!BX466="","",[2]Data!BX466)</f>
        <v/>
      </c>
      <c r="F466" s="773" t="str">
        <f>IF([2]Data!BY466="","",[2]Data!BY466)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>
        <f>IF([2]Data!BV467="","",[2]Data!BV467)</f>
        <v>5</v>
      </c>
      <c r="D467" s="773">
        <f>IF([2]Data!BW467="","",[2]Data!BW467)</f>
        <v>5</v>
      </c>
      <c r="E467" s="773">
        <f>IF([2]Data!BX467="","",[2]Data!BX467)</f>
        <v>5</v>
      </c>
      <c r="F467" s="773">
        <f>IF([2]Data!BY467="","",[2]Data!BY467)</f>
        <v>5</v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>
        <f>IF([2]Data!BV468="","",[2]Data!BV468)</f>
        <v>0</v>
      </c>
      <c r="D468" s="773">
        <f>IF([2]Data!BW468="","",[2]Data!BW468)</f>
        <v>0</v>
      </c>
      <c r="E468" s="773">
        <f>IF([2]Data!BX468="","",[2]Data!BX468)</f>
        <v>2</v>
      </c>
      <c r="F468" s="773">
        <f>IF([2]Data!BY468="","",[2]Data!BY468)</f>
        <v>1</v>
      </c>
      <c r="G468" s="895"/>
      <c r="H468" s="958">
        <f>IF(H$46="","",IF('Exp factors'!$B43="poor",'Exp factors'!$G$43*H$46/$D467/H469,SUM(C468)*'Exp factors'!C$43))</f>
        <v>0</v>
      </c>
      <c r="I468" s="958">
        <f>IF(I$46="","",IF('Exp factors'!$B43="poor",'Exp factors'!$G$43*I$46/$D467/I469,SUM(D468)*'Exp factors'!D$43))</f>
        <v>0</v>
      </c>
      <c r="J468" s="958">
        <f>IF(J$46="","",IF('Exp factors'!$B43="poor",'Exp factors'!$G$43*J$46/$D467/J469,SUM(E468)*'Exp factors'!E$43))</f>
        <v>0</v>
      </c>
      <c r="K468" s="958">
        <f>IF(K$46="","",IF('Exp factors'!$B43="poor",'Exp factors'!$G$43*K$46/$D467/K469,SUM(F468)*'Exp factors'!F$43))</f>
        <v>0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IF([2]Data!BV469="","",[2]Data!BV469)</f>
        <v>12</v>
      </c>
      <c r="D469" s="773">
        <f>IF([2]Data!BW469="","",[2]Data!BW469)</f>
        <v>12</v>
      </c>
      <c r="E469" s="773">
        <f>IF([2]Data!BX469="","",[2]Data!BX469)</f>
        <v>6</v>
      </c>
      <c r="F469" s="773">
        <f>IF([2]Data!BY469="","",[2]Data!BY469)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3"/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1893">
        <f>IF(C468="","",C467*C468*C469)</f>
        <v>0</v>
      </c>
      <c r="D470" s="1893">
        <f>IF(D468="","",D467*D468*D469)</f>
        <v>0</v>
      </c>
      <c r="E470" s="1893">
        <f>IF(E468="","",E467*E468*E469)</f>
        <v>60</v>
      </c>
      <c r="F470" s="1893">
        <f>IF(F468="","",F467*F468*F469)</f>
        <v>60</v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IF([2]Data!BV471="","",[2]Data!BV471)</f>
        <v>3540</v>
      </c>
      <c r="D471" s="773">
        <f>IF([2]Data!BW471="","",[2]Data!BW471)</f>
        <v>3540</v>
      </c>
      <c r="E471" s="773">
        <f>IF([2]Data!BX471="","",[2]Data!BX471)</f>
        <v>3540</v>
      </c>
      <c r="F471" s="773">
        <f>IF([2]Data!BY471="","",[2]Data!BY471)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894" t="e">
        <f>IF(C470="","",C470*C471/C$46/365/$P$1)</f>
        <v>#VALUE!</v>
      </c>
      <c r="D472" s="1894" t="e">
        <f>IF(D470="","",D470*D471/D$46/365/$P$1)</f>
        <v>#VALUE!</v>
      </c>
      <c r="E472" s="1894" t="e">
        <f>IF(E470="","",E470*E471/E$46/365/$P$1)</f>
        <v>#VALUE!</v>
      </c>
      <c r="F472" s="1894" t="e">
        <f>IF(F470="","",F470*F471/F$46/365/$P$1)</f>
        <v>#VALUE!</v>
      </c>
      <c r="G472" s="890"/>
      <c r="H472" s="1190" t="str">
        <f>IF(H$46=0,"",H470*SUM($D471)/H$46/365/$P$1)</f>
        <v/>
      </c>
      <c r="I472" s="1190" t="str">
        <f>IF(I$46=0,"",I470*SUM($D471)/I$46/365/$P$1)</f>
        <v/>
      </c>
      <c r="J472" s="1190" t="str">
        <f>IF(J$46=0,"",J470*SUM($D471)/J$46/365/$P$1)</f>
        <v/>
      </c>
      <c r="K472" s="1190" t="str">
        <f>IF(K$46=0,"",K470*SUM($D471)/K$46/365/$P$1)</f>
        <v/>
      </c>
      <c r="L472" s="890"/>
      <c r="M472" s="1880" t="e">
        <f>IF(SUM(H472)=SUM(C472),"",SUM(H472)-SUM(C472))</f>
        <v>#VALUE!</v>
      </c>
      <c r="N472" s="1880" t="e">
        <f>IF(SUM(I472)=SUM(D472),"",SUM(I472)-SUM(D472))</f>
        <v>#VALUE!</v>
      </c>
      <c r="O472" s="1880" t="e">
        <f>IF(SUM(J472)=SUM(E472),"",SUM(J472)-SUM(E472))</f>
        <v>#VALUE!</v>
      </c>
      <c r="P472" s="1880" t="e">
        <f>IF(SUM(K472)=SUM(F472),"",SUM(K472)-SUM(F472))</f>
        <v>#VALUE!</v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256</v>
      </c>
      <c r="B473" s="868"/>
      <c r="C473" s="968" t="str">
        <f>IF([2]Data!BV473="","",[2]Data!BV473)</f>
        <v/>
      </c>
      <c r="D473" s="968" t="str">
        <f>IF([2]Data!BW473="","",[2]Data!BW473)</f>
        <v/>
      </c>
      <c r="E473" s="968">
        <f>IF([2]Data!BX473="","",[2]Data!BX473)</f>
        <v>5</v>
      </c>
      <c r="F473" s="968">
        <f>IF([2]Data!BY473="","",[2]Data!BY473)</f>
        <v>5</v>
      </c>
      <c r="G473" s="868"/>
      <c r="H473" s="735"/>
      <c r="I473" s="735"/>
      <c r="J473" s="735"/>
      <c r="K473" s="735"/>
      <c r="L473" s="868"/>
      <c r="M473" s="1877"/>
      <c r="N473" s="1877"/>
      <c r="O473" s="1877"/>
      <c r="P473" s="1877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893" t="str">
        <f>IF(C473="","",C468*C469*C473)</f>
        <v/>
      </c>
      <c r="D474" s="1893" t="str">
        <f>IF(D473="","",D470*D473)</f>
        <v/>
      </c>
      <c r="E474" s="1893">
        <f t="shared" ref="E474:F474" si="17">IF(E473="","",E470*E473)</f>
        <v>300</v>
      </c>
      <c r="F474" s="1893">
        <f t="shared" si="17"/>
        <v>300</v>
      </c>
      <c r="G474" s="942"/>
      <c r="H474" s="1191" t="str">
        <f>IF(H$46=0,"",IF($D473="",H470*'Exp factors'!$H$52,H470*$D473/$D467))</f>
        <v/>
      </c>
      <c r="I474" s="1191" t="str">
        <f>IF(I$46=0,"",IF($D473="",I470*'Exp factors'!$H$52,I470*$D473/$D467))</f>
        <v/>
      </c>
      <c r="J474" s="1191" t="str">
        <f>IF(J$46=0,"",IF($D473="",J470*'Exp factors'!$H$52,J470*$D473/$D467))</f>
        <v/>
      </c>
      <c r="K474" s="1191" t="str">
        <f>IF(K$46=0,"",IF($D473="",K470*'Exp factors'!$H$52,K470*$D473/$D467))</f>
        <v/>
      </c>
      <c r="L474" s="942"/>
      <c r="M474" s="1881" t="str">
        <f>IF(SUM(H474)=SUM(C474),"",SUM(H474)-SUM(C474))</f>
        <v/>
      </c>
      <c r="N474" s="1881" t="str">
        <f>IF(SUM(I474)=SUM(D474),"",SUM(I474)-SUM(D474))</f>
        <v/>
      </c>
      <c r="O474" s="1881">
        <f>IF(SUM(J474)=SUM(E474),"",SUM(J474)-SUM(E474))</f>
        <v>-300</v>
      </c>
      <c r="P474" s="1881">
        <f>IF(SUM(K474)=SUM(F474),"",SUM(K474)-SUM(F474))</f>
        <v>-300</v>
      </c>
      <c r="Q474" s="1882" t="str">
        <f>'Exp factors'!$I$43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899" t="str">
        <f>IF(Data!A475="","",Data!A475)</f>
        <v>Sorghum purchase - unit</v>
      </c>
      <c r="B475" s="868"/>
      <c r="C475" s="773" t="str">
        <f>IF([2]Data!BV475="","",[2]Data!BV475)</f>
        <v/>
      </c>
      <c r="D475" s="773" t="str">
        <f>IF([2]Data!BW475="","",[2]Data!BW475)</f>
        <v/>
      </c>
      <c r="E475" s="773" t="str">
        <f>IF([2]Data!BX475="","",[2]Data!BX475)</f>
        <v/>
      </c>
      <c r="F475" s="773" t="str">
        <f>IF([2]Data!BY475="","",[2]Data!BY475)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>
        <f>IF([2]Data!BV476="","",[2]Data!BV476)</f>
        <v>50</v>
      </c>
      <c r="D476" s="773">
        <f>IF([2]Data!BW476="","",[2]Data!BW476)</f>
        <v>50</v>
      </c>
      <c r="E476" s="773">
        <f>IF([2]Data!BX476="","",[2]Data!BX476)</f>
        <v>50</v>
      </c>
      <c r="F476" s="773">
        <f>IF([2]Data!BY476="","",[2]Data!BY476)</f>
        <v>50</v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IF([2]Data!BV477="","",[2]Data!BV477)</f>
        <v/>
      </c>
      <c r="D477" s="773" t="str">
        <f>IF([2]Data!BW477="","",[2]Data!BW477)</f>
        <v/>
      </c>
      <c r="E477" s="773" t="str">
        <f>IF([2]Data!BX477="","",[2]Data!BX477)</f>
        <v/>
      </c>
      <c r="F477" s="773" t="str">
        <f>IF([2]Data!BY477="","",[2]Data!BY477)</f>
        <v/>
      </c>
      <c r="G477" s="871"/>
      <c r="H477" s="958">
        <f>IF('Exp factors'!$B44="poor",'Exp factors'!$G$44*H$46/$D476/H478,SUM(C477)*'Exp factors'!C$44)</f>
        <v>0</v>
      </c>
      <c r="I477" s="958">
        <f>IF('Exp factors'!$B44="poor",'Exp factors'!$G$44*I$46/$D476/I478,SUM(D477)*'Exp factors'!D$44)</f>
        <v>0</v>
      </c>
      <c r="J477" s="958">
        <f>IF('Exp factors'!$B44="poor",'Exp factors'!$G$44*J$46/$D476/J478,SUM(E477)*'Exp factors'!E$44)</f>
        <v>0</v>
      </c>
      <c r="K477" s="958">
        <f>IF('Exp factors'!$B44="poor",'Exp factors'!$G$44*K$46/$D476/K478,SUM(F477)*'Exp factors'!F$44)</f>
        <v>0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IF([2]Data!BV478="","",[2]Data!BV478)</f>
        <v>12</v>
      </c>
      <c r="D478" s="773">
        <f>IF([2]Data!BW478="","",[2]Data!BW478)</f>
        <v>12</v>
      </c>
      <c r="E478" s="773">
        <f>IF([2]Data!BX478="","",[2]Data!BX478)</f>
        <v>12</v>
      </c>
      <c r="F478" s="773">
        <f>IF([2]Data!BY478="","",[2]Data!BY478)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1895" t="str">
        <f>IF(C477="","",C476*C477*C478)</f>
        <v/>
      </c>
      <c r="D479" s="1895" t="str">
        <f>IF(D477="","",D476*D477*D478)</f>
        <v/>
      </c>
      <c r="E479" s="1895" t="str">
        <f>IF(E477="","",E476*E477*E478)</f>
        <v/>
      </c>
      <c r="F479" s="1895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IF([2]Data!BV480="","",[2]Data!BV480)</f>
        <v>3550</v>
      </c>
      <c r="D480" s="773">
        <f>IF([2]Data!BW480="","",[2]Data!BW480)</f>
        <v>3550</v>
      </c>
      <c r="E480" s="773">
        <f>IF([2]Data!BX480="","",[2]Data!BX480)</f>
        <v>3550</v>
      </c>
      <c r="F480" s="773">
        <f>IF([2]Data!BY480="","",[2]Data!BY480)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896" t="str">
        <f>IF(C479="","",C479*C480/C$46/365/$P$1)</f>
        <v/>
      </c>
      <c r="D481" s="1896" t="str">
        <f>IF(D479="","",D479*D480/D$46/365/$P$1)</f>
        <v/>
      </c>
      <c r="E481" s="1896" t="str">
        <f>IF(E479="","",E479*E480/E$46/365/$P$1)</f>
        <v/>
      </c>
      <c r="F481" s="1896" t="str">
        <f>IF(F479="","",F479*F480/F$46/365/$P$1)</f>
        <v/>
      </c>
      <c r="G481" s="880"/>
      <c r="H481" s="1190" t="str">
        <f>IF(H$46=0,"",H479*SUM($D480)/H$46/365/$P$1)</f>
        <v/>
      </c>
      <c r="I481" s="1190" t="str">
        <f>IF(I$46=0,"",I479*SUM($D480)/I$46/365/$P$1)</f>
        <v/>
      </c>
      <c r="J481" s="1190" t="str">
        <f>IF(J$46=0,"",J479*SUM($D480)/J$46/365/$P$1)</f>
        <v/>
      </c>
      <c r="K481" s="1190" t="str">
        <f>IF(K$46=0,"",K479*SUM($D480)/K$46/365/$P$1)</f>
        <v/>
      </c>
      <c r="L481" s="880"/>
      <c r="M481" s="1883" t="str">
        <f>IF(SUM(H481)=SUM(C481),"",SUM(H481)-SUM(C481))</f>
        <v/>
      </c>
      <c r="N481" s="1883" t="str">
        <f>IF(SUM(I481)=SUM(D481),"",SUM(I481)-SUM(D481))</f>
        <v/>
      </c>
      <c r="O481" s="1883" t="str">
        <f>IF(SUM(J481)=SUM(E481),"",SUM(J481)-SUM(E481))</f>
        <v/>
      </c>
      <c r="P481" s="1883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968" t="str">
        <f>IF([2]Data!BV482="","",[2]Data!BV482)</f>
        <v/>
      </c>
      <c r="D482" s="968" t="str">
        <f>IF([2]Data!BW482="","",[2]Data!BW482)</f>
        <v/>
      </c>
      <c r="E482" s="968" t="str">
        <f>IF([2]Data!BX482="","",[2]Data!BX482)</f>
        <v/>
      </c>
      <c r="F482" s="968" t="str">
        <f>IF([2]Data!BY482="","",[2]Data!BY482)</f>
        <v/>
      </c>
      <c r="G482" s="868"/>
      <c r="H482" s="735"/>
      <c r="I482" s="735"/>
      <c r="J482" s="735"/>
      <c r="K482" s="735"/>
      <c r="L482" s="868"/>
      <c r="M482" s="1877"/>
      <c r="N482" s="1877"/>
      <c r="O482" s="1877"/>
      <c r="P482" s="1877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895" t="str">
        <f>IF(C482="","",C477*C478*C482)</f>
        <v/>
      </c>
      <c r="D483" s="1895" t="str">
        <f>IF(D482="","",D477*D478*D482)</f>
        <v/>
      </c>
      <c r="E483" s="1895" t="str">
        <f>IF(E482="","",E477*E478*E482)</f>
        <v/>
      </c>
      <c r="F483" s="1895" t="str">
        <f>IF(F482="","",F477*F478*F482)</f>
        <v/>
      </c>
      <c r="G483" s="895"/>
      <c r="H483" s="1191" t="str">
        <f>IF(H$46=0,"",IF($D482="",H479*'Exp factors'!$H$54,H479*$D482/$D476))</f>
        <v/>
      </c>
      <c r="I483" s="1191" t="str">
        <f>IF(I$46=0,"",IF($D482="",I479*'Exp factors'!$H$54,I479*$D482/$D476))</f>
        <v/>
      </c>
      <c r="J483" s="1191" t="str">
        <f>IF(J$46=0,"",IF($D482="",J479*'Exp factors'!$H$54,J479*$D482/$D476))</f>
        <v/>
      </c>
      <c r="K483" s="1191" t="str">
        <f>IF(K$46=0,"",IF($D482="",K479*'Exp factors'!$H$54,K479*$D482/$D476))</f>
        <v/>
      </c>
      <c r="L483" s="895"/>
      <c r="M483" s="1884" t="str">
        <f>IF(SUM(H483)=SUM(C483),"",SUM(H483)-SUM(C483))</f>
        <v/>
      </c>
      <c r="N483" s="1884" t="str">
        <f>IF(SUM(I483)=SUM(D483),"",SUM(I483)-SUM(D483))</f>
        <v/>
      </c>
      <c r="O483" s="1884" t="str">
        <f>IF(SUM(J483)=SUM(E483),"",SUM(J483)-SUM(E483))</f>
        <v/>
      </c>
      <c r="P483" s="1884" t="str">
        <f>IF(SUM(K483)=SUM(F483),"",SUM(K483)-SUM(F483))</f>
        <v/>
      </c>
      <c r="Q483" s="1885" t="str">
        <f>'Exp factors'!$I$44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899" t="str">
        <f>IF(Data!A484="","",Data!A484)</f>
        <v>Millet purchase - unit</v>
      </c>
      <c r="B484" s="880"/>
      <c r="C484" s="773" t="str">
        <f>IF([2]Data!BV484="","",[2]Data!BV484)</f>
        <v/>
      </c>
      <c r="D484" s="773" t="str">
        <f>IF([2]Data!BW484="","",[2]Data!BW484)</f>
        <v/>
      </c>
      <c r="E484" s="773" t="str">
        <f>IF([2]Data!BX484="","",[2]Data!BX484)</f>
        <v/>
      </c>
      <c r="F484" s="773" t="str">
        <f>IF([2]Data!BY484="","",[2]Data!BY484)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IF([2]Data!BV485="","",[2]Data!BV485)</f>
        <v/>
      </c>
      <c r="D485" s="773" t="str">
        <f>IF([2]Data!BW485="","",[2]Data!BW485)</f>
        <v/>
      </c>
      <c r="E485" s="773" t="str">
        <f>IF([2]Data!BX485="","",[2]Data!BX485)</f>
        <v/>
      </c>
      <c r="F485" s="773" t="str">
        <f>IF([2]Data!BY485="","",[2]Data!BY485)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IF([2]Data!BV486="","",[2]Data!BV486)</f>
        <v/>
      </c>
      <c r="D486" s="773" t="str">
        <f>IF([2]Data!BW486="","",[2]Data!BW486)</f>
        <v/>
      </c>
      <c r="E486" s="773" t="str">
        <f>IF([2]Data!BX486="","",[2]Data!BX486)</f>
        <v/>
      </c>
      <c r="F486" s="773" t="str">
        <f>IF([2]Data!BY486="","",[2]Data!BY486)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IF([2]Data!BV487="","",[2]Data!BV487)</f>
        <v>12</v>
      </c>
      <c r="D487" s="773">
        <f>IF([2]Data!BW487="","",[2]Data!BW487)</f>
        <v>12</v>
      </c>
      <c r="E487" s="773">
        <f>IF([2]Data!BX487="","",[2]Data!BX487)</f>
        <v>12</v>
      </c>
      <c r="F487" s="773">
        <f>IF([2]Data!BY487="","",[2]Data!BY487)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1895" t="str">
        <f>IF(C486="","",C485*C486*C487)</f>
        <v/>
      </c>
      <c r="D488" s="1895" t="str">
        <f>IF(D486="","",D485*D486*D487)</f>
        <v/>
      </c>
      <c r="E488" s="1895" t="str">
        <f>IF(E486="","",E485*E486*E487)</f>
        <v/>
      </c>
      <c r="F488" s="1895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IF([2]Data!BV489="","",[2]Data!BV489)</f>
        <v>3630</v>
      </c>
      <c r="D489" s="773">
        <f>IF([2]Data!BW489="","",[2]Data!BW489)</f>
        <v>3630</v>
      </c>
      <c r="E489" s="773">
        <f>IF([2]Data!BX489="","",[2]Data!BX489)</f>
        <v>3630</v>
      </c>
      <c r="F489" s="773">
        <f>IF([2]Data!BY489="","",[2]Data!BY489)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896" t="str">
        <f>IF(C488="","",C488*C489/C$46/365/$P$1)</f>
        <v/>
      </c>
      <c r="D490" s="1896" t="str">
        <f>IF(D488="","",D488*D489/D$46/365/$P$1)</f>
        <v/>
      </c>
      <c r="E490" s="1896" t="str">
        <f>IF(E488="","",E488*E489/E$46/365/$P$1)</f>
        <v/>
      </c>
      <c r="F490" s="1896" t="str">
        <f>IF(F488="","",F488*F489/F$46/365/$P$1)</f>
        <v/>
      </c>
      <c r="G490" s="880"/>
      <c r="H490" s="1190" t="str">
        <f>IF(H$46=0,"",H488*SUM($D489)/H$46/365/$P$1)</f>
        <v/>
      </c>
      <c r="I490" s="1190" t="str">
        <f>IF(I$46=0,"",I488*SUM($D489)/I$46/365/$P$1)</f>
        <v/>
      </c>
      <c r="J490" s="1190" t="str">
        <f>IF(J$46=0,"",J488*SUM($D489)/J$46/365/$P$1)</f>
        <v/>
      </c>
      <c r="K490" s="1190" t="str">
        <f>IF(K$46=0,"",K488*SUM($D489)/K$46/365/$P$1)</f>
        <v/>
      </c>
      <c r="L490" s="880"/>
      <c r="M490" s="1883" t="str">
        <f>IF(SUM(H490)=SUM(C490),"",SUM(H490)-SUM(C490))</f>
        <v/>
      </c>
      <c r="N490" s="1883" t="str">
        <f>IF(SUM(I490)=SUM(D490),"",SUM(I490)-SUM(D490))</f>
        <v/>
      </c>
      <c r="O490" s="1883" t="str">
        <f>IF(SUM(J490)=SUM(E490),"",SUM(J490)-SUM(E490))</f>
        <v/>
      </c>
      <c r="P490" s="1883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968" t="str">
        <f>IF([2]Data!BV491="","",[2]Data!BV491)</f>
        <v/>
      </c>
      <c r="D491" s="968" t="str">
        <f>IF([2]Data!BW491="","",[2]Data!BW491)</f>
        <v/>
      </c>
      <c r="E491" s="968" t="str">
        <f>IF([2]Data!BX491="","",[2]Data!BX491)</f>
        <v/>
      </c>
      <c r="F491" s="968" t="str">
        <f>IF([2]Data!BY491="","",[2]Data!BY491)</f>
        <v/>
      </c>
      <c r="G491" s="893"/>
      <c r="H491" s="735"/>
      <c r="I491" s="735"/>
      <c r="J491" s="735"/>
      <c r="K491" s="735"/>
      <c r="L491" s="893"/>
      <c r="M491" s="1877"/>
      <c r="N491" s="1877"/>
      <c r="O491" s="1877"/>
      <c r="P491" s="1877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895" t="str">
        <f>IF(C491="","",C486*C487*C491)</f>
        <v/>
      </c>
      <c r="D492" s="1895" t="str">
        <f>IF(D491="","",D486*D487*D491)</f>
        <v/>
      </c>
      <c r="E492" s="1895" t="str">
        <f>IF(E491="","",E486*E487*E491)</f>
        <v/>
      </c>
      <c r="F492" s="1895" t="str">
        <f>IF(F491="","",F486*F487*F491)</f>
        <v/>
      </c>
      <c r="G492" s="895"/>
      <c r="H492" s="1191" t="str">
        <f>IF(H$46=0,"",IF($D491="",H488*'Exp factors'!$H$50,H488*$D491/$D485))</f>
        <v/>
      </c>
      <c r="I492" s="1191" t="str">
        <f>IF(I$46=0,"",IF($D491="",I488*'Exp factors'!$H$50,I488*$D491/$D485))</f>
        <v/>
      </c>
      <c r="J492" s="1191" t="str">
        <f>IF(J$46=0,"",IF($D491="",J488*'Exp factors'!$H$50,J488*$D491/$D485))</f>
        <v/>
      </c>
      <c r="K492" s="1191" t="str">
        <f>IF(K$46=0,"",IF($D491="",K488*'Exp factors'!$H$50,K488*$D491/$D485))</f>
        <v/>
      </c>
      <c r="L492" s="895"/>
      <c r="M492" s="1884" t="str">
        <f>IF(SUM(H492)=SUM(C492),"",SUM(H492)-SUM(C492))</f>
        <v/>
      </c>
      <c r="N492" s="1884" t="str">
        <f>IF(SUM(I492)=SUM(D492),"",SUM(I492)-SUM(D492))</f>
        <v/>
      </c>
      <c r="O492" s="1884" t="str">
        <f>IF(SUM(J492)=SUM(E492),"",SUM(J492)-SUM(E492))</f>
        <v/>
      </c>
      <c r="P492" s="1884" t="str">
        <f>IF(SUM(K492)=SUM(F492),"",SUM(K492)-SUM(F492))</f>
        <v/>
      </c>
      <c r="Q492" s="1885" t="str">
        <f>'Exp factors'!$I$45</f>
        <v>other</v>
      </c>
      <c r="R492" s="669"/>
      <c r="S492" s="797"/>
      <c r="T492" s="797"/>
      <c r="U492" s="829">
        <v>493</v>
      </c>
      <c r="V492" s="260"/>
    </row>
    <row r="493" spans="1:22" ht="15.75" customHeight="1">
      <c r="A493" s="1898" t="str">
        <f>IF(Data!A493="","",Data!A493)</f>
        <v>Bread purchase - unit</v>
      </c>
      <c r="B493" s="869"/>
      <c r="C493" s="773" t="str">
        <f>IF([2]Data!BV493="","",[2]Data!BV493)</f>
        <v>loaf</v>
      </c>
      <c r="D493" s="773" t="str">
        <f>IF([2]Data!BW493="","",[2]Data!BW493)</f>
        <v>loaf</v>
      </c>
      <c r="E493" s="773" t="str">
        <f>IF([2]Data!BX493="","",[2]Data!BX493)</f>
        <v>loaf</v>
      </c>
      <c r="F493" s="773" t="str">
        <f>IF([2]Data!BY493="","",[2]Data!BY493)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IF([2]Data!BV494="","",[2]Data!BV494)</f>
        <v>0.7</v>
      </c>
      <c r="D494" s="773">
        <f>IF([2]Data!BW494="","",[2]Data!BW494)</f>
        <v>0.7</v>
      </c>
      <c r="E494" s="773">
        <f>IF([2]Data!BX494="","",[2]Data!BX494)</f>
        <v>0.7</v>
      </c>
      <c r="F494" s="773">
        <f>IF([2]Data!BY494="","",[2]Data!BY494)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IF([2]Data!BV495="","",[2]Data!BV495)</f>
        <v/>
      </c>
      <c r="D495" s="773">
        <f>IF([2]Data!BW495="","",[2]Data!BW495)</f>
        <v>3</v>
      </c>
      <c r="E495" s="773">
        <f>IF([2]Data!BX495="","",[2]Data!BX495)</f>
        <v>3</v>
      </c>
      <c r="F495" s="773">
        <f>IF([2]Data!BY495="","",[2]Data!BY495)</f>
        <v>4</v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IF([2]Data!BV496="","",[2]Data!BV496)</f>
        <v>4</v>
      </c>
      <c r="D496" s="773">
        <f>IF([2]Data!BW496="","",[2]Data!BW496)</f>
        <v>4</v>
      </c>
      <c r="E496" s="773">
        <f>IF([2]Data!BX496="","",[2]Data!BX496)</f>
        <v>4</v>
      </c>
      <c r="F496" s="773">
        <f>IF([2]Data!BY496="","",[2]Data!BY496)</f>
        <v>12</v>
      </c>
      <c r="G496" s="868"/>
      <c r="H496" s="959">
        <f>I496</f>
        <v>4</v>
      </c>
      <c r="I496" s="959">
        <f>SUM(D496)</f>
        <v>4</v>
      </c>
      <c r="J496" s="959">
        <f>I496</f>
        <v>4</v>
      </c>
      <c r="K496" s="959">
        <f>I496</f>
        <v>4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1893" t="str">
        <f>IF(C495="","",C494*C495*C496)</f>
        <v/>
      </c>
      <c r="D497" s="1893">
        <f>IF(D495="","",D494*D495*D496)</f>
        <v>8.3999999999999986</v>
      </c>
      <c r="E497" s="1893">
        <f>IF(E495="","",E494*E495*E496)</f>
        <v>8.3999999999999986</v>
      </c>
      <c r="F497" s="1893">
        <f>IF(F495="","",F494*F495*F496)</f>
        <v>33.599999999999994</v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IF([2]Data!BV498="","",[2]Data!BV498)</f>
        <v>2640</v>
      </c>
      <c r="D498" s="773">
        <f>IF([2]Data!BW498="","",[2]Data!BW498)</f>
        <v>2640</v>
      </c>
      <c r="E498" s="773">
        <f>IF([2]Data!BX498="","",[2]Data!BX498)</f>
        <v>2640</v>
      </c>
      <c r="F498" s="773">
        <f>IF([2]Data!BY498="","",[2]Data!BY498)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894" t="str">
        <f>IF(C497="","",C497*C498/C$46/365/$P$1)</f>
        <v/>
      </c>
      <c r="D499" s="1894" t="e">
        <f>IF(D497="","",D497*D498/D$46/365/$P$1)</f>
        <v>#VALUE!</v>
      </c>
      <c r="E499" s="1894" t="e">
        <f>IF(E497="","",E497*E498/E$46/365/$P$1)</f>
        <v>#VALUE!</v>
      </c>
      <c r="F499" s="1894" t="e">
        <f>IF(F497="","",F497*F498/F$46/365/$P$1)</f>
        <v>#VALUE!</v>
      </c>
      <c r="G499" s="880"/>
      <c r="H499" s="1190" t="str">
        <f>IF(H$46=0,"",H497*SUM($D498)/H$46/365/$P$1)</f>
        <v/>
      </c>
      <c r="I499" s="1190" t="str">
        <f>IF(I$46=0,"",I497*SUM($D498)/I$46/365/$P$1)</f>
        <v/>
      </c>
      <c r="J499" s="1190" t="str">
        <f>IF(J$46=0,"",J497*SUM($D498)/J$46/365/$P$1)</f>
        <v/>
      </c>
      <c r="K499" s="1190" t="str">
        <f>IF(K$46=0,"",K497*SUM($D498)/K$46/365/$P$1)</f>
        <v/>
      </c>
      <c r="L499" s="880"/>
      <c r="M499" s="1880" t="str">
        <f>IF(SUM(H499)=SUM(C499),"",SUM(H499)-SUM(C499))</f>
        <v/>
      </c>
      <c r="N499" s="1880" t="e">
        <f>IF(SUM(I499)=SUM(D499),"",SUM(I499)-SUM(D499))</f>
        <v>#VALUE!</v>
      </c>
      <c r="O499" s="1880" t="e">
        <f>IF(SUM(J499)=SUM(E499),"",SUM(J499)-SUM(E499))</f>
        <v>#VALUE!</v>
      </c>
      <c r="P499" s="1880" t="e">
        <f>IF(SUM(K499)=SUM(F499),"",SUM(K499)-SUM(F499))</f>
        <v>#VALUE!</v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253</v>
      </c>
      <c r="B500" s="871"/>
      <c r="C500" s="968" t="str">
        <f>IF([2]Data!BV500="","",[2]Data!BV500)</f>
        <v/>
      </c>
      <c r="D500" s="968">
        <f>IF([2]Data!BW500="","",[2]Data!BW500)</f>
        <v>6</v>
      </c>
      <c r="E500" s="968">
        <f>IF([2]Data!BX500="","",[2]Data!BX500)</f>
        <v>6</v>
      </c>
      <c r="F500" s="968">
        <f>IF([2]Data!BY500="","",[2]Data!BY500)</f>
        <v>6</v>
      </c>
      <c r="G500" s="893"/>
      <c r="H500" s="735"/>
      <c r="I500" s="735"/>
      <c r="J500" s="735"/>
      <c r="K500" s="735"/>
      <c r="L500" s="893"/>
      <c r="M500" s="1877"/>
      <c r="N500" s="1877"/>
      <c r="O500" s="1877"/>
      <c r="P500" s="1877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893" t="str">
        <f>IF(C500="","",C495*C496*C500)</f>
        <v/>
      </c>
      <c r="D501" s="1893">
        <f t="shared" ref="D501:F501" si="18">IF(D500="","",D495*D496*D500)</f>
        <v>72</v>
      </c>
      <c r="E501" s="1893">
        <f t="shared" si="18"/>
        <v>72</v>
      </c>
      <c r="F501" s="1893">
        <f t="shared" si="18"/>
        <v>288</v>
      </c>
      <c r="G501" s="895"/>
      <c r="H501" s="1191" t="str">
        <f>IF(H$46=0,"",IF($D500="",H497*'Exp factors'!$H$51,H497*$D500/$D494))</f>
        <v/>
      </c>
      <c r="I501" s="1191" t="str">
        <f>IF(I$46=0,"",IF($D500="",I497*'Exp factors'!$H$51,I497*$D500/$D494))</f>
        <v/>
      </c>
      <c r="J501" s="1191" t="str">
        <f>IF(J$46=0,"",IF($D500="",J497*'Exp factors'!$H$51,J497*$D500/$D494))</f>
        <v/>
      </c>
      <c r="K501" s="1191" t="str">
        <f>IF(K$46=0,"",IF($D500="",K497*'Exp factors'!$H$51,K497*$D500/$D494))</f>
        <v/>
      </c>
      <c r="L501" s="895"/>
      <c r="M501" s="1881" t="str">
        <f>IF(SUM(H501)=SUM(C501),"",SUM(H501)-SUM(C501))</f>
        <v/>
      </c>
      <c r="N501" s="1881">
        <f>IF(SUM(I501)=SUM(D501),"",SUM(I501)-SUM(D501))</f>
        <v>-72</v>
      </c>
      <c r="O501" s="1881">
        <f>IF(SUM(J501)=SUM(E501),"",SUM(J501)-SUM(E501))</f>
        <v>-72</v>
      </c>
      <c r="P501" s="1881">
        <f>IF(SUM(K501)=SUM(F501),"",SUM(K501)-SUM(F501))</f>
        <v>-288</v>
      </c>
      <c r="Q501" s="1882" t="str">
        <f>'Exp factors'!$I$46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900" t="str">
        <f>IF(Data!A502="","",Data!A502)</f>
        <v>Sweet potatoes purchase - qty</v>
      </c>
      <c r="B502" s="868"/>
      <c r="C502" s="773" t="str">
        <f>IF([2]Data!BV502="","",[2]Data!BV502)</f>
        <v/>
      </c>
      <c r="D502" s="773" t="str">
        <f>IF([2]Data!BW502="","",[2]Data!BW502)</f>
        <v/>
      </c>
      <c r="E502" s="773" t="str">
        <f>IF([2]Data!BX502="","",[2]Data!BX502)</f>
        <v/>
      </c>
      <c r="F502" s="773">
        <f>IF([2]Data!BY502="","",[2]Data!BY502)</f>
        <v>5</v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IF([2]Data!BV503="","",[2]Data!BV503)</f>
        <v>12</v>
      </c>
      <c r="D503" s="773">
        <f>IF([2]Data!BW503="","",[2]Data!BW503)</f>
        <v>12</v>
      </c>
      <c r="E503" s="773">
        <f>IF([2]Data!BX503="","",[2]Data!BX503)</f>
        <v>12</v>
      </c>
      <c r="F503" s="773">
        <f>IF([2]Data!BY503="","",[2]Data!BY503)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IF([2]Data!BV504="","",[2]Data!BV504)</f>
        <v>1140</v>
      </c>
      <c r="D504" s="773">
        <f>IF([2]Data!BW504="","",[2]Data!BW504)</f>
        <v>1140</v>
      </c>
      <c r="E504" s="773">
        <f>IF([2]Data!BX504="","",[2]Data!BX504)</f>
        <v>1140</v>
      </c>
      <c r="F504" s="773">
        <f>IF([2]Data!BY504="","",[2]Data!BY504)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894" t="str">
        <f>IF(SUM(C502)=0,"",C502*C503*C504/C$46/365/$P$1)</f>
        <v/>
      </c>
      <c r="D505" s="1894" t="str">
        <f>IF(SUM(D502)=0,"",D502*D503*D504/D$46/365/$P$1)</f>
        <v/>
      </c>
      <c r="E505" s="1894" t="str">
        <f>IF(SUM(E502)=0,"",E502*E503*E504/E$46/365/$P$1)</f>
        <v/>
      </c>
      <c r="F505" s="1894" t="e">
        <f>IF(SUM(F502)=0,"",F502*F503*F504/F$46/365/$P$1)</f>
        <v>#VALUE!</v>
      </c>
      <c r="G505" s="880"/>
      <c r="H505" s="1190" t="str">
        <f>IF(H$46=0,"",H502*H503*SUM($D504)/H$46/365/$P$1)</f>
        <v/>
      </c>
      <c r="I505" s="1190" t="str">
        <f>IF(I$46=0,"",I502*I503*SUM($D504)/I$46/365/$P$1)</f>
        <v/>
      </c>
      <c r="J505" s="1190" t="str">
        <f>IF(J$46=0,"",J502*J503*SUM($D504)/J$46/365/$P$1)</f>
        <v/>
      </c>
      <c r="K505" s="1190" t="str">
        <f>IF(K$46=0,"",K502*K503*SUM($D504)/K$46/365/$P$1)</f>
        <v/>
      </c>
      <c r="L505" s="880"/>
      <c r="M505" s="1880" t="str">
        <f>IF(SUM(H505)=SUM(C505),"",SUM(H505)-SUM(C505))</f>
        <v/>
      </c>
      <c r="N505" s="1880" t="str">
        <f>IF(SUM(I505)=SUM(D505),"",SUM(I505)-SUM(D505))</f>
        <v/>
      </c>
      <c r="O505" s="1880" t="str">
        <f>IF(SUM(J505)=SUM(E505),"",SUM(J505)-SUM(E505))</f>
        <v/>
      </c>
      <c r="P505" s="1880" t="e">
        <f>IF(SUM(K505)=SUM(F505),"",SUM(K505)-SUM(F505))</f>
        <v>#VALUE!</v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IF([2]Data!BV506="","",[2]Data!BV506)</f>
        <v/>
      </c>
      <c r="D506" s="773" t="str">
        <f>IF([2]Data!BW506="","",[2]Data!BW506)</f>
        <v/>
      </c>
      <c r="E506" s="773" t="str">
        <f>IF([2]Data!BX506="","",[2]Data!BX506)</f>
        <v/>
      </c>
      <c r="F506" s="773">
        <f>IF([2]Data!BY506="","",[2]Data!BY506)</f>
        <v>1</v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893" t="str">
        <f>IF(C506="","",C502*C503*C506)</f>
        <v/>
      </c>
      <c r="D507" s="1893" t="str">
        <f>IF(D506="","",D502*D503*D506)</f>
        <v/>
      </c>
      <c r="E507" s="1893" t="str">
        <f>IF(E506="","",E502*E503*E506)</f>
        <v/>
      </c>
      <c r="F507" s="1893">
        <f>IF(F506="","",F502*F503*F506)</f>
        <v>60</v>
      </c>
      <c r="G507" s="868"/>
      <c r="H507" s="1191" t="str">
        <f>IF(H$46=0,"",IF($D506="",H502*H503*'Exp factors'!$H$61,H502*H503*$D506))</f>
        <v/>
      </c>
      <c r="I507" s="1191" t="str">
        <f>IF(I$46=0,"",IF($D506="",I502*I503*'Exp factors'!$H$61,I502*I503*$D506))</f>
        <v/>
      </c>
      <c r="J507" s="1191" t="str">
        <f>IF(J$46=0,"",IF($D506="",J502*J503*'Exp factors'!$H$61,J502*J503*$D506))</f>
        <v/>
      </c>
      <c r="K507" s="1191" t="str">
        <f>IF(K$46=0,"",IF($D506="",K502*K503*'Exp factors'!$H$61,K502*K503*$D506))</f>
        <v/>
      </c>
      <c r="L507" s="868"/>
      <c r="M507" s="1881" t="str">
        <f>IF(SUM(H507)=SUM(C507),"",SUM(H507)-SUM(C507))</f>
        <v/>
      </c>
      <c r="N507" s="1881" t="str">
        <f>IF(SUM(I507)=SUM(D507),"",SUM(I507)-SUM(D507))</f>
        <v/>
      </c>
      <c r="O507" s="1881" t="str">
        <f>IF(SUM(J507)=SUM(E507),"",SUM(J507)-SUM(E507))</f>
        <v/>
      </c>
      <c r="P507" s="1881">
        <f>IF(SUM(K507)=SUM(F507),"",SUM(K507)-SUM(F507))</f>
        <v>-60</v>
      </c>
      <c r="Q507" s="1882" t="str">
        <f>'Exp factors'!$I$47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0" t="str">
        <f>IF(SUM(C508)=0,"",C508*C509*C510/C$46/365/$P$1)</f>
        <v/>
      </c>
      <c r="D511" s="1190" t="str">
        <f>IF(SUM(D508)=0,"",D508*D509*D510/D$46/365/$P$1)</f>
        <v/>
      </c>
      <c r="E511" s="1190" t="str">
        <f>IF(SUM(E508)=0,"",E508*E509*E510/E$46/365/$P$1)</f>
        <v/>
      </c>
      <c r="F511" s="1190" t="str">
        <f>IF(SUM(F508)=0,"",F508*F509*F510/F$46/365/$P$1)</f>
        <v/>
      </c>
      <c r="G511" s="880"/>
      <c r="H511" s="1190" t="str">
        <f>IF(H$46=0,"",H508*H509*SUM($D510)/H$46/365/$P$1)</f>
        <v/>
      </c>
      <c r="I511" s="1190" t="str">
        <f>IF(I$46=0,"",I508*I509*SUM($D510)/I$46/365/$P$1)</f>
        <v/>
      </c>
      <c r="J511" s="1190" t="str">
        <f>IF(J$46=0,"",J508*J509*SUM($D510)/J$46/365/$P$1)</f>
        <v/>
      </c>
      <c r="K511" s="1190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1" t="str">
        <f>IF(C512="","",C508*C509*C512)</f>
        <v/>
      </c>
      <c r="D513" s="1191" t="str">
        <f>IF(D512="","",D508*D509*D512)</f>
        <v/>
      </c>
      <c r="E513" s="1191" t="str">
        <f>IF(E512="","",E508*E509*E512)</f>
        <v/>
      </c>
      <c r="F513" s="1191" t="str">
        <f>IF(F512="","",F508*F509*F512)</f>
        <v/>
      </c>
      <c r="G513" s="868"/>
      <c r="H513" s="1191" t="str">
        <f>IF(H$46=0,"",IF($D512="",H508*H509*'Exp factors'!$H$62,H508*H509*$D512))</f>
        <v/>
      </c>
      <c r="I513" s="1191" t="str">
        <f>IF(I$46=0,"",IF($D512="",I508*I509*'Exp factors'!$H$62,I508*I509*$D512))</f>
        <v/>
      </c>
      <c r="J513" s="1191" t="str">
        <f>IF(J$46=0,"",IF($D512="",J508*J509*'Exp factors'!$H$62,J508*J509*$D512))</f>
        <v/>
      </c>
      <c r="K513" s="1191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1886" t="str">
        <f>'Exp factors'!$I$48</f>
        <v>mns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0" t="str">
        <f>IF(SUM(C514)=0,"",C514*C515*C516/C$46/365/$P$1)</f>
        <v/>
      </c>
      <c r="D517" s="1190" t="str">
        <f>IF(SUM(D514)=0,"",D514*D515*D516/D$46/365/$P$1)</f>
        <v/>
      </c>
      <c r="E517" s="1190" t="str">
        <f>IF(SUM(E514)=0,"",E514*E515*E516/E$46/365/$P$1)</f>
        <v/>
      </c>
      <c r="F517" s="1190" t="str">
        <f>IF(SUM(F514)=0,"",F514*F515*F516/F$46/365/$P$1)</f>
        <v/>
      </c>
      <c r="G517" s="880"/>
      <c r="H517" s="1190" t="str">
        <f>IF(H$46=0,"",H514*H515*SUM($D516)/H$46/365/$P$1)</f>
        <v/>
      </c>
      <c r="I517" s="1190" t="str">
        <f>IF(I$46=0,"",I514*I515*SUM($D516)/I$46/365/$P$1)</f>
        <v/>
      </c>
      <c r="J517" s="1190" t="str">
        <f>IF(J$46=0,"",J514*J515*SUM($D516)/J$46/365/$P$1)</f>
        <v/>
      </c>
      <c r="K517" s="1190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1" t="str">
        <f>IF(C518="","",C514*C515*C518)</f>
        <v/>
      </c>
      <c r="D519" s="1191" t="str">
        <f>IF(D518="","",D514*D515*D518)</f>
        <v/>
      </c>
      <c r="E519" s="1191" t="str">
        <f>IF(E518="","",E514*E515*E518)</f>
        <v/>
      </c>
      <c r="F519" s="1191" t="str">
        <f>IF(F518="","",F514*F515*F518)</f>
        <v/>
      </c>
      <c r="G519" s="868"/>
      <c r="H519" s="1191" t="str">
        <f>IF(H$46=0,"",IF($D518="",H514*H515*'Exp factors'!$H$53,H514*H515*$D518))</f>
        <v/>
      </c>
      <c r="I519" s="1191" t="str">
        <f>IF(I$46=0,"",IF($D518="",I514*I515*'Exp factors'!$H$53,I514*I515*$D518))</f>
        <v/>
      </c>
      <c r="J519" s="1191" t="str">
        <f>IF(J$46=0,"",IF($D518="",J514*J515*'Exp factors'!$H$53,J514*J515*$D518))</f>
        <v/>
      </c>
      <c r="K519" s="1191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1886" t="str">
        <f>'Exp factors'!$I$49</f>
        <v>mns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0" t="str">
        <f>IF(SUM(C520)=0,"",C520*C521*C522/C$46/365/$P$1)</f>
        <v/>
      </c>
      <c r="D523" s="1190" t="str">
        <f>IF(SUM(D520)=0,"",D520*D521*D522/D$46/365/$P$1)</f>
        <v/>
      </c>
      <c r="E523" s="1190" t="str">
        <f>IF(SUM(E520)=0,"",E520*E521*E522/E$46/365/$P$1)</f>
        <v/>
      </c>
      <c r="F523" s="1190" t="str">
        <f>IF(SUM(F520)=0,"",F520*F521*F522/F$46/365/$P$1)</f>
        <v/>
      </c>
      <c r="G523" s="880"/>
      <c r="H523" s="1190" t="str">
        <f>IF(H$46=0,"",H520*H521*SUM($D522)/H$46/365/$P$1)</f>
        <v/>
      </c>
      <c r="I523" s="1190" t="str">
        <f>IF(I$46=0,"",I520*I521*SUM($D522)/I$46/365/$P$1)</f>
        <v/>
      </c>
      <c r="J523" s="1190" t="str">
        <f>IF(J$46=0,"",J520*J521*SUM($D522)/J$46/365/$P$1)</f>
        <v/>
      </c>
      <c r="K523" s="1190" t="str">
        <f>IF(K$46=0,"",K520*K521*SUM($D522)/K$46/365/$P$1)</f>
        <v/>
      </c>
      <c r="L523" s="880"/>
      <c r="M523" s="1880" t="str">
        <f>IF(SUM(H523)=SUM(C523),"",SUM(H523)-SUM(C523))</f>
        <v/>
      </c>
      <c r="N523" s="1880" t="str">
        <f>IF(SUM(I523)=SUM(D523),"",SUM(I523)-SUM(D523))</f>
        <v/>
      </c>
      <c r="O523" s="1880" t="str">
        <f>IF(SUM(J523)=SUM(E523),"",SUM(J523)-SUM(E523))</f>
        <v/>
      </c>
      <c r="P523" s="1880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1" t="str">
        <f>IF(C524="","",C520*C521*C524)</f>
        <v/>
      </c>
      <c r="D525" s="1191" t="str">
        <f>IF(D524="","",D520*D521*D524)</f>
        <v/>
      </c>
      <c r="E525" s="1191" t="str">
        <f>IF(E524="","",E520*E521*E524)</f>
        <v/>
      </c>
      <c r="F525" s="1191" t="str">
        <f>IF(F524="","",F520*F521*F524)</f>
        <v/>
      </c>
      <c r="G525" s="868"/>
      <c r="H525" s="1191" t="str">
        <f>IF(H$46=0,"",IF($D524="",H520*H521*'Exp factors'!$H$44,H520*H521*$D524))</f>
        <v/>
      </c>
      <c r="I525" s="1191" t="str">
        <f>IF(I$46=0,"",IF($D524="",I520*I521*'Exp factors'!$H$44,I520*I521*$D524))</f>
        <v/>
      </c>
      <c r="J525" s="1191" t="str">
        <f>IF(J$46=0,"",IF($D524="",J520*J521*'Exp factors'!$H$44,J520*J521*$D524))</f>
        <v/>
      </c>
      <c r="K525" s="1191" t="str">
        <f>IF(K$46=0,"",IF($D524="",K520*K521*'Exp factors'!$H$44,K520*K521*$D524))</f>
        <v/>
      </c>
      <c r="L525" s="868"/>
      <c r="M525" s="1881" t="str">
        <f>IF(SUM(H525)=SUM(C525),"",SUM(H525)-SUM(C525))</f>
        <v/>
      </c>
      <c r="N525" s="1881" t="str">
        <f>IF(SUM(I525)=SUM(D525),"",SUM(I525)-SUM(D525))</f>
        <v/>
      </c>
      <c r="O525" s="1881" t="str">
        <f>IF(SUM(J525)=SUM(E525),"",SUM(J525)-SUM(E525))</f>
        <v/>
      </c>
      <c r="P525" s="1881" t="str">
        <f>IF(SUM(K525)=SUM(F525),"",SUM(K525)-SUM(F525))</f>
        <v/>
      </c>
      <c r="Q525" s="1882" t="str">
        <f>'Exp factors'!$I$50</f>
        <v>des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0" t="str">
        <f>IF(SUM(C527)=0,"",C527*C528/C$46/365/$P$1)</f>
        <v/>
      </c>
      <c r="D529" s="1190" t="str">
        <f>IF(SUM(D527)=0,"",D527*D528/D$46/365/$P$1)</f>
        <v/>
      </c>
      <c r="E529" s="1190" t="str">
        <f>IF(SUM(E527)=0,"",E527*E528/E$46/365/$P$1)</f>
        <v/>
      </c>
      <c r="F529" s="1190" t="str">
        <f>IF(SUM(F527)=0,"",F527*F528/F$46/365/$P$1)</f>
        <v/>
      </c>
      <c r="G529" s="868"/>
      <c r="H529" s="1190" t="str">
        <f>IF(H$46=0,"",H527*SUM($D528)/H$46/365/$P$1)</f>
        <v/>
      </c>
      <c r="I529" s="1190" t="str">
        <f>IF(I$46=0,"",I527*SUM($D528)/I$46/365/$P$1)</f>
        <v/>
      </c>
      <c r="J529" s="1190" t="str">
        <f>IF(J$46=0,"",J527*SUM($D528)/J$46/365/$P$1)</f>
        <v/>
      </c>
      <c r="K529" s="1190" t="str">
        <f>IF(K$46=0,"",K527*SUM($D528)/K$46/365/$P$1)</f>
        <v/>
      </c>
      <c r="L529" s="868"/>
      <c r="M529" s="1880" t="str">
        <f>IF(SUM(H529)=SUM(C529),"",SUM(H529)-SUM(C529))</f>
        <v/>
      </c>
      <c r="N529" s="1880" t="str">
        <f>IF(SUM(I529)=SUM(D529),"",SUM(I529)-SUM(D529))</f>
        <v/>
      </c>
      <c r="O529" s="1880" t="str">
        <f>IF(SUM(J529)=SUM(E529),"",SUM(J529)-SUM(E529))</f>
        <v/>
      </c>
      <c r="P529" s="1880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1" t="str">
        <f>IF(C530="","",C527*C530)</f>
        <v/>
      </c>
      <c r="D531" s="1191" t="str">
        <f>IF(D530="","",D527*D530)</f>
        <v/>
      </c>
      <c r="E531" s="1191" t="str">
        <f>IF(E530="","",E527*E530)</f>
        <v/>
      </c>
      <c r="F531" s="1191" t="str">
        <f>IF(F530="","",F527*F530)</f>
        <v/>
      </c>
      <c r="G531" s="868"/>
      <c r="H531" s="1191" t="str">
        <f>IF(H$46=0,"",IF($D530="",H527*'Exp factors'!$H$45,H527*$D530))</f>
        <v/>
      </c>
      <c r="I531" s="1191" t="str">
        <f>IF(I$46=0,"",IF($D530="",I527*'Exp factors'!$H$45,I527*$D530))</f>
        <v/>
      </c>
      <c r="J531" s="1191" t="str">
        <f>IF(J$46=0,"",IF($D530="",J527*'Exp factors'!$H$45,J527*$D530))</f>
        <v/>
      </c>
      <c r="K531" s="1191" t="str">
        <f>IF(K$46=0,"",IF($D530="",K527*'Exp factors'!$H$45,K527*$D530))</f>
        <v/>
      </c>
      <c r="L531" s="868"/>
      <c r="M531" s="1881" t="str">
        <f>IF(SUM(H531)=SUM(C531),"",SUM(H531)-SUM(C531))</f>
        <v/>
      </c>
      <c r="N531" s="1881" t="str">
        <f>IF(SUM(I531)=SUM(D531),"",SUM(I531)-SUM(D531))</f>
        <v/>
      </c>
      <c r="O531" s="1881" t="str">
        <f>IF(SUM(J531)=SUM(E531),"",SUM(J531)-SUM(E531))</f>
        <v/>
      </c>
      <c r="P531" s="1881" t="str">
        <f>IF(SUM(K531)=SUM(F531),"",SUM(K531)-SUM(F531))</f>
        <v/>
      </c>
      <c r="Q531" s="1882" t="str">
        <f>'Exp factors'!$I$51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0" t="str">
        <f>IF(SUM(C533)=0,"",C533*C534/C$46/365/$P$1)</f>
        <v/>
      </c>
      <c r="D535" s="1190" t="str">
        <f>IF(SUM(D533)=0,"",D533*D534/D$46/365/$P$1)</f>
        <v/>
      </c>
      <c r="E535" s="1190" t="str">
        <f>IF(SUM(E533)=0,"",E533*E534/E$46/365/$P$1)</f>
        <v/>
      </c>
      <c r="F535" s="1190" t="str">
        <f>IF(SUM(F533)=0,"",F533*F534/F$46/365/$P$1)</f>
        <v/>
      </c>
      <c r="G535" s="868"/>
      <c r="H535" s="1190" t="str">
        <f>IF(H$46=0,"",H533*SUM($D534)/H$46/365/$P$1)</f>
        <v/>
      </c>
      <c r="I535" s="1190" t="str">
        <f>IF(I$46=0,"",I533*SUM($D534)/I$46/365/$P$1)</f>
        <v/>
      </c>
      <c r="J535" s="1190" t="str">
        <f>IF(J$46=0,"",J533*SUM($D534)/J$46/365/$P$1)</f>
        <v/>
      </c>
      <c r="K535" s="1190" t="str">
        <f>IF(K$46=0,"",K533*SUM($D534)/K$46/365/$P$1)</f>
        <v/>
      </c>
      <c r="L535" s="868"/>
      <c r="M535" s="1880" t="str">
        <f>IF(SUM(H535)=SUM(C535),"",SUM(H535)-SUM(C535))</f>
        <v/>
      </c>
      <c r="N535" s="1880" t="str">
        <f>IF(SUM(I535)=SUM(D535),"",SUM(I535)-SUM(D535))</f>
        <v/>
      </c>
      <c r="O535" s="1880" t="str">
        <f>IF(SUM(J535)=SUM(E535),"",SUM(J535)-SUM(E535))</f>
        <v/>
      </c>
      <c r="P535" s="1880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1" t="str">
        <f>IF(C536="","",C533*C536)</f>
        <v/>
      </c>
      <c r="D537" s="1191" t="str">
        <f>IF(D536="","",D533*D536)</f>
        <v/>
      </c>
      <c r="E537" s="1191" t="str">
        <f>IF(E536="","",E533*E536)</f>
        <v/>
      </c>
      <c r="F537" s="1191" t="str">
        <f>IF(F536="","",F533*F536)</f>
        <v/>
      </c>
      <c r="G537" s="868"/>
      <c r="H537" s="1191" t="str">
        <f>IF(H$46=0,"",IF($D536="",H533*'Exp factors'!$H$46,H533*$D536))</f>
        <v/>
      </c>
      <c r="I537" s="1191" t="str">
        <f>IF(I$46=0,"",IF($D536="",I533*'Exp factors'!$H$46,I533*$D536))</f>
        <v/>
      </c>
      <c r="J537" s="1191" t="str">
        <f>IF(J$46=0,"",IF($D536="",J533*'Exp factors'!$H$46,J533*$D536))</f>
        <v/>
      </c>
      <c r="K537" s="1191" t="str">
        <f>IF(K$46=0,"",IF($D536="",K533*'Exp factors'!$H$46,K533*$D536))</f>
        <v/>
      </c>
      <c r="L537" s="868"/>
      <c r="M537" s="1881" t="str">
        <f>IF(SUM(H537)=SUM(C537),"",SUM(H537)-SUM(C537))</f>
        <v/>
      </c>
      <c r="N537" s="1881" t="str">
        <f>IF(SUM(I537)=SUM(D537),"",SUM(I537)-SUM(D537))</f>
        <v/>
      </c>
      <c r="O537" s="1881" t="str">
        <f>IF(SUM(J537)=SUM(E537),"",SUM(J537)-SUM(E537))</f>
        <v/>
      </c>
      <c r="P537" s="1881" t="str">
        <f>IF(SUM(K537)=SUM(F537),"",SUM(K537)-SUM(F537))</f>
        <v/>
      </c>
      <c r="Q537" s="1882" t="str">
        <f>'Exp factors'!$I$52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0" t="str">
        <f>IF(SUM(C538)=0,"",C538*C539*C540/C$46/365/$P$1)</f>
        <v/>
      </c>
      <c r="D541" s="1190" t="str">
        <f>IF(SUM(D538)=0,"",D538*D539*D540/D$46/365/$P$1)</f>
        <v/>
      </c>
      <c r="E541" s="1190" t="str">
        <f>IF(SUM(E538)=0,"",E538*E539*E540/E$46/365/$P$1)</f>
        <v/>
      </c>
      <c r="F541" s="1190" t="str">
        <f>IF(SUM(F538)=0,"",F538*F539*F540/F$46/365/$P$1)</f>
        <v/>
      </c>
      <c r="G541" s="868"/>
      <c r="H541" s="1190" t="str">
        <f>IF(H$46=0,"",H538*H539*SUM($D540)/H$46/365/$P$1)</f>
        <v/>
      </c>
      <c r="I541" s="1190" t="str">
        <f>IF(I$46=0,"",I538*I539*SUM($D540)/I$46/365/$P$1)</f>
        <v/>
      </c>
      <c r="J541" s="1190" t="str">
        <f>IF(J$46=0,"",J538*J539*SUM($D540)/J$46/365/$P$1)</f>
        <v/>
      </c>
      <c r="K541" s="1190" t="str">
        <f>IF(K$46=0,"",K538*K539*SUM($D540)/K$46/365/$P$1)</f>
        <v/>
      </c>
      <c r="L541" s="868"/>
      <c r="M541" s="1880" t="str">
        <f>IF(SUM(H541)=SUM(C541),"",SUM(H541)-SUM(C541))</f>
        <v/>
      </c>
      <c r="N541" s="1880" t="str">
        <f>IF(SUM(I541)=SUM(D541),"",SUM(I541)-SUM(D541))</f>
        <v/>
      </c>
      <c r="O541" s="1880" t="str">
        <f>IF(SUM(J541)=SUM(E541),"",SUM(J541)-SUM(E541))</f>
        <v/>
      </c>
      <c r="P541" s="1880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1" t="str">
        <f>IF(C542="","",C538*C539*C542)</f>
        <v/>
      </c>
      <c r="D543" s="1191" t="str">
        <f>IF(D542="","",D538*D539*D542)</f>
        <v/>
      </c>
      <c r="E543" s="1191" t="str">
        <f>IF(E542="","",E538*E539*E542)</f>
        <v/>
      </c>
      <c r="F543" s="1191" t="str">
        <f>IF(F542="","",F538*F539*F542)</f>
        <v/>
      </c>
      <c r="G543" s="868"/>
      <c r="H543" s="1191" t="str">
        <f>IF(H$46=0,"",IF($D542="",H538*H539*'Exp factors'!$H$47,H538*H539*$D542))</f>
        <v/>
      </c>
      <c r="I543" s="1191" t="str">
        <f>IF(I$46=0,"",IF($D542="",I538*I539*'Exp factors'!$H$47,I538*I539*$D542))</f>
        <v/>
      </c>
      <c r="J543" s="1191" t="str">
        <f>IF(J$46=0,"",IF($D542="",J538*J539*'Exp factors'!$H$47,J538*J539*$D542))</f>
        <v/>
      </c>
      <c r="K543" s="1191" t="str">
        <f>IF(K$46=0,"",IF($D542="",K538*K539*'Exp factors'!$H$47,K538*K539*$D542))</f>
        <v/>
      </c>
      <c r="L543" s="868"/>
      <c r="M543" s="1881" t="str">
        <f>IF(SUM(H543)=SUM(C543),"",SUM(H543)-SUM(C543))</f>
        <v/>
      </c>
      <c r="N543" s="1881" t="str">
        <f>IF(SUM(I543)=SUM(D543),"",SUM(I543)-SUM(D543))</f>
        <v/>
      </c>
      <c r="O543" s="1881" t="str">
        <f>IF(SUM(J543)=SUM(E543),"",SUM(J543)-SUM(E543))</f>
        <v/>
      </c>
      <c r="P543" s="1881" t="str">
        <f>IF(SUM(K543)=SUM(F543),"",SUM(K543)-SUM(F543))</f>
        <v/>
      </c>
      <c r="Q543" s="1882" t="str">
        <f>'Exp factors'!$I$53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0" t="str">
        <f>IF(SUM(C545)=0,"",C545*C546/C$46/365/$P$1)</f>
        <v/>
      </c>
      <c r="D547" s="1190" t="str">
        <f>IF(SUM(D545)=0,"",D545*D546/D$46/365/$P$1)</f>
        <v/>
      </c>
      <c r="E547" s="1190" t="str">
        <f>IF(SUM(E545)=0,"",E545*E546/E$46/365/$P$1)</f>
        <v/>
      </c>
      <c r="F547" s="1190" t="str">
        <f>IF(SUM(F545)=0,"",F545*F546/F$46/365/$P$1)</f>
        <v/>
      </c>
      <c r="G547" s="868"/>
      <c r="H547" s="1190" t="str">
        <f>IF(H$46=0,"",H545*SUM($D546)/H$46/365/$P$1)</f>
        <v/>
      </c>
      <c r="I547" s="1190" t="str">
        <f>IF(I$46=0,"",I545*SUM($D546)/I$46/365/$P$1)</f>
        <v/>
      </c>
      <c r="J547" s="1190" t="str">
        <f>IF(J$46=0,"",J545*SUM($D546)/J$46/365/$P$1)</f>
        <v/>
      </c>
      <c r="K547" s="1190" t="str">
        <f>IF(K$46=0,"",K545*SUM($D546)/K$46/365/$P$1)</f>
        <v/>
      </c>
      <c r="L547" s="868"/>
      <c r="M547" s="1883" t="str">
        <f>IF(SUM(H547)=SUM(C547),"",SUM(H547)-SUM(C547))</f>
        <v/>
      </c>
      <c r="N547" s="1883" t="str">
        <f>IF(SUM(I547)=SUM(D547),"",SUM(I547)-SUM(D547))</f>
        <v/>
      </c>
      <c r="O547" s="1883" t="str">
        <f>IF(SUM(J547)=SUM(E547),"",SUM(J547)-SUM(E547))</f>
        <v/>
      </c>
      <c r="P547" s="1883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1" t="str">
        <f>IF(C548="","",C545*C548)</f>
        <v/>
      </c>
      <c r="D549" s="1191" t="str">
        <f>IF(D548="","",D545*D548)</f>
        <v/>
      </c>
      <c r="E549" s="1191" t="str">
        <f>IF(E548="","",E545*E548)</f>
        <v/>
      </c>
      <c r="F549" s="1191" t="str">
        <f>IF(F548="","",F545*F548)</f>
        <v/>
      </c>
      <c r="G549" s="868"/>
      <c r="H549" s="1191" t="str">
        <f>IF(H$46=0,"",IF($D548="",H545*'Exp factors'!$H$48,H545*$D548))</f>
        <v/>
      </c>
      <c r="I549" s="1191" t="str">
        <f>IF(I$46=0,"",IF($D548="",I545*'Exp factors'!$H$48,I545*$D548))</f>
        <v/>
      </c>
      <c r="J549" s="1191" t="str">
        <f>IF(J$46=0,"",IF($D548="",J545*'Exp factors'!$H$48,J545*$D548))</f>
        <v/>
      </c>
      <c r="K549" s="1191" t="str">
        <f>IF(K$46=0,"",IF($D548="",K545*'Exp factors'!$H$48,K545*$D548))</f>
        <v/>
      </c>
      <c r="L549" s="868"/>
      <c r="M549" s="1884" t="str">
        <f>IF(SUM(H549)=SUM(C549),"",SUM(H549)-SUM(C549))</f>
        <v/>
      </c>
      <c r="N549" s="1884" t="str">
        <f>IF(SUM(I549)=SUM(D549),"",SUM(I549)-SUM(D549))</f>
        <v/>
      </c>
      <c r="O549" s="1884" t="str">
        <f>IF(SUM(J549)=SUM(E549),"",SUM(J549)-SUM(E549))</f>
        <v/>
      </c>
      <c r="P549" s="1884" t="str">
        <f>IF(SUM(K549)=SUM(F549),"",SUM(K549)-SUM(F549))</f>
        <v/>
      </c>
      <c r="Q549" s="1885" t="str">
        <f>'Exp factors'!$I$54</f>
        <v>other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0" t="str">
        <f>IF(SUM(C551)=0,"",C551*C552/C$46/365/$P$1)</f>
        <v/>
      </c>
      <c r="D553" s="1190" t="str">
        <f>IF(SUM(D551)=0,"",D551*D552/D$46/365/$P$1)</f>
        <v/>
      </c>
      <c r="E553" s="1190" t="str">
        <f>IF(SUM(E551)=0,"",E551*E552/E$46/365/$P$1)</f>
        <v/>
      </c>
      <c r="F553" s="1190" t="str">
        <f>IF(SUM(F551)=0,"",F551*F552/F$46/365/$P$1)</f>
        <v/>
      </c>
      <c r="G553" s="868"/>
      <c r="H553" s="1190" t="str">
        <f>IF(H$46=0,"",H551*SUM($D552)/H$46/365/$P$1)</f>
        <v/>
      </c>
      <c r="I553" s="1190" t="str">
        <f>IF(I$46=0,"",I551*SUM($D552)/I$46/365/$P$1)</f>
        <v/>
      </c>
      <c r="J553" s="1190" t="str">
        <f>IF(J$46=0,"",J551*SUM($D552)/J$46/365/$P$1)</f>
        <v/>
      </c>
      <c r="K553" s="1190" t="str">
        <f>IF(K$46=0,"",K551*SUM($D552)/K$46/365/$P$1)</f>
        <v/>
      </c>
      <c r="L553" s="868"/>
      <c r="M553" s="1880" t="str">
        <f>IF(SUM(H553)=SUM(C553),"",SUM(H553)-SUM(C553))</f>
        <v/>
      </c>
      <c r="N553" s="1880" t="str">
        <f>IF(SUM(I553)=SUM(D553),"",SUM(I553)-SUM(D553))</f>
        <v/>
      </c>
      <c r="O553" s="1880" t="str">
        <f>IF(SUM(J553)=SUM(E553),"",SUM(J553)-SUM(E553))</f>
        <v/>
      </c>
      <c r="P553" s="1880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1" t="str">
        <f>IF(C554="","",C551*C554)</f>
        <v/>
      </c>
      <c r="D555" s="1191" t="str">
        <f>IF(D554="","",D551*D554)</f>
        <v/>
      </c>
      <c r="E555" s="1191" t="str">
        <f>IF(E554="","",E551*E554)</f>
        <v/>
      </c>
      <c r="F555" s="1191" t="str">
        <f>IF(F554="","",F551*F554)</f>
        <v/>
      </c>
      <c r="G555" s="868"/>
      <c r="H555" s="1191" t="str">
        <f>IF(H$46=0,"",IF($D554="",H551*'Exp factors'!$H$49,H551*$D554))</f>
        <v/>
      </c>
      <c r="I555" s="1191" t="str">
        <f>IF(I$46=0,"",IF($D554="",I551*'Exp factors'!$H$49,I551*$D554))</f>
        <v/>
      </c>
      <c r="J555" s="1191" t="str">
        <f>IF(J$46=0,"",IF($D554="",J551*'Exp factors'!$H$49,J551*$D554))</f>
        <v/>
      </c>
      <c r="K555" s="1191" t="str">
        <f>IF(K$46=0,"",IF($D554="",K551*'Exp factors'!$H$49,K551*$D554))</f>
        <v/>
      </c>
      <c r="L555" s="868"/>
      <c r="M555" s="1881" t="str">
        <f>IF(SUM(H555)=SUM(C555),"",SUM(H555)-SUM(C555))</f>
        <v/>
      </c>
      <c r="N555" s="1881" t="str">
        <f>IF(SUM(I555)=SUM(D555),"",SUM(I555)-SUM(D555))</f>
        <v/>
      </c>
      <c r="O555" s="1881" t="str">
        <f>IF(SUM(J555)=SUM(E555),"",SUM(J555)-SUM(E555))</f>
        <v/>
      </c>
      <c r="P555" s="1881" t="str">
        <f>IF(SUM(K555)=SUM(F555),"",SUM(K555)-SUM(F555))</f>
        <v/>
      </c>
      <c r="Q555" s="1882" t="str">
        <f>'Exp factors'!$I$55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0" t="str">
        <f>IF(SUM(C557)=0,"",C557*C558/C$46/365/$P$1)</f>
        <v/>
      </c>
      <c r="D559" s="1190" t="str">
        <f>IF(SUM(D557)=0,"",D557*D558/D$46/365/$P$1)</f>
        <v/>
      </c>
      <c r="E559" s="1190" t="str">
        <f>IF(SUM(E557)=0,"",E557*E558/E$46/365/$P$1)</f>
        <v/>
      </c>
      <c r="F559" s="1190" t="str">
        <f>IF(SUM(F557)=0,"",F557*F558/F$46/365/$P$1)</f>
        <v/>
      </c>
      <c r="G559" s="868"/>
      <c r="H559" s="1190" t="str">
        <f>IF(H$46=0,"",H557*SUM($D558)/H$46/365/$P$1)</f>
        <v/>
      </c>
      <c r="I559" s="1190" t="str">
        <f>IF(I$46=0,"",I557*SUM($D558)/I$46/365/$P$1)</f>
        <v/>
      </c>
      <c r="J559" s="1190" t="str">
        <f>IF(J$46=0,"",J557*SUM($D558)/J$46/365/$P$1)</f>
        <v/>
      </c>
      <c r="K559" s="1190" t="str">
        <f>IF(K$46=0,"",K557*SUM($D558)/K$46/365/$P$1)</f>
        <v/>
      </c>
      <c r="L559" s="868"/>
      <c r="M559" s="1880" t="str">
        <f>IF(SUM(H559)=SUM(C559),"",SUM(H559)-SUM(C559))</f>
        <v/>
      </c>
      <c r="N559" s="1880" t="str">
        <f>IF(SUM(I559)=SUM(D559),"",SUM(I559)-SUM(D559))</f>
        <v/>
      </c>
      <c r="O559" s="1880" t="str">
        <f>IF(SUM(J559)=SUM(E559),"",SUM(J559)-SUM(E559))</f>
        <v/>
      </c>
      <c r="P559" s="1880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1" t="str">
        <f>IF(C560="","",C557*C560)</f>
        <v/>
      </c>
      <c r="D561" s="1191" t="str">
        <f>IF(D560="","",D557*D560)</f>
        <v/>
      </c>
      <c r="E561" s="1191" t="str">
        <f>IF(E560="","",E557*E560)</f>
        <v/>
      </c>
      <c r="F561" s="1191" t="str">
        <f>IF(F560="","",F557*F560)</f>
        <v/>
      </c>
      <c r="G561" s="868"/>
      <c r="H561" s="1191" t="str">
        <f>IF(H$46=0,"",IF($D560="",H557*'Exp factors'!$H$55,H557*$D560))</f>
        <v/>
      </c>
      <c r="I561" s="1191" t="str">
        <f>IF(I$46=0,"",IF($D560="",I557*'Exp factors'!$H$55,I557*$D560))</f>
        <v/>
      </c>
      <c r="J561" s="1191" t="str">
        <f>IF(J$46=0,"",IF($D560="",J557*'Exp factors'!$H$55,J557*$D560))</f>
        <v/>
      </c>
      <c r="K561" s="1191" t="str">
        <f>IF(K$46=0,"",IF($D560="",K557*'Exp factors'!$H$55,K557*$D560))</f>
        <v/>
      </c>
      <c r="L561" s="868"/>
      <c r="M561" s="1881" t="str">
        <f>IF(SUM(H561)=SUM(C561),"",SUM(H561)-SUM(C561))</f>
        <v/>
      </c>
      <c r="N561" s="1881" t="str">
        <f>IF(SUM(I561)=SUM(D561),"",SUM(I561)-SUM(D561))</f>
        <v/>
      </c>
      <c r="O561" s="1881" t="str">
        <f>IF(SUM(J561)=SUM(E561),"",SUM(J561)-SUM(E561))</f>
        <v/>
      </c>
      <c r="P561" s="1881" t="str">
        <f>IF(SUM(K561)=SUM(F561),"",SUM(K561)-SUM(F561))</f>
        <v/>
      </c>
      <c r="Q561" s="1882" t="str">
        <f>'Exp factors'!$I$56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0" t="str">
        <f>IF(SUM(C563)=0,"",C563*C564/C$46/365/$P$1)</f>
        <v/>
      </c>
      <c r="D565" s="1190" t="str">
        <f>IF(SUM(D563)=0,"",D563*D564/D$46/365/$P$1)</f>
        <v/>
      </c>
      <c r="E565" s="1190" t="str">
        <f>IF(SUM(E563)=0,"",E563*E564/E$46/365/$P$1)</f>
        <v/>
      </c>
      <c r="F565" s="1190" t="str">
        <f>IF(SUM(F563)=0,"",F563*F564/F$46/365/$P$1)</f>
        <v/>
      </c>
      <c r="G565" s="868"/>
      <c r="H565" s="1190" t="str">
        <f>IF(H$46=0,"",H563*SUM($D564)/H$46/365/$P$1)</f>
        <v/>
      </c>
      <c r="I565" s="1190" t="str">
        <f>IF(I$46=0,"",I563*SUM($D564)/I$46/365/$P$1)</f>
        <v/>
      </c>
      <c r="J565" s="1190" t="str">
        <f>IF(J$46=0,"",J563*SUM($D564)/J$46/365/$P$1)</f>
        <v/>
      </c>
      <c r="K565" s="1190" t="str">
        <f>IF(K$46=0,"",K563*SUM($D564)/K$46/365/$P$1)</f>
        <v/>
      </c>
      <c r="L565" s="868"/>
      <c r="M565" s="1883" t="str">
        <f>IF(SUM(H565)=SUM(C565),"",SUM(H565)-SUM(C565))</f>
        <v/>
      </c>
      <c r="N565" s="1883" t="str">
        <f>IF(SUM(I565)=SUM(D565),"",SUM(I565)-SUM(D565))</f>
        <v/>
      </c>
      <c r="O565" s="1883" t="str">
        <f>IF(SUM(J565)=SUM(E565),"",SUM(J565)-SUM(E565))</f>
        <v/>
      </c>
      <c r="P565" s="1883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1" t="str">
        <f>IF(C566="","",C563*C566)</f>
        <v/>
      </c>
      <c r="D567" s="1191" t="str">
        <f>IF(D566="","",D563*D566)</f>
        <v/>
      </c>
      <c r="E567" s="1191" t="str">
        <f>IF(E566="","",E563*E566)</f>
        <v/>
      </c>
      <c r="F567" s="1191" t="str">
        <f>IF(F566="","",F563*F566)</f>
        <v/>
      </c>
      <c r="G567" s="868"/>
      <c r="H567" s="1191" t="str">
        <f>IF(H$46=0,"",IF($D566="",H563*'Exp factors'!$H$56,H563*$D566))</f>
        <v/>
      </c>
      <c r="I567" s="1191" t="str">
        <f>IF(I$46=0,"",IF($D566="",I563*'Exp factors'!$H$56,I563*$D566))</f>
        <v/>
      </c>
      <c r="J567" s="1191" t="str">
        <f>IF(J$46=0,"",IF($D566="",J563*'Exp factors'!$H$56,J563*$D566))</f>
        <v/>
      </c>
      <c r="K567" s="1191" t="str">
        <f>IF(K$46=0,"",IF($D566="",K563*'Exp factors'!$H$56,K563*$D566))</f>
        <v/>
      </c>
      <c r="L567" s="868"/>
      <c r="M567" s="1884" t="str">
        <f>IF(SUM(H567)=SUM(C567),"",SUM(H567)-SUM(C567))</f>
        <v/>
      </c>
      <c r="N567" s="1884" t="str">
        <f>IF(SUM(I567)=SUM(D567),"",SUM(I567)-SUM(D567))</f>
        <v/>
      </c>
      <c r="O567" s="1884" t="str">
        <f>IF(SUM(J567)=SUM(E567),"",SUM(J567)-SUM(E567))</f>
        <v/>
      </c>
      <c r="P567" s="1884" t="str">
        <f>IF(SUM(K567)=SUM(F567),"",SUM(K567)-SUM(F567))</f>
        <v/>
      </c>
      <c r="Q567" s="1885" t="str">
        <f>'Exp factors'!$I$57</f>
        <v>other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0" t="str">
        <f>IF(SUM(C569)=0,"",C569*C570/C$46/365/$P$1)</f>
        <v/>
      </c>
      <c r="D571" s="1190" t="str">
        <f>IF(SUM(D569)=0,"",D569*D570/D$46/365/$P$1)</f>
        <v/>
      </c>
      <c r="E571" s="1190" t="str">
        <f>IF(SUM(E569)=0,"",E569*E570/E$46/365/$P$1)</f>
        <v/>
      </c>
      <c r="F571" s="1190" t="str">
        <f>IF(SUM(F569)=0,"",F569*F570/F$46/365/$P$1)</f>
        <v/>
      </c>
      <c r="G571" s="868"/>
      <c r="H571" s="1190" t="str">
        <f>IF(H$46=0,"",H569*SUM($D570)/H$46/365/$P$1)</f>
        <v/>
      </c>
      <c r="I571" s="1190" t="str">
        <f>IF(I$46=0,"",I569*SUM($D570)/I$46/365/$P$1)</f>
        <v/>
      </c>
      <c r="J571" s="1190" t="str">
        <f>IF(J$46=0,"",J569*SUM($D570)/J$46/365/$P$1)</f>
        <v/>
      </c>
      <c r="K571" s="1190" t="str">
        <f>IF(K$46=0,"",K569*SUM($D570)/K$46/365/$P$1)</f>
        <v/>
      </c>
      <c r="L571" s="868"/>
      <c r="M571" s="1883" t="str">
        <f>IF(SUM(H571)=SUM(C571),"",SUM(H571)-SUM(C571))</f>
        <v/>
      </c>
      <c r="N571" s="1883" t="str">
        <f>IF(SUM(I571)=SUM(D571),"",SUM(I571)-SUM(D571))</f>
        <v/>
      </c>
      <c r="O571" s="1883" t="str">
        <f>IF(SUM(J571)=SUM(E571),"",SUM(J571)-SUM(E571))</f>
        <v/>
      </c>
      <c r="P571" s="1883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1" t="str">
        <f>IF(C572="","",C569*C572)</f>
        <v/>
      </c>
      <c r="D573" s="1191" t="str">
        <f>IF(D572="","",D569*D572)</f>
        <v/>
      </c>
      <c r="E573" s="1191" t="str">
        <f>IF(E572="","",E569*E572)</f>
        <v/>
      </c>
      <c r="F573" s="1191" t="str">
        <f>IF(F572="","",F569*F572)</f>
        <v/>
      </c>
      <c r="G573" s="868"/>
      <c r="H573" s="1191" t="str">
        <f>IF(H$46=0,"",IF($D572="",H569*'Exp factors'!$H$57,H569*$D572))</f>
        <v/>
      </c>
      <c r="I573" s="1191" t="str">
        <f>IF(I$46=0,"",IF($D572="",I569*'Exp factors'!$H$57,I569*$D572))</f>
        <v/>
      </c>
      <c r="J573" s="1191" t="str">
        <f>IF(J$46=0,"",IF($D572="",J569*'Exp factors'!$H$57,J569*$D572))</f>
        <v/>
      </c>
      <c r="K573" s="1191" t="str">
        <f>IF(K$46=0,"",IF($D572="",K569*'Exp factors'!$H$57,K569*$D572))</f>
        <v/>
      </c>
      <c r="L573" s="868"/>
      <c r="M573" s="1884" t="str">
        <f>IF(SUM(H573)=SUM(C573),"",SUM(H573)-SUM(C573))</f>
        <v/>
      </c>
      <c r="N573" s="1884" t="str">
        <f>IF(SUM(I573)=SUM(D573),"",SUM(I573)-SUM(D573))</f>
        <v/>
      </c>
      <c r="O573" s="1884" t="str">
        <f>IF(SUM(J573)=SUM(E573),"",SUM(J573)-SUM(E573))</f>
        <v/>
      </c>
      <c r="P573" s="1884" t="str">
        <f>IF(SUM(K573)=SUM(F573),"",SUM(K573)-SUM(F573))</f>
        <v/>
      </c>
      <c r="Q573" s="1885" t="str">
        <f>'Exp factors'!$I$58</f>
        <v>other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0" t="str">
        <f>IF(SUM(C574)=0,"",C574*C575*C576/C$46/365/$P$1)</f>
        <v/>
      </c>
      <c r="D577" s="1190" t="str">
        <f>IF(SUM(D574)=0,"",D574*D575*D576/D$46/365/$P$1)</f>
        <v/>
      </c>
      <c r="E577" s="1190" t="str">
        <f>IF(SUM(E574)=0,"",E574*E575*E576/E$46/365/$P$1)</f>
        <v/>
      </c>
      <c r="F577" s="1190" t="str">
        <f>IF(SUM(F574)=0,"",F574*F575*F576/F$46/365/$P$1)</f>
        <v/>
      </c>
      <c r="G577" s="868"/>
      <c r="H577" s="1190" t="str">
        <f>IF(H$46=0,"",H574*H575*SUM($D576)/H$46/365/$P$1)</f>
        <v/>
      </c>
      <c r="I577" s="1190" t="str">
        <f>IF(I$46=0,"",I574*I575*SUM($D576)/I$46/365/$P$1)</f>
        <v/>
      </c>
      <c r="J577" s="1190" t="str">
        <f>IF(J$46=0,"",J574*J575*SUM($D576)/J$46/365/$P$1)</f>
        <v/>
      </c>
      <c r="K577" s="1190" t="str">
        <f>IF(K$46=0,"",K574*K575*SUM($D576)/K$46/365/$P$1)</f>
        <v/>
      </c>
      <c r="L577" s="868"/>
      <c r="M577" s="1880" t="str">
        <f>IF(SUM(H577)=SUM(C577),"",SUM(H577)-SUM(C577))</f>
        <v/>
      </c>
      <c r="N577" s="1880" t="str">
        <f>IF(SUM(I577)=SUM(D577),"",SUM(I577)-SUM(D577))</f>
        <v/>
      </c>
      <c r="O577" s="1880" t="str">
        <f>IF(SUM(J577)=SUM(E577),"",SUM(J577)-SUM(E577))</f>
        <v/>
      </c>
      <c r="P577" s="1880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1" t="str">
        <f>IF(C578="","",C574*C575*C578)</f>
        <v/>
      </c>
      <c r="D579" s="1191" t="str">
        <f>IF(D578="","",D574*D575*D578)</f>
        <v/>
      </c>
      <c r="E579" s="1191" t="str">
        <f>IF(E578="","",E574*E575*E578)</f>
        <v/>
      </c>
      <c r="F579" s="1191" t="str">
        <f>IF(F578="","",F574*F575*F578)</f>
        <v/>
      </c>
      <c r="G579" s="868"/>
      <c r="H579" s="1191" t="str">
        <f>IF(H$46=0,"",IF($D578="",H574*H575*'Exp factors'!$H$58,H574*H575*$D578))</f>
        <v/>
      </c>
      <c r="I579" s="1191" t="str">
        <f>IF(I$46=0,"",IF($D578="",I574*I575*'Exp factors'!$H$58,I574*I575*$D578))</f>
        <v/>
      </c>
      <c r="J579" s="1191" t="str">
        <f>IF(J$46=0,"",IF($D578="",J574*J575*'Exp factors'!$H$58,J574*J575*$D578))</f>
        <v/>
      </c>
      <c r="K579" s="1191" t="str">
        <f>IF(K$46=0,"",IF($D578="",K574*K575*'Exp factors'!$H$58,K574*K575*$D578))</f>
        <v/>
      </c>
      <c r="L579" s="868"/>
      <c r="M579" s="1881" t="str">
        <f>IF(SUM(H579)=SUM(C579),"",SUM(H579)-SUM(C579))</f>
        <v/>
      </c>
      <c r="N579" s="1881" t="str">
        <f>IF(SUM(I579)=SUM(D579),"",SUM(I579)-SUM(D579))</f>
        <v/>
      </c>
      <c r="O579" s="1881" t="str">
        <f>IF(SUM(J579)=SUM(E579),"",SUM(J579)-SUM(E579))</f>
        <v/>
      </c>
      <c r="P579" s="1881" t="str">
        <f>IF(SUM(K579)=SUM(F579),"",SUM(K579)-SUM(F579))</f>
        <v/>
      </c>
      <c r="Q579" s="1882" t="str">
        <f>'Exp factors'!$I$59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0" t="str">
        <f>IF(SUM(C580)=0,"",C580*C581*C582/C$46/365/$P$1)</f>
        <v/>
      </c>
      <c r="D583" s="1190" t="str">
        <f>IF(SUM(D580)=0,"",D580*D581*D582/D$46/365/$P$1)</f>
        <v/>
      </c>
      <c r="E583" s="1190" t="str">
        <f>IF(SUM(E580)=0,"",E580*E581*E582/E$46/365/$P$1)</f>
        <v/>
      </c>
      <c r="F583" s="1190" t="str">
        <f>IF(SUM(F580)=0,"",F580*F581*F582/F$46/365/$P$1)</f>
        <v/>
      </c>
      <c r="G583" s="868"/>
      <c r="H583" s="1190" t="str">
        <f>IF(H$46=0,"",H580*H581*SUM($D582)/H$46/365/$P$1)</f>
        <v/>
      </c>
      <c r="I583" s="1190" t="str">
        <f>IF(I$46=0,"",I580*I581*SUM($D582)/I$46/365/$P$1)</f>
        <v/>
      </c>
      <c r="J583" s="1190" t="str">
        <f>IF(J$46=0,"",J580*J581*SUM($D582)/J$46/365/$P$1)</f>
        <v/>
      </c>
      <c r="K583" s="1190" t="str">
        <f>IF(K$46=0,"",K580*K581*SUM($D582)/K$46/365/$P$1)</f>
        <v/>
      </c>
      <c r="L583" s="868"/>
      <c r="M583" s="1880" t="str">
        <f>IF(SUM(H583)=SUM(C583),"",SUM(H583)-SUM(C583))</f>
        <v/>
      </c>
      <c r="N583" s="1880" t="str">
        <f>IF(SUM(I583)=SUM(D583),"",SUM(I583)-SUM(D583))</f>
        <v/>
      </c>
      <c r="O583" s="1880" t="str">
        <f>IF(SUM(J583)=SUM(E583),"",SUM(J583)-SUM(E583))</f>
        <v/>
      </c>
      <c r="P583" s="1880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1" t="str">
        <f>IF(C584="","",C580*C581*C584)</f>
        <v/>
      </c>
      <c r="D585" s="1191" t="str">
        <f>IF(D584="","",D580*D581*D584)</f>
        <v/>
      </c>
      <c r="E585" s="1191" t="str">
        <f>IF(E584="","",E580*E581*E584)</f>
        <v/>
      </c>
      <c r="F585" s="1191" t="str">
        <f>IF(F584="","",F580*F581*F584)</f>
        <v/>
      </c>
      <c r="G585" s="868"/>
      <c r="H585" s="1191" t="str">
        <f>IF(H$46=0,"",IF($D584="",H580*H581*'Exp factors'!$H$59,H580*H581*$D584))</f>
        <v/>
      </c>
      <c r="I585" s="1191" t="str">
        <f>IF(I$46=0,"",IF($D584="",I580*I581*'Exp factors'!$H$59,I580*I581*$D584))</f>
        <v/>
      </c>
      <c r="J585" s="1191" t="str">
        <f>IF(J$46=0,"",IF($D584="",J580*J581*'Exp factors'!$H$59,J580*J581*$D584))</f>
        <v/>
      </c>
      <c r="K585" s="1191" t="str">
        <f>IF(K$46=0,"",IF($D584="",K580*K581*'Exp factors'!$H$59,K580*K581*$D584))</f>
        <v/>
      </c>
      <c r="L585" s="868"/>
      <c r="M585" s="1881" t="str">
        <f>IF(SUM(H585)=SUM(C585),"",SUM(H585)-SUM(C585))</f>
        <v/>
      </c>
      <c r="N585" s="1881" t="str">
        <f>IF(SUM(I585)=SUM(D585),"",SUM(I585)-SUM(D585))</f>
        <v/>
      </c>
      <c r="O585" s="1881" t="str">
        <f>IF(SUM(J585)=SUM(E585),"",SUM(J585)-SUM(E585))</f>
        <v/>
      </c>
      <c r="P585" s="1881" t="str">
        <f>IF(SUM(K585)=SUM(F585),"",SUM(K585)-SUM(F585))</f>
        <v/>
      </c>
      <c r="Q585" s="1882" t="str">
        <f>'Exp factors'!$I$60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0" t="str">
        <f>IF(SUM(C586)=0,"",C586*C587*C588/C$46/365/$P$1)</f>
        <v/>
      </c>
      <c r="D589" s="1190" t="str">
        <f>IF(SUM(D586)=0,"",D586*D587*D588/D$46/365/$P$1)</f>
        <v/>
      </c>
      <c r="E589" s="1190" t="str">
        <f>IF(SUM(E586)=0,"",E586*E587*E588/E$46/365/$P$1)</f>
        <v/>
      </c>
      <c r="F589" s="1190" t="str">
        <f>IF(SUM(F586)=0,"",F586*F587*F588/F$46/365/$P$1)</f>
        <v/>
      </c>
      <c r="G589" s="868"/>
      <c r="H589" s="1190" t="str">
        <f>IF(H$46=0,"",H586*H587*SUM($D588)/H$46/365/$P$1)</f>
        <v/>
      </c>
      <c r="I589" s="1190" t="str">
        <f>IF(I$46=0,"",I586*I587*SUM($D588)/I$46/365/$P$1)</f>
        <v/>
      </c>
      <c r="J589" s="1190" t="str">
        <f>IF(J$46=0,"",J586*J587*SUM($D588)/J$46/365/$P$1)</f>
        <v/>
      </c>
      <c r="K589" s="1190" t="str">
        <f>IF(K$46=0,"",K586*K587*SUM($D588)/K$46/365/$P$1)</f>
        <v/>
      </c>
      <c r="L589" s="868"/>
      <c r="M589" s="1880" t="str">
        <f>IF(SUM(H589)=SUM(C589),"",SUM(H589)-SUM(C589))</f>
        <v/>
      </c>
      <c r="N589" s="1880" t="str">
        <f>IF(SUM(I589)=SUM(D589),"",SUM(I589)-SUM(D589))</f>
        <v/>
      </c>
      <c r="O589" s="1880" t="str">
        <f>IF(SUM(J589)=SUM(E589),"",SUM(J589)-SUM(E589))</f>
        <v/>
      </c>
      <c r="P589" s="1880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1" t="str">
        <f>IF(C590="","",C586*C587*C590)</f>
        <v/>
      </c>
      <c r="D591" s="1191" t="str">
        <f>IF(D590="","",D586*D587*D590)</f>
        <v/>
      </c>
      <c r="E591" s="1191" t="str">
        <f>IF(E590="","",E586*E587*E590)</f>
        <v/>
      </c>
      <c r="F591" s="1191" t="str">
        <f>IF(F590="","",F586*F587*F590)</f>
        <v/>
      </c>
      <c r="G591" s="868"/>
      <c r="H591" s="1191" t="str">
        <f>IF(H$46=0,"",IF($D590="",H586*H587*'Exp factors'!$H$60,H586*H587*$D590))</f>
        <v/>
      </c>
      <c r="I591" s="1191" t="str">
        <f>IF(I$46=0,"",IF($D590="",I586*I587*'Exp factors'!$H$60,I586*I587*$D590))</f>
        <v/>
      </c>
      <c r="J591" s="1191" t="str">
        <f>IF(J$46=0,"",IF($D590="",J586*J587*'Exp factors'!$H$60,J586*J587*$D590))</f>
        <v/>
      </c>
      <c r="K591" s="1191" t="str">
        <f>IF(K$46=0,"",IF($D590="",K586*K587*'Exp factors'!$H$60,K586*K587*$D590))</f>
        <v/>
      </c>
      <c r="L591" s="868"/>
      <c r="M591" s="1881" t="str">
        <f>IF(SUM(H591)=SUM(C591),"",SUM(H591)-SUM(C591))</f>
        <v/>
      </c>
      <c r="N591" s="1881" t="str">
        <f>IF(SUM(I591)=SUM(D591),"",SUM(I591)-SUM(D591))</f>
        <v/>
      </c>
      <c r="O591" s="1881" t="str">
        <f>IF(SUM(J591)=SUM(E591),"",SUM(J591)-SUM(E591))</f>
        <v/>
      </c>
      <c r="P591" s="1881" t="str">
        <f>IF(SUM(K591)=SUM(F591),"",SUM(K591)-SUM(F591))</f>
        <v/>
      </c>
      <c r="Q591" s="1882" t="str">
        <f>'Exp factors'!$I$61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1880" t="str">
        <f>IF(SUM(H596)=SUM(C596),"",SUM(H596)-SUM(C596))</f>
        <v/>
      </c>
      <c r="N596" s="1880" t="str">
        <f>IF(SUM(I596)=SUM(D596),"",SUM(I596)-SUM(D596))</f>
        <v/>
      </c>
      <c r="O596" s="1880" t="str">
        <f>IF(SUM(J596)=SUM(E596),"",SUM(J596)-SUM(E596))</f>
        <v/>
      </c>
      <c r="P596" s="1880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2" t="str">
        <f>IF(H$46=0,"",H593*H594*SUM($D597))</f>
        <v/>
      </c>
      <c r="I598" s="1192" t="str">
        <f>IF(I$46=0,"",I593*I594*SUM($D597))</f>
        <v/>
      </c>
      <c r="J598" s="1192" t="str">
        <f>IF(J$46=0,"",J593*J594*SUM($D597))</f>
        <v/>
      </c>
      <c r="K598" s="1192" t="str">
        <f>IF(K$46=0,"",K593*K594*SUM($D597))</f>
        <v/>
      </c>
      <c r="L598" s="868"/>
      <c r="M598" s="1881" t="str">
        <f>IF(SUM(H598)=SUM(C598),"",SUM(H598)-SUM(C598))</f>
        <v/>
      </c>
      <c r="N598" s="1881" t="str">
        <f>IF(SUM(I598)=SUM(D598),"",SUM(I598)-SUM(D598))</f>
        <v/>
      </c>
      <c r="O598" s="1881" t="str">
        <f>IF(SUM(J598)=SUM(E598),"",SUM(J598)-SUM(E598))</f>
        <v/>
      </c>
      <c r="P598" s="1881" t="str">
        <f>IF(SUM(K598)=SUM(F598),"",SUM(K598)-SUM(F598))</f>
        <v/>
      </c>
      <c r="Q598" s="1882" t="str">
        <f>'Exp factors'!$I$62</f>
        <v>des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1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0" t="str">
        <f>IF(C600="","",C600*C601/C$46/365/$P$1)</f>
        <v/>
      </c>
      <c r="D602" s="1190" t="str">
        <f>IF(D600="","",D600*D601/D$46/365/$P$1)</f>
        <v/>
      </c>
      <c r="E602" s="1190" t="str">
        <f>IF(E600="","",E600*E601/E$46/365/$P$1)</f>
        <v/>
      </c>
      <c r="F602" s="1190" t="str">
        <f>IF(F600="","",F600*F601/F$46/365/$P$1)</f>
        <v/>
      </c>
      <c r="G602" s="868"/>
      <c r="H602" s="1190" t="str">
        <f>IF(OR(H$46=0,H600=""),"",H600*SUM($D601)/H$46/365/$P$1)</f>
        <v/>
      </c>
      <c r="I602" s="1190" t="str">
        <f>IF(OR(I$46=0,I600=""),"",I600*SUM($D601)/I$46/365/$P$1)</f>
        <v/>
      </c>
      <c r="J602" s="1190" t="str">
        <f>IF(OR(J$46=0,J600=""),"",J600*SUM($D601)/J$46/365/$P$1)</f>
        <v/>
      </c>
      <c r="K602" s="1190" t="str">
        <f>IF(OR(K$46=0,K600=""),"",K600*SUM($D601)/K$46/365/$P$1)</f>
        <v/>
      </c>
      <c r="L602" s="868"/>
      <c r="M602" s="1880" t="str">
        <f>IF(SUM(H602)=SUM(C602),"",SUM(H602)-SUM(C602))</f>
        <v/>
      </c>
      <c r="N602" s="1880" t="str">
        <f>IF(SUM(I602)=SUM(D602),"",SUM(I602)-SUM(D602))</f>
        <v/>
      </c>
      <c r="O602" s="1880" t="str">
        <f>IF(SUM(J602)=SUM(E602),"",SUM(J602)-SUM(E602))</f>
        <v/>
      </c>
      <c r="P602" s="1880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1" t="str">
        <f>IF(C603="","",C600*C603)</f>
        <v/>
      </c>
      <c r="D604" s="1191" t="str">
        <f>IF(D603="","",D600*D603)</f>
        <v/>
      </c>
      <c r="E604" s="1191" t="str">
        <f>IF(E603="","",E600*E603)</f>
        <v/>
      </c>
      <c r="F604" s="1191" t="str">
        <f>IF(F603="","",F600*F603)</f>
        <v/>
      </c>
      <c r="G604" s="868"/>
      <c r="H604" s="1191" t="str">
        <f>IF(H$46=0,"",IF($D603="",H600*[1]ExpFactors!$H$63,H600*$D603))</f>
        <v/>
      </c>
      <c r="I604" s="1191" t="str">
        <f>IF(I$46=0,"",IF($D603="",I600*[1]ExpFactors!$H$63,I600*$D603))</f>
        <v/>
      </c>
      <c r="J604" s="1191" t="str">
        <f>IF(J$46=0,"",IF($D603="",J600*[1]ExpFactors!$H$63,J600*$D603))</f>
        <v/>
      </c>
      <c r="K604" s="1191" t="str">
        <f>IF(K$46=0,"",IF($D603="",K600*[1]ExpFactors!$H$63,K600*$D603))</f>
        <v/>
      </c>
      <c r="L604" s="868"/>
      <c r="M604" s="1881" t="str">
        <f>IF(SUM(H604)=SUM(C604),"",SUM(H604)-SUM(C604))</f>
        <v/>
      </c>
      <c r="N604" s="1881" t="str">
        <f>IF(SUM(I604)=SUM(D604),"",SUM(I604)-SUM(D604))</f>
        <v/>
      </c>
      <c r="O604" s="1881" t="str">
        <f>IF(SUM(J604)=SUM(E604),"",SUM(J604)-SUM(E604))</f>
        <v/>
      </c>
      <c r="P604" s="1881" t="str">
        <f>IF(SUM(K604)=SUM(F604),"",SUM(K604)-SUM(F604))</f>
        <v/>
      </c>
      <c r="Q604" s="1882" t="str">
        <f>'Exp factors'!$I$63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1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0" t="str">
        <f>IF(C606="","",C606*C607/C$46/365/$P$1)</f>
        <v/>
      </c>
      <c r="D608" s="1190" t="str">
        <f>IF(D606="","",D606*D607/D$46/365/$P$1)</f>
        <v/>
      </c>
      <c r="E608" s="1190" t="str">
        <f>IF(E606="","",E606*E607/E$46/365/$P$1)</f>
        <v/>
      </c>
      <c r="F608" s="1190" t="str">
        <f>IF(F606="","",F606*F607/F$46/365/$P$1)</f>
        <v/>
      </c>
      <c r="G608" s="868"/>
      <c r="H608" s="1190" t="str">
        <f>IF(OR(H$46=0,H606=""),"",H606*SUM($D607)/H$46/365/$P$1)</f>
        <v/>
      </c>
      <c r="I608" s="1190" t="str">
        <f>IF(OR(I$46=0,I606=""),"",I606*SUM($D607)/I$46/365/$P$1)</f>
        <v/>
      </c>
      <c r="J608" s="1190" t="str">
        <f>IF(OR(J$46=0,J606=""),"",J606*SUM($D607)/J$46/365/$P$1)</f>
        <v/>
      </c>
      <c r="K608" s="1190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1" t="str">
        <f>IF(C609="","",C606*C609)</f>
        <v/>
      </c>
      <c r="D610" s="1191" t="str">
        <f>IF(D609="","",D606*D609)</f>
        <v/>
      </c>
      <c r="E610" s="1191" t="str">
        <f>IF(E609="","",E606*E609)</f>
        <v/>
      </c>
      <c r="F610" s="1191" t="str">
        <f>IF(F609="","",F606*F609)</f>
        <v/>
      </c>
      <c r="G610" s="868"/>
      <c r="H610" s="1191" t="str">
        <f>IF(H$46=0,"",IF($D609="",H606*[1]ExpFactors!$H$64,H606*$D609))</f>
        <v/>
      </c>
      <c r="I610" s="1191" t="str">
        <f>IF(I$46=0,"",IF($D609="",I606*[1]ExpFactors!$H$64,I606*$D609))</f>
        <v/>
      </c>
      <c r="J610" s="1191" t="str">
        <f>IF(J$46=0,"",IF($D609="",J606*[1]ExpFactors!$H$64,J606*$D609))</f>
        <v/>
      </c>
      <c r="K610" s="1191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1886" t="str">
        <f>'Exp factors'!$I$64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1886" t="str">
        <f>'Exp factors'!$I$65</f>
        <v>mns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1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0" t="str">
        <f>IF(C618="","",C618*C619/C$46/365/$P$1)</f>
        <v/>
      </c>
      <c r="D620" s="1190" t="str">
        <f>IF(D618="","",D618*D619/D$46/365/$P$1)</f>
        <v/>
      </c>
      <c r="E620" s="1190" t="str">
        <f>IF(E618="","",E618*E619/E$46/365/$P$1)</f>
        <v/>
      </c>
      <c r="F620" s="1190" t="str">
        <f>IF(F618="","",F618*F619/F$46/365/$P$1)</f>
        <v/>
      </c>
      <c r="G620" s="868"/>
      <c r="H620" s="1190" t="str">
        <f>IF(OR(H$46=0,H618=""),"",H618*SUM($D619)/H$46/365/$P$1)</f>
        <v/>
      </c>
      <c r="I620" s="1190" t="str">
        <f>IF(OR(I$46=0,I618=""),"",I618*SUM($D619)/I$46/365/$P$1)</f>
        <v/>
      </c>
      <c r="J620" s="1190" t="str">
        <f>IF(OR(J$46=0,J618=""),"",J618*SUM($D619)/J$46/365/$P$1)</f>
        <v/>
      </c>
      <c r="K620" s="1190" t="str">
        <f>IF(OR(K$46=0,K618=""),"",K618*SUM($D619)/K$46/365/$P$1)</f>
        <v/>
      </c>
      <c r="L620" s="868"/>
      <c r="M620" s="1880" t="str">
        <f>IF(SUM(H620)=SUM(C620),"",SUM(H620)-SUM(C620))</f>
        <v/>
      </c>
      <c r="N620" s="1880" t="str">
        <f>IF(SUM(I620)=SUM(D620),"",SUM(I620)-SUM(D620))</f>
        <v/>
      </c>
      <c r="O620" s="1880" t="str">
        <f>IF(SUM(J620)=SUM(E620),"",SUM(J620)-SUM(E620))</f>
        <v/>
      </c>
      <c r="P620" s="1880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1" t="str">
        <f>IF(C621="","",C618*C621)</f>
        <v/>
      </c>
      <c r="D622" s="1191" t="str">
        <f>IF(D621="","",D618*D621)</f>
        <v/>
      </c>
      <c r="E622" s="1191" t="str">
        <f>IF(E621="","",E618*E621)</f>
        <v/>
      </c>
      <c r="F622" s="1191" t="str">
        <f>IF(F621="","",F618*F621)</f>
        <v/>
      </c>
      <c r="G622" s="868"/>
      <c r="H622" s="1191" t="str">
        <f>IF(H$46=0,"",IF($D621="",H618*[1]ExpFactors!$H$43,H618*$D621))</f>
        <v/>
      </c>
      <c r="I622" s="1191" t="str">
        <f>IF(I$46=0,"",IF($D621="",I618*[1]ExpFactors!$H$43,I618*$D621))</f>
        <v/>
      </c>
      <c r="J622" s="1191" t="str">
        <f>IF(J$46=0,"",IF($D621="",J618*[1]ExpFactors!$H$43,J618*$D621))</f>
        <v/>
      </c>
      <c r="K622" s="1191" t="str">
        <f>IF(K$46=0,"",IF($D621="",K618*[1]ExpFactors!$H$43,K618*$D621))</f>
        <v/>
      </c>
      <c r="L622" s="868"/>
      <c r="M622" s="1881" t="str">
        <f>IF(SUM(H622)=SUM(C622),"",SUM(H622)-SUM(C622))</f>
        <v/>
      </c>
      <c r="N622" s="1881" t="str">
        <f>IF(SUM(I622)=SUM(D622),"",SUM(I622)-SUM(D622))</f>
        <v/>
      </c>
      <c r="O622" s="1881" t="str">
        <f>IF(SUM(J622)=SUM(E622),"",SUM(J622)-SUM(E622))</f>
        <v/>
      </c>
      <c r="P622" s="1881" t="str">
        <f>IF(SUM(K622)=SUM(F622),"",SUM(K622)-SUM(F622))</f>
        <v/>
      </c>
      <c r="Q622" s="1882" t="str">
        <f>'Exp factors'!$I$66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1880" t="str">
        <f>IF(SUM(H626)=SUM(C626),"",SUM(H626)-SUM(C626))</f>
        <v/>
      </c>
      <c r="N626" s="1880" t="str">
        <f>IF(SUM(I626)=SUM(D626),"",SUM(I626)-SUM(D626))</f>
        <v/>
      </c>
      <c r="O626" s="1880" t="str">
        <f>IF(SUM(J626)=SUM(E626),"",SUM(J626)-SUM(E626))</f>
        <v/>
      </c>
      <c r="P626" s="1880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1881" t="str">
        <f>IF(SUM(H628)=SUM(C628),"",SUM(H628)-SUM(C628))</f>
        <v/>
      </c>
      <c r="N628" s="1881" t="str">
        <f>IF(SUM(I628)=SUM(D628),"",SUM(I628)-SUM(D628))</f>
        <v/>
      </c>
      <c r="O628" s="1881" t="str">
        <f>IF(SUM(J628)=SUM(E628),"",SUM(J628)-SUM(E628))</f>
        <v/>
      </c>
      <c r="P628" s="1881" t="str">
        <f>IF(SUM(K628)=SUM(F628),"",SUM(K628)-SUM(F628))</f>
        <v/>
      </c>
      <c r="Q628" s="1882" t="str">
        <f>'Exp factors'!$I$67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1880" t="str">
        <f>IF(SUM(H632)=SUM(C632),"",SUM(H632)-SUM(C632))</f>
        <v/>
      </c>
      <c r="N632" s="1880" t="str">
        <f>IF(SUM(I632)=SUM(D632),"",SUM(I632)-SUM(D632))</f>
        <v/>
      </c>
      <c r="O632" s="1880" t="str">
        <f>IF(SUM(J632)=SUM(E632),"",SUM(J632)-SUM(E632))</f>
        <v/>
      </c>
      <c r="P632" s="1880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1881" t="str">
        <f>IF(SUM(H634)=SUM(C634),"",SUM(H634)-SUM(C634))</f>
        <v/>
      </c>
      <c r="N634" s="1881" t="str">
        <f>IF(SUM(I634)=SUM(D634),"",SUM(I634)-SUM(D634))</f>
        <v/>
      </c>
      <c r="O634" s="1881" t="str">
        <f>IF(SUM(J634)=SUM(E634),"",SUM(J634)-SUM(E634))</f>
        <v/>
      </c>
      <c r="P634" s="1881" t="str">
        <f>IF(SUM(K634)=SUM(F634),"",SUM(K634)-SUM(F634))</f>
        <v/>
      </c>
      <c r="Q634" s="1882" t="str">
        <f>'Exp factors'!$I$68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1883" t="str">
        <f>IF(SUM(H639)=SUM(C639),"",SUM(H639)-SUM(C639))</f>
        <v/>
      </c>
      <c r="N639" s="1883" t="str">
        <f>IF(SUM(I639)=SUM(D639),"",SUM(I639)-SUM(D639))</f>
        <v/>
      </c>
      <c r="O639" s="1883" t="str">
        <f>IF(SUM(J639)=SUM(E639),"",SUM(J639)-SUM(E639))</f>
        <v/>
      </c>
      <c r="P639" s="1883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1884" t="str">
        <f>IF(SUM(H641)=SUM(C641),"",SUM(H641)-SUM(C641))</f>
        <v/>
      </c>
      <c r="N641" s="1884" t="str">
        <f>IF(SUM(I641)=SUM(D641),"",SUM(I641)-SUM(D641))</f>
        <v/>
      </c>
      <c r="O641" s="1884" t="str">
        <f>IF(SUM(J641)=SUM(E641),"",SUM(J641)-SUM(E641))</f>
        <v/>
      </c>
      <c r="P641" s="1884" t="str">
        <f>IF(SUM(K641)=SUM(F641),"",SUM(K641)-SUM(F641))</f>
        <v/>
      </c>
      <c r="Q641" s="1885" t="str">
        <f>'Exp factors'!$I$69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19">IF(C645&gt;0,C645,"")</f>
        <v/>
      </c>
      <c r="I645" s="964" t="str">
        <f t="shared" si="19"/>
        <v/>
      </c>
      <c r="J645" s="964" t="str">
        <f t="shared" si="19"/>
        <v/>
      </c>
      <c r="K645" s="964" t="str">
        <f t="shared" si="19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19"/>
        <v/>
      </c>
      <c r="I646" s="964" t="str">
        <f t="shared" si="19"/>
        <v/>
      </c>
      <c r="J646" s="964" t="str">
        <f t="shared" si="19"/>
        <v/>
      </c>
      <c r="K646" s="964" t="str">
        <f t="shared" si="19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20">IF(C651&gt;0,C651,"")</f>
        <v/>
      </c>
      <c r="I651" s="964" t="str">
        <f t="shared" si="20"/>
        <v/>
      </c>
      <c r="J651" s="964" t="str">
        <f t="shared" si="20"/>
        <v/>
      </c>
      <c r="K651" s="964" t="str">
        <f t="shared" si="20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20"/>
        <v/>
      </c>
      <c r="I652" s="964" t="str">
        <f t="shared" si="20"/>
        <v/>
      </c>
      <c r="J652" s="964" t="str">
        <f t="shared" si="20"/>
        <v/>
      </c>
      <c r="K652" s="964" t="str">
        <f t="shared" si="20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21">IF(C657&gt;0,C657,"")</f>
        <v/>
      </c>
      <c r="I657" s="964" t="str">
        <f t="shared" si="21"/>
        <v/>
      </c>
      <c r="J657" s="964" t="str">
        <f t="shared" si="21"/>
        <v/>
      </c>
      <c r="K657" s="964" t="str">
        <f t="shared" si="21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21"/>
        <v/>
      </c>
      <c r="I658" s="964" t="str">
        <f t="shared" si="21"/>
        <v/>
      </c>
      <c r="J658" s="964" t="str">
        <f t="shared" si="21"/>
        <v/>
      </c>
      <c r="K658" s="964" t="str">
        <f t="shared" si="21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22">IF(C704&gt;0,C704,"")</f>
        <v/>
      </c>
      <c r="I704" s="964" t="str">
        <f t="shared" si="22"/>
        <v/>
      </c>
      <c r="J704" s="964" t="str">
        <f t="shared" si="22"/>
        <v/>
      </c>
      <c r="K704" s="964" t="str">
        <f t="shared" si="22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22"/>
        <v/>
      </c>
      <c r="I705" s="964" t="str">
        <f t="shared" si="22"/>
        <v/>
      </c>
      <c r="J705" s="964" t="str">
        <f t="shared" si="22"/>
        <v/>
      </c>
      <c r="K705" s="964" t="str">
        <f t="shared" si="22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23">IF(C710&gt;0,C710,"")</f>
        <v/>
      </c>
      <c r="I710" s="964" t="str">
        <f t="shared" si="23"/>
        <v/>
      </c>
      <c r="J710" s="964" t="str">
        <f t="shared" si="23"/>
        <v/>
      </c>
      <c r="K710" s="964" t="str">
        <f t="shared" si="23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23"/>
        <v/>
      </c>
      <c r="I711" s="964" t="str">
        <f t="shared" si="23"/>
        <v/>
      </c>
      <c r="J711" s="964" t="str">
        <f t="shared" si="23"/>
        <v/>
      </c>
      <c r="K711" s="964" t="str">
        <f t="shared" si="23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24">IF(C716&gt;0,C716,"")</f>
        <v/>
      </c>
      <c r="I716" s="964" t="str">
        <f t="shared" si="24"/>
        <v/>
      </c>
      <c r="J716" s="964" t="str">
        <f t="shared" si="24"/>
        <v/>
      </c>
      <c r="K716" s="964" t="str">
        <f t="shared" si="24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24"/>
        <v/>
      </c>
      <c r="I717" s="964" t="str">
        <f t="shared" si="24"/>
        <v/>
      </c>
      <c r="J717" s="964" t="str">
        <f t="shared" si="24"/>
        <v/>
      </c>
      <c r="K717" s="964" t="str">
        <f t="shared" si="24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25">IF(C721&gt;0,C721,"")</f>
        <v/>
      </c>
      <c r="I721" s="964" t="str">
        <f t="shared" si="25"/>
        <v/>
      </c>
      <c r="J721" s="964" t="str">
        <f t="shared" si="25"/>
        <v/>
      </c>
      <c r="K721" s="964" t="str">
        <f t="shared" si="25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25"/>
        <v/>
      </c>
      <c r="I722" s="964" t="str">
        <f t="shared" si="25"/>
        <v/>
      </c>
      <c r="J722" s="964" t="str">
        <f t="shared" si="25"/>
        <v/>
      </c>
      <c r="K722" s="964" t="str">
        <f t="shared" si="25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26">IF(C728&gt;0,C728,"")</f>
        <v/>
      </c>
      <c r="I728" s="964" t="str">
        <f t="shared" si="26"/>
        <v/>
      </c>
      <c r="J728" s="964" t="str">
        <f t="shared" si="26"/>
        <v/>
      </c>
      <c r="K728" s="964" t="str">
        <f t="shared" si="26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26"/>
        <v/>
      </c>
      <c r="I729" s="964" t="str">
        <f t="shared" si="26"/>
        <v/>
      </c>
      <c r="J729" s="964" t="str">
        <f t="shared" si="26"/>
        <v/>
      </c>
      <c r="K729" s="964" t="str">
        <f t="shared" si="26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27">IF(C733&gt;0,C733,"")</f>
        <v/>
      </c>
      <c r="I733" s="964" t="str">
        <f t="shared" si="27"/>
        <v/>
      </c>
      <c r="J733" s="964" t="str">
        <f t="shared" si="27"/>
        <v/>
      </c>
      <c r="K733" s="964" t="str">
        <f t="shared" si="27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27"/>
        <v/>
      </c>
      <c r="I734" s="964" t="str">
        <f t="shared" si="27"/>
        <v/>
      </c>
      <c r="J734" s="964" t="str">
        <f t="shared" si="27"/>
        <v/>
      </c>
      <c r="K734" s="964" t="str">
        <f t="shared" si="27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69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28">IF(C739&gt;0,C739,"")</f>
        <v/>
      </c>
      <c r="I739" s="964" t="str">
        <f t="shared" si="28"/>
        <v/>
      </c>
      <c r="J739" s="964" t="str">
        <f t="shared" si="28"/>
        <v/>
      </c>
      <c r="K739" s="964" t="str">
        <f t="shared" si="28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28"/>
        <v/>
      </c>
      <c r="I740" s="964" t="str">
        <f t="shared" si="28"/>
        <v/>
      </c>
      <c r="J740" s="964" t="str">
        <f t="shared" si="28"/>
        <v/>
      </c>
      <c r="K740" s="964" t="str">
        <f t="shared" si="28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29">IF(C745&gt;0,C745,"")</f>
        <v/>
      </c>
      <c r="I745" s="964" t="str">
        <f t="shared" si="29"/>
        <v/>
      </c>
      <c r="J745" s="964" t="str">
        <f t="shared" si="29"/>
        <v/>
      </c>
      <c r="K745" s="964" t="str">
        <f t="shared" si="29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29"/>
        <v/>
      </c>
      <c r="I746" s="964" t="str">
        <f t="shared" si="29"/>
        <v/>
      </c>
      <c r="J746" s="964" t="str">
        <f t="shared" si="29"/>
        <v/>
      </c>
      <c r="K746" s="964" t="str">
        <f t="shared" si="29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69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30">IF(C751&gt;0,C751,"")</f>
        <v/>
      </c>
      <c r="I751" s="964" t="str">
        <f t="shared" si="30"/>
        <v/>
      </c>
      <c r="J751" s="964" t="str">
        <f t="shared" si="30"/>
        <v/>
      </c>
      <c r="K751" s="964" t="str">
        <f t="shared" si="30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30"/>
        <v/>
      </c>
      <c r="I752" s="964" t="str">
        <f t="shared" si="30"/>
        <v/>
      </c>
      <c r="J752" s="964" t="str">
        <f t="shared" si="30"/>
        <v/>
      </c>
      <c r="K752" s="964" t="str">
        <f t="shared" si="30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69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31">IF(C756&gt;0,C756,"")</f>
        <v/>
      </c>
      <c r="I756" s="964" t="str">
        <f t="shared" si="31"/>
        <v/>
      </c>
      <c r="J756" s="964" t="str">
        <f t="shared" si="31"/>
        <v/>
      </c>
      <c r="K756" s="964" t="str">
        <f t="shared" si="31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31"/>
        <v/>
      </c>
      <c r="I757" s="964" t="str">
        <f t="shared" si="31"/>
        <v/>
      </c>
      <c r="J757" s="964" t="str">
        <f t="shared" si="31"/>
        <v/>
      </c>
      <c r="K757" s="964" t="str">
        <f t="shared" si="31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31"/>
        <v/>
      </c>
      <c r="I758" s="964" t="str">
        <f t="shared" si="31"/>
        <v/>
      </c>
      <c r="J758" s="964" t="str">
        <f t="shared" si="31"/>
        <v/>
      </c>
      <c r="K758" s="964" t="str">
        <f t="shared" si="31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1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32">IF(C762&gt;0,C762,"")</f>
        <v/>
      </c>
      <c r="I762" s="964" t="str">
        <f t="shared" si="32"/>
        <v/>
      </c>
      <c r="J762" s="964" t="str">
        <f t="shared" si="32"/>
        <v/>
      </c>
      <c r="K762" s="964" t="str">
        <f t="shared" si="32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32"/>
        <v/>
      </c>
      <c r="I763" s="964" t="str">
        <f t="shared" si="32"/>
        <v/>
      </c>
      <c r="J763" s="964" t="str">
        <f t="shared" si="32"/>
        <v/>
      </c>
      <c r="K763" s="964" t="str">
        <f t="shared" si="32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5"/>
      <c r="M771" s="1196">
        <f t="shared" ref="M771:P775" si="33">IF(H771="","",SUM(H771)-SUM(C771))</f>
        <v>0</v>
      </c>
      <c r="N771" s="1196">
        <f t="shared" si="33"/>
        <v>0</v>
      </c>
      <c r="O771" s="1196">
        <f t="shared" si="33"/>
        <v>0</v>
      </c>
      <c r="P771" s="1196">
        <f t="shared" si="33"/>
        <v>0</v>
      </c>
      <c r="Q771" s="1886" t="str">
        <f>'Exp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5"/>
      <c r="M772" s="1196">
        <f t="shared" si="33"/>
        <v>0</v>
      </c>
      <c r="N772" s="1196">
        <f t="shared" si="33"/>
        <v>0</v>
      </c>
      <c r="O772" s="1196">
        <f t="shared" si="33"/>
        <v>0</v>
      </c>
      <c r="P772" s="1196">
        <f t="shared" si="33"/>
        <v>0</v>
      </c>
      <c r="Q772" s="1886" t="str">
        <f>'Exp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5"/>
      <c r="M773" s="1196">
        <f t="shared" si="33"/>
        <v>0</v>
      </c>
      <c r="N773" s="1196">
        <f t="shared" si="33"/>
        <v>0</v>
      </c>
      <c r="O773" s="1196">
        <f t="shared" si="33"/>
        <v>0</v>
      </c>
      <c r="P773" s="1196">
        <f t="shared" si="33"/>
        <v>0</v>
      </c>
      <c r="Q773" s="1886" t="str">
        <f>'Exp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5"/>
      <c r="M774" s="1887">
        <f t="shared" si="33"/>
        <v>0</v>
      </c>
      <c r="N774" s="1887">
        <f t="shared" si="33"/>
        <v>0</v>
      </c>
      <c r="O774" s="1887">
        <f t="shared" si="33"/>
        <v>0</v>
      </c>
      <c r="P774" s="1887">
        <f t="shared" si="33"/>
        <v>0</v>
      </c>
      <c r="Q774" s="1882" t="str">
        <f>'Exp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5"/>
      <c r="M775" s="1196">
        <f t="shared" si="33"/>
        <v>0</v>
      </c>
      <c r="N775" s="1196">
        <f t="shared" si="33"/>
        <v>0</v>
      </c>
      <c r="O775" s="1196">
        <f t="shared" si="33"/>
        <v>0</v>
      </c>
      <c r="P775" s="1196">
        <f t="shared" si="33"/>
        <v>0</v>
      </c>
      <c r="Q775" s="1886" t="str">
        <f>'Exp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5"/>
      <c r="M776" s="1197"/>
      <c r="N776" s="1197"/>
      <c r="O776" s="1197"/>
      <c r="P776" s="1197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5"/>
      <c r="M777" s="1197"/>
      <c r="N777" s="1197"/>
      <c r="O777" s="1197"/>
      <c r="P777" s="1197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5"/>
      <c r="M778" s="1197"/>
      <c r="N778" s="1197"/>
      <c r="O778" s="1197"/>
      <c r="P778" s="1197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5"/>
      <c r="M779" s="1197"/>
      <c r="N779" s="1197"/>
      <c r="O779" s="1197"/>
      <c r="P779" s="1197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198"/>
      <c r="M780" s="1196">
        <f t="shared" ref="M780:P784" si="34">IF(H780="","",SUM(H780)-SUM(C780))</f>
        <v>0</v>
      </c>
      <c r="N780" s="1196">
        <f t="shared" si="34"/>
        <v>0</v>
      </c>
      <c r="O780" s="1196">
        <f t="shared" si="34"/>
        <v>0</v>
      </c>
      <c r="P780" s="1196">
        <f t="shared" si="34"/>
        <v>0</v>
      </c>
      <c r="Q780" s="1886" t="str">
        <f>'Exp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5"/>
      <c r="M781" s="1196">
        <f t="shared" si="34"/>
        <v>0</v>
      </c>
      <c r="N781" s="1196">
        <f t="shared" si="34"/>
        <v>0</v>
      </c>
      <c r="O781" s="1196">
        <f t="shared" si="34"/>
        <v>0</v>
      </c>
      <c r="P781" s="1196">
        <f t="shared" si="34"/>
        <v>0</v>
      </c>
      <c r="Q781" s="1886" t="str">
        <f>'Exp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5"/>
      <c r="M782" s="1887">
        <f t="shared" si="34"/>
        <v>0</v>
      </c>
      <c r="N782" s="1887">
        <f t="shared" si="34"/>
        <v>0</v>
      </c>
      <c r="O782" s="1887">
        <f t="shared" si="34"/>
        <v>0</v>
      </c>
      <c r="P782" s="1887">
        <f t="shared" si="34"/>
        <v>0</v>
      </c>
      <c r="Q782" s="1882" t="str">
        <f>'Exp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5"/>
      <c r="M783" s="1887">
        <f t="shared" si="34"/>
        <v>0</v>
      </c>
      <c r="N783" s="1887">
        <f t="shared" si="34"/>
        <v>0</v>
      </c>
      <c r="O783" s="1887">
        <f t="shared" si="34"/>
        <v>0</v>
      </c>
      <c r="P783" s="1887">
        <f t="shared" si="34"/>
        <v>0</v>
      </c>
      <c r="Q783" s="1882" t="str">
        <f>'Exp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5"/>
      <c r="M784" s="1887">
        <f t="shared" si="34"/>
        <v>0</v>
      </c>
      <c r="N784" s="1887">
        <f t="shared" si="34"/>
        <v>0</v>
      </c>
      <c r="O784" s="1887">
        <f t="shared" si="34"/>
        <v>0</v>
      </c>
      <c r="P784" s="1887">
        <f t="shared" si="34"/>
        <v>0</v>
      </c>
      <c r="Q784" s="1882" t="str">
        <f>'Exp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5"/>
      <c r="M785" s="1197"/>
      <c r="N785" s="1197"/>
      <c r="O785" s="1197"/>
      <c r="P785" s="1197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5"/>
      <c r="M786" s="1197"/>
      <c r="N786" s="1197"/>
      <c r="O786" s="1197"/>
      <c r="P786" s="1197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5"/>
      <c r="M787" s="1197"/>
      <c r="N787" s="1197"/>
      <c r="O787" s="1197"/>
      <c r="P787" s="1197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5"/>
      <c r="M788" s="1197"/>
      <c r="N788" s="1197"/>
      <c r="O788" s="1197"/>
      <c r="P788" s="1197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198"/>
      <c r="M789" s="1887" t="str">
        <f t="shared" ref="M789:M809" si="35">IF(H789="","",SUM(H789)-SUM(C789))</f>
        <v/>
      </c>
      <c r="N789" s="1887" t="str">
        <f t="shared" ref="N789:P809" si="36">IF(I789="","",SUM(I789)-SUM(D789))</f>
        <v/>
      </c>
      <c r="O789" s="1887" t="str">
        <f t="shared" si="36"/>
        <v/>
      </c>
      <c r="P789" s="1887" t="str">
        <f t="shared" si="36"/>
        <v/>
      </c>
      <c r="Q789" s="1882" t="str">
        <f>'Exp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5"/>
      <c r="M790" s="1887">
        <f t="shared" si="35"/>
        <v>0</v>
      </c>
      <c r="N790" s="1887">
        <f t="shared" si="36"/>
        <v>0</v>
      </c>
      <c r="O790" s="1887">
        <f t="shared" si="36"/>
        <v>0</v>
      </c>
      <c r="P790" s="1887">
        <f t="shared" si="36"/>
        <v>0</v>
      </c>
      <c r="Q790" s="1882" t="str">
        <f>'Exp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199"/>
      <c r="M791" s="1887">
        <f t="shared" si="35"/>
        <v>0</v>
      </c>
      <c r="N791" s="1887">
        <f t="shared" si="36"/>
        <v>0</v>
      </c>
      <c r="O791" s="1887">
        <f t="shared" si="36"/>
        <v>0</v>
      </c>
      <c r="P791" s="1887">
        <f t="shared" si="36"/>
        <v>0</v>
      </c>
      <c r="Q791" s="1882" t="str">
        <f>'Exp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199"/>
      <c r="M792" s="1887">
        <f t="shared" si="35"/>
        <v>0</v>
      </c>
      <c r="N792" s="1887">
        <f t="shared" si="36"/>
        <v>0</v>
      </c>
      <c r="O792" s="1887">
        <f t="shared" si="36"/>
        <v>0</v>
      </c>
      <c r="P792" s="1887">
        <f t="shared" si="36"/>
        <v>0</v>
      </c>
      <c r="Q792" s="1882" t="str">
        <f>'Exp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199"/>
      <c r="M793" s="1887">
        <f t="shared" si="35"/>
        <v>0</v>
      </c>
      <c r="N793" s="1887">
        <f t="shared" si="36"/>
        <v>0</v>
      </c>
      <c r="O793" s="1887">
        <f t="shared" si="36"/>
        <v>0</v>
      </c>
      <c r="P793" s="1887">
        <f t="shared" si="36"/>
        <v>0</v>
      </c>
      <c r="Q793" s="1882" t="str">
        <f>'Exp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199"/>
      <c r="M794" s="1887">
        <f t="shared" si="35"/>
        <v>0</v>
      </c>
      <c r="N794" s="1887">
        <f t="shared" si="36"/>
        <v>0</v>
      </c>
      <c r="O794" s="1887">
        <f t="shared" si="36"/>
        <v>0</v>
      </c>
      <c r="P794" s="1887">
        <f t="shared" si="36"/>
        <v>0</v>
      </c>
      <c r="Q794" s="1882" t="str">
        <f>'Exp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199"/>
      <c r="M795" s="1887">
        <f t="shared" si="35"/>
        <v>0</v>
      </c>
      <c r="N795" s="1887">
        <f t="shared" si="36"/>
        <v>0</v>
      </c>
      <c r="O795" s="1887">
        <f t="shared" si="36"/>
        <v>0</v>
      </c>
      <c r="P795" s="1887">
        <f t="shared" si="36"/>
        <v>0</v>
      </c>
      <c r="Q795" s="1882" t="str">
        <f>'Exp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199"/>
      <c r="M796" s="1887">
        <f t="shared" si="35"/>
        <v>0</v>
      </c>
      <c r="N796" s="1887">
        <f t="shared" si="36"/>
        <v>0</v>
      </c>
      <c r="O796" s="1887">
        <f t="shared" si="36"/>
        <v>0</v>
      </c>
      <c r="P796" s="1887">
        <f t="shared" si="36"/>
        <v>0</v>
      </c>
      <c r="Q796" s="1882" t="str">
        <f>'Exp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199"/>
      <c r="M797" s="1887">
        <f t="shared" si="35"/>
        <v>0</v>
      </c>
      <c r="N797" s="1887">
        <f t="shared" si="36"/>
        <v>0</v>
      </c>
      <c r="O797" s="1887">
        <f t="shared" si="36"/>
        <v>0</v>
      </c>
      <c r="P797" s="1887">
        <f t="shared" si="36"/>
        <v>0</v>
      </c>
      <c r="Q797" s="1882" t="str">
        <f>'Exp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199"/>
      <c r="M798" s="1887">
        <f t="shared" si="35"/>
        <v>0</v>
      </c>
      <c r="N798" s="1887">
        <f t="shared" si="36"/>
        <v>0</v>
      </c>
      <c r="O798" s="1887">
        <f t="shared" si="36"/>
        <v>0</v>
      </c>
      <c r="P798" s="1887">
        <f t="shared" si="36"/>
        <v>0</v>
      </c>
      <c r="Q798" s="1882" t="str">
        <f>'Exp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199"/>
      <c r="M799" s="1887">
        <f t="shared" si="35"/>
        <v>0</v>
      </c>
      <c r="N799" s="1887">
        <f t="shared" si="36"/>
        <v>0</v>
      </c>
      <c r="O799" s="1887">
        <f t="shared" si="36"/>
        <v>0</v>
      </c>
      <c r="P799" s="1887">
        <f t="shared" si="36"/>
        <v>0</v>
      </c>
      <c r="Q799" s="1882" t="str">
        <f>'Exp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199"/>
      <c r="M800" s="1887">
        <f t="shared" si="35"/>
        <v>0</v>
      </c>
      <c r="N800" s="1887">
        <f t="shared" si="36"/>
        <v>0</v>
      </c>
      <c r="O800" s="1887">
        <f t="shared" si="36"/>
        <v>0</v>
      </c>
      <c r="P800" s="1887">
        <f t="shared" si="36"/>
        <v>0</v>
      </c>
      <c r="Q800" s="1882" t="str">
        <f>'Exp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199"/>
      <c r="M801" s="1887">
        <f t="shared" si="35"/>
        <v>0</v>
      </c>
      <c r="N801" s="1887">
        <f t="shared" si="36"/>
        <v>0</v>
      </c>
      <c r="O801" s="1887">
        <f t="shared" si="36"/>
        <v>0</v>
      </c>
      <c r="P801" s="1887">
        <f t="shared" si="36"/>
        <v>0</v>
      </c>
      <c r="Q801" s="1882" t="str">
        <f>'Exp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199"/>
      <c r="M802" s="1887">
        <f t="shared" si="35"/>
        <v>0</v>
      </c>
      <c r="N802" s="1887">
        <f t="shared" si="36"/>
        <v>0</v>
      </c>
      <c r="O802" s="1887">
        <f t="shared" si="36"/>
        <v>0</v>
      </c>
      <c r="P802" s="1887">
        <f t="shared" si="36"/>
        <v>0</v>
      </c>
      <c r="Q802" s="1882" t="str">
        <f>'Exp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199"/>
      <c r="M803" s="1888">
        <f t="shared" si="35"/>
        <v>0</v>
      </c>
      <c r="N803" s="1888">
        <f t="shared" si="36"/>
        <v>0</v>
      </c>
      <c r="O803" s="1888">
        <f t="shared" si="36"/>
        <v>0</v>
      </c>
      <c r="P803" s="1888">
        <f t="shared" si="36"/>
        <v>0</v>
      </c>
      <c r="Q803" s="1885" t="str">
        <f>'Exp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199"/>
      <c r="M804" s="1888">
        <f t="shared" si="35"/>
        <v>0</v>
      </c>
      <c r="N804" s="1888">
        <f t="shared" si="36"/>
        <v>0</v>
      </c>
      <c r="O804" s="1888">
        <f t="shared" si="36"/>
        <v>0</v>
      </c>
      <c r="P804" s="1888">
        <f t="shared" si="36"/>
        <v>0</v>
      </c>
      <c r="Q804" s="1885" t="str">
        <f>'Exp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199"/>
      <c r="M805" s="1196">
        <f t="shared" si="35"/>
        <v>0</v>
      </c>
      <c r="N805" s="1196">
        <f t="shared" si="36"/>
        <v>0</v>
      </c>
      <c r="O805" s="1196">
        <f t="shared" si="36"/>
        <v>0</v>
      </c>
      <c r="P805" s="1196">
        <f t="shared" si="36"/>
        <v>0</v>
      </c>
      <c r="Q805" s="1886" t="str">
        <f>'Exp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3" t="str">
        <f>IF(Data!BV806="","",Data!BV806)</f>
        <v/>
      </c>
      <c r="D806" s="1193" t="str">
        <f>IF(Data!BW806="","",Data!BW806)</f>
        <v/>
      </c>
      <c r="E806" s="1193" t="str">
        <f>IF(Data!BX806="","",Data!BX806)</f>
        <v/>
      </c>
      <c r="F806" s="1193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199"/>
      <c r="M806" s="1887">
        <f t="shared" si="35"/>
        <v>0</v>
      </c>
      <c r="N806" s="1887">
        <f t="shared" si="36"/>
        <v>0</v>
      </c>
      <c r="O806" s="1887">
        <f t="shared" si="36"/>
        <v>0</v>
      </c>
      <c r="P806" s="1887">
        <f t="shared" si="36"/>
        <v>0</v>
      </c>
      <c r="Q806" s="1882" t="str">
        <f>'Exp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3" t="str">
        <f>IF(Data!BV807="","",Data!BV807)</f>
        <v/>
      </c>
      <c r="D807" s="1193" t="str">
        <f>IF(Data!BW807="","",Data!BW807)</f>
        <v/>
      </c>
      <c r="E807" s="1193" t="str">
        <f>IF(Data!BX807="","",Data!BX807)</f>
        <v/>
      </c>
      <c r="F807" s="1193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199"/>
      <c r="M807" s="1887">
        <f t="shared" si="35"/>
        <v>0</v>
      </c>
      <c r="N807" s="1887">
        <f t="shared" si="36"/>
        <v>0</v>
      </c>
      <c r="O807" s="1887">
        <f t="shared" si="36"/>
        <v>0</v>
      </c>
      <c r="P807" s="1887">
        <f t="shared" si="36"/>
        <v>0</v>
      </c>
      <c r="Q807" s="1882" t="str">
        <f>'Exp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199"/>
      <c r="M808" s="1887">
        <f t="shared" si="35"/>
        <v>0</v>
      </c>
      <c r="N808" s="1887">
        <f t="shared" si="36"/>
        <v>0</v>
      </c>
      <c r="O808" s="1887">
        <f t="shared" si="36"/>
        <v>0</v>
      </c>
      <c r="P808" s="1887">
        <f t="shared" si="36"/>
        <v>0</v>
      </c>
      <c r="Q808" s="1882" t="str">
        <f>'Exp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199"/>
      <c r="M809" s="1888">
        <f t="shared" si="35"/>
        <v>0</v>
      </c>
      <c r="N809" s="1888">
        <f t="shared" si="36"/>
        <v>0</v>
      </c>
      <c r="O809" s="1888">
        <f t="shared" si="36"/>
        <v>0</v>
      </c>
      <c r="P809" s="1888">
        <f t="shared" si="36"/>
        <v>0</v>
      </c>
      <c r="Q809" s="1885" t="str">
        <f>'Exp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-72</v>
      </c>
      <c r="E810" s="973">
        <f>E20-E31</f>
        <v>-372</v>
      </c>
      <c r="F810" s="973">
        <f>F20-F31</f>
        <v>-648</v>
      </c>
      <c r="G810" s="966"/>
      <c r="H810" s="974">
        <f>C810*'Exp factors'!$D$71</f>
        <v>0</v>
      </c>
      <c r="I810" s="974">
        <f>D810*'Exp factors'!$D$71</f>
        <v>-72</v>
      </c>
      <c r="J810" s="974">
        <f>E810*'Exp factors'!$D$71</f>
        <v>-372</v>
      </c>
      <c r="K810" s="974">
        <f>F810*'Exp factors'!$D$71</f>
        <v>-648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5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3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9">
        <v>821</v>
      </c>
      <c r="V820" s="29"/>
    </row>
    <row r="821" spans="1:22" ht="15.75" customHeight="1">
      <c r="A821" s="1163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38"/>
        <v>0</v>
      </c>
      <c r="T821" s="29" t="str">
        <f t="shared" si="37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38"/>
        <v>0</v>
      </c>
      <c r="T822" s="29" t="str">
        <f t="shared" si="37"/>
        <v/>
      </c>
      <c r="U822" s="829">
        <v>823</v>
      </c>
      <c r="V822" s="29"/>
    </row>
    <row r="823" spans="1:22" ht="15.75" customHeight="1">
      <c r="A823" s="1163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38"/>
        <v>0</v>
      </c>
      <c r="T823" s="29" t="str">
        <f t="shared" si="37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38"/>
        <v>0</v>
      </c>
      <c r="T824" s="29" t="str">
        <f t="shared" si="37"/>
        <v/>
      </c>
      <c r="U824" s="829">
        <v>825</v>
      </c>
      <c r="V824" s="29"/>
    </row>
    <row r="825" spans="1:22" ht="15.75" customHeight="1">
      <c r="A825" s="1163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38"/>
        <v>0</v>
      </c>
      <c r="T825" s="29" t="str">
        <f t="shared" si="37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38"/>
        <v>0</v>
      </c>
      <c r="T826" s="29" t="str">
        <f t="shared" si="37"/>
        <v/>
      </c>
      <c r="U826" s="829">
        <v>827</v>
      </c>
      <c r="V826" s="29"/>
    </row>
    <row r="827" spans="1:22" ht="15.75" customHeight="1">
      <c r="A827" s="1163" t="s">
        <v>354</v>
      </c>
      <c r="B827" s="971"/>
      <c r="C827" s="899">
        <f>SUM(C$183,C$180)</f>
        <v>0</v>
      </c>
      <c r="D827" s="899">
        <f t="shared" ref="D827:F827" si="39">SUM(D$183,D$180)</f>
        <v>0</v>
      </c>
      <c r="E827" s="899">
        <f t="shared" si="39"/>
        <v>0</v>
      </c>
      <c r="F827" s="899">
        <f t="shared" si="39"/>
        <v>0</v>
      </c>
      <c r="G827" s="721"/>
      <c r="H827" s="899">
        <f>SUM(H$183,H$180)</f>
        <v>0</v>
      </c>
      <c r="I827" s="899">
        <f t="shared" ref="I827:K827" si="40">SUM(I$183,I$180)</f>
        <v>0</v>
      </c>
      <c r="J827" s="899">
        <f t="shared" si="40"/>
        <v>0</v>
      </c>
      <c r="K827" s="899">
        <f t="shared" si="40"/>
        <v>0</v>
      </c>
      <c r="L827" s="721"/>
      <c r="M827" s="899">
        <f>SUM(M$183,M$180)</f>
        <v>0</v>
      </c>
      <c r="N827" s="899">
        <f t="shared" ref="N827:P827" si="41">SUM(N$183,N$180)</f>
        <v>0</v>
      </c>
      <c r="O827" s="899">
        <f t="shared" si="41"/>
        <v>0</v>
      </c>
      <c r="P827" s="899">
        <f t="shared" si="41"/>
        <v>0</v>
      </c>
      <c r="R827" s="27"/>
      <c r="S827" s="29">
        <f t="shared" si="38"/>
        <v>0</v>
      </c>
      <c r="T827" s="29" t="str">
        <f t="shared" si="37"/>
        <v/>
      </c>
      <c r="U827" s="829">
        <v>828</v>
      </c>
      <c r="V827" s="29"/>
    </row>
    <row r="828" spans="1:22" ht="15.75" customHeight="1">
      <c r="A828" s="985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>
        <f t="shared" si="38"/>
        <v>0</v>
      </c>
      <c r="T828" s="29" t="str">
        <f t="shared" si="37"/>
        <v/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>
        <f t="shared" si="38"/>
        <v>0</v>
      </c>
      <c r="T829" s="29" t="str">
        <f t="shared" si="37"/>
        <v/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>
        <f t="shared" si="38"/>
        <v>0</v>
      </c>
      <c r="T830" s="29" t="str">
        <f t="shared" si="37"/>
        <v/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>
        <f t="shared" si="38"/>
        <v>0</v>
      </c>
      <c r="T831" s="29" t="str">
        <f t="shared" si="37"/>
        <v/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>
        <f t="shared" si="38"/>
        <v>0</v>
      </c>
      <c r="T832" s="29" t="str">
        <f t="shared" si="37"/>
        <v/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>
        <f t="shared" si="38"/>
        <v>0</v>
      </c>
      <c r="T833" s="29" t="str">
        <f t="shared" si="37"/>
        <v/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>
        <f t="shared" si="38"/>
        <v>0</v>
      </c>
      <c r="T834" s="29" t="str">
        <f t="shared" si="37"/>
        <v/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>
        <f t="shared" si="38"/>
        <v>0</v>
      </c>
      <c r="T835" s="29" t="str">
        <f t="shared" si="37"/>
        <v/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>
        <f t="shared" si="38"/>
        <v>0</v>
      </c>
      <c r="T836" s="29" t="str">
        <f t="shared" si="37"/>
        <v/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>
        <f t="shared" si="38"/>
        <v>0</v>
      </c>
      <c r="T837" s="29" t="str">
        <f t="shared" si="37"/>
        <v/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>
        <f t="shared" si="38"/>
        <v>0</v>
      </c>
      <c r="T838" s="29" t="str">
        <f t="shared" si="37"/>
        <v/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>
        <f t="shared" si="38"/>
        <v>0</v>
      </c>
      <c r="T839" s="29" t="str">
        <f t="shared" si="37"/>
        <v/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>
        <f t="shared" si="38"/>
        <v>0</v>
      </c>
      <c r="T840" s="29" t="str">
        <f t="shared" si="37"/>
        <v/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>
        <f t="shared" si="38"/>
        <v>0</v>
      </c>
      <c r="T841" s="29" t="str">
        <f t="shared" si="37"/>
        <v/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>
        <f t="shared" si="38"/>
        <v>0</v>
      </c>
      <c r="T842" s="29" t="str">
        <f t="shared" si="37"/>
        <v/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>
        <f t="shared" si="38"/>
        <v>0</v>
      </c>
      <c r="T843" s="29" t="str">
        <f t="shared" si="37"/>
        <v/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>
        <f t="shared" si="38"/>
        <v>0</v>
      </c>
      <c r="T844" s="29" t="str">
        <f t="shared" si="37"/>
        <v/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>
        <f t="shared" si="38"/>
        <v>0</v>
      </c>
      <c r="T845" s="29" t="str">
        <f t="shared" si="37"/>
        <v/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>
        <f t="shared" si="38"/>
        <v>0</v>
      </c>
      <c r="T846" s="29" t="str">
        <f t="shared" si="37"/>
        <v/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>
        <f t="shared" si="38"/>
        <v>0</v>
      </c>
      <c r="T847" s="29" t="str">
        <f t="shared" si="37"/>
        <v/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>
        <f t="shared" si="38"/>
        <v>0</v>
      </c>
      <c r="T848" s="29" t="str">
        <f t="shared" si="37"/>
        <v/>
      </c>
      <c r="U848" s="829">
        <v>849</v>
      </c>
      <c r="V848" s="29"/>
    </row>
    <row r="849" spans="1:22" ht="15.75" customHeight="1">
      <c r="A849" s="1164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>
        <f t="shared" si="38"/>
        <v>0</v>
      </c>
      <c r="T849" s="29" t="str">
        <f t="shared" si="37"/>
        <v/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>
        <f t="shared" si="38"/>
        <v>0</v>
      </c>
      <c r="T850" s="29" t="str">
        <f t="shared" si="37"/>
        <v/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>
        <f t="shared" si="38"/>
        <v>0</v>
      </c>
      <c r="T851" s="29" t="str">
        <f t="shared" si="37"/>
        <v/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>
        <f t="shared" si="38"/>
        <v>0</v>
      </c>
      <c r="T852" s="29" t="str">
        <f t="shared" si="37"/>
        <v/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>
        <f t="shared" si="38"/>
        <v>0</v>
      </c>
      <c r="T853" s="29" t="str">
        <f t="shared" si="37"/>
        <v/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>
        <f t="shared" si="38"/>
        <v>0</v>
      </c>
      <c r="T854" s="29" t="str">
        <f t="shared" si="37"/>
        <v/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>
        <f t="shared" si="38"/>
        <v>0</v>
      </c>
      <c r="T855" s="29" t="str">
        <f t="shared" si="37"/>
        <v/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>
        <f t="shared" si="38"/>
        <v>0</v>
      </c>
      <c r="T856" s="29" t="str">
        <f t="shared" si="37"/>
        <v/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SUM(C$454)</f>
        <v>0</v>
      </c>
      <c r="D858" s="899">
        <f t="shared" ref="D858:F858" si="42">SUM(D$454)</f>
        <v>0</v>
      </c>
      <c r="E858" s="899">
        <f t="shared" si="42"/>
        <v>0</v>
      </c>
      <c r="F858" s="899">
        <f t="shared" si="42"/>
        <v>0</v>
      </c>
      <c r="G858" s="721"/>
      <c r="H858" s="899">
        <f>SUM(H$454)</f>
        <v>0</v>
      </c>
      <c r="I858" s="899">
        <f t="shared" ref="I858:K858" si="43">SUM(I$454)</f>
        <v>0</v>
      </c>
      <c r="J858" s="899">
        <f t="shared" si="43"/>
        <v>0</v>
      </c>
      <c r="K858" s="899">
        <f t="shared" si="43"/>
        <v>0</v>
      </c>
      <c r="L858" s="721"/>
      <c r="M858" s="899">
        <f>SUM(M$454)</f>
        <v>0</v>
      </c>
      <c r="N858" s="899">
        <f t="shared" ref="N858:P858" si="44">SUM(N$454)</f>
        <v>0</v>
      </c>
      <c r="O858" s="899">
        <f t="shared" si="44"/>
        <v>0</v>
      </c>
      <c r="P858" s="899">
        <f t="shared" si="44"/>
        <v>0</v>
      </c>
      <c r="Q858" s="1879" t="str">
        <f>$Q$456</f>
        <v>staple</v>
      </c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SUM(C$463)</f>
        <v>0</v>
      </c>
      <c r="D859" s="899">
        <f t="shared" ref="D859:F859" si="45">SUM(D$463)</f>
        <v>0</v>
      </c>
      <c r="E859" s="899">
        <f t="shared" si="45"/>
        <v>0</v>
      </c>
      <c r="F859" s="899">
        <f t="shared" si="45"/>
        <v>0</v>
      </c>
      <c r="G859" s="721"/>
      <c r="H859" s="899">
        <f>SUM(H$463)</f>
        <v>0</v>
      </c>
      <c r="I859" s="899">
        <f t="shared" ref="I859:K859" si="46">SUM(I$463)</f>
        <v>0</v>
      </c>
      <c r="J859" s="899">
        <f t="shared" si="46"/>
        <v>0</v>
      </c>
      <c r="K859" s="899">
        <f t="shared" si="46"/>
        <v>0</v>
      </c>
      <c r="L859" s="721"/>
      <c r="M859" s="899">
        <f>SUM(M$463)</f>
        <v>0</v>
      </c>
      <c r="N859" s="899">
        <f t="shared" ref="N859:P859" si="47">SUM(N$463)</f>
        <v>0</v>
      </c>
      <c r="O859" s="899">
        <f t="shared" si="47"/>
        <v>0</v>
      </c>
      <c r="P859" s="899">
        <f t="shared" si="47"/>
        <v>0</v>
      </c>
      <c r="Q859" s="1879" t="str">
        <f>$Q$465</f>
        <v>staple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 t="e">
        <f>SUM(C$472)</f>
        <v>#VALUE!</v>
      </c>
      <c r="D860" s="899" t="e">
        <f t="shared" ref="D860:F860" si="48">SUM(D$472)</f>
        <v>#VALUE!</v>
      </c>
      <c r="E860" s="899" t="e">
        <f t="shared" si="48"/>
        <v>#VALUE!</v>
      </c>
      <c r="F860" s="899" t="e">
        <f t="shared" si="48"/>
        <v>#VALUE!</v>
      </c>
      <c r="G860" s="721"/>
      <c r="H860" s="899">
        <f>SUM(H$472)</f>
        <v>0</v>
      </c>
      <c r="I860" s="899">
        <f t="shared" ref="I860:K860" si="49">SUM(I$472)</f>
        <v>0</v>
      </c>
      <c r="J860" s="899">
        <f t="shared" si="49"/>
        <v>0</v>
      </c>
      <c r="K860" s="899">
        <f t="shared" si="49"/>
        <v>0</v>
      </c>
      <c r="L860" s="721"/>
      <c r="M860" s="899" t="e">
        <f>SUM(M$472)</f>
        <v>#VALUE!</v>
      </c>
      <c r="N860" s="899" t="e">
        <f t="shared" ref="N860:P860" si="50">SUM(N$472)</f>
        <v>#VALUE!</v>
      </c>
      <c r="O860" s="899" t="e">
        <f t="shared" si="50"/>
        <v>#VALUE!</v>
      </c>
      <c r="P860" s="899" t="e">
        <f t="shared" si="50"/>
        <v>#VALUE!</v>
      </c>
      <c r="Q860" s="1882" t="str">
        <f>$Q$474</f>
        <v>des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SUM(C$481)</f>
        <v>0</v>
      </c>
      <c r="D861" s="899">
        <f t="shared" ref="D861:F861" si="51">SUM(D$481)</f>
        <v>0</v>
      </c>
      <c r="E861" s="899">
        <f t="shared" si="51"/>
        <v>0</v>
      </c>
      <c r="F861" s="899">
        <f t="shared" si="51"/>
        <v>0</v>
      </c>
      <c r="G861" s="721"/>
      <c r="H861" s="899">
        <f>SUM(H$481)</f>
        <v>0</v>
      </c>
      <c r="I861" s="899">
        <f t="shared" ref="I861:K861" si="52">SUM(I$481)</f>
        <v>0</v>
      </c>
      <c r="J861" s="899">
        <f t="shared" si="52"/>
        <v>0</v>
      </c>
      <c r="K861" s="899">
        <f t="shared" si="52"/>
        <v>0</v>
      </c>
      <c r="L861" s="721"/>
      <c r="M861" s="899">
        <f>SUM(M$481)</f>
        <v>0</v>
      </c>
      <c r="N861" s="899">
        <f t="shared" ref="N861:P861" si="53">SUM(N$481)</f>
        <v>0</v>
      </c>
      <c r="O861" s="899">
        <f t="shared" si="53"/>
        <v>0</v>
      </c>
      <c r="P861" s="899">
        <f t="shared" si="53"/>
        <v>0</v>
      </c>
      <c r="Q861" s="1885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SUM(C$490)</f>
        <v>0</v>
      </c>
      <c r="D862" s="899">
        <f t="shared" ref="D862:F862" si="54">SUM(D$490)</f>
        <v>0</v>
      </c>
      <c r="E862" s="899">
        <f t="shared" si="54"/>
        <v>0</v>
      </c>
      <c r="F862" s="899">
        <f t="shared" si="54"/>
        <v>0</v>
      </c>
      <c r="G862" s="721"/>
      <c r="H862" s="899">
        <f>SUM(H$490)</f>
        <v>0</v>
      </c>
      <c r="I862" s="899">
        <f t="shared" ref="I862:K862" si="55">SUM(I$490)</f>
        <v>0</v>
      </c>
      <c r="J862" s="899">
        <f t="shared" si="55"/>
        <v>0</v>
      </c>
      <c r="K862" s="899">
        <f t="shared" si="55"/>
        <v>0</v>
      </c>
      <c r="L862" s="721"/>
      <c r="M862" s="899">
        <f>SUM(M$490)</f>
        <v>0</v>
      </c>
      <c r="N862" s="899">
        <f t="shared" ref="N862:P862" si="56">SUM(N$490)</f>
        <v>0</v>
      </c>
      <c r="O862" s="899">
        <f t="shared" si="56"/>
        <v>0</v>
      </c>
      <c r="P862" s="899">
        <f t="shared" si="56"/>
        <v>0</v>
      </c>
      <c r="Q862" s="1885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SUM(C$499)</f>
        <v>0</v>
      </c>
      <c r="D863" s="899" t="e">
        <f t="shared" ref="D863:F863" si="58">SUM(D$499)</f>
        <v>#VALUE!</v>
      </c>
      <c r="E863" s="899" t="e">
        <f t="shared" si="58"/>
        <v>#VALUE!</v>
      </c>
      <c r="F863" s="899" t="e">
        <f t="shared" si="58"/>
        <v>#VALUE!</v>
      </c>
      <c r="G863" s="721"/>
      <c r="H863" s="899">
        <f>SUM(H$499)</f>
        <v>0</v>
      </c>
      <c r="I863" s="899">
        <f t="shared" ref="I863:K863" si="59">SUM(I$499)</f>
        <v>0</v>
      </c>
      <c r="J863" s="899">
        <f t="shared" si="59"/>
        <v>0</v>
      </c>
      <c r="K863" s="899">
        <f t="shared" si="59"/>
        <v>0</v>
      </c>
      <c r="L863" s="721"/>
      <c r="M863" s="899">
        <f>SUM(M$499)</f>
        <v>0</v>
      </c>
      <c r="N863" s="899" t="e">
        <f t="shared" ref="N863:P863" si="60">SUM(N$499)</f>
        <v>#VALUE!</v>
      </c>
      <c r="O863" s="899" t="e">
        <f t="shared" si="60"/>
        <v>#VALUE!</v>
      </c>
      <c r="P863" s="899" t="e">
        <f t="shared" si="60"/>
        <v>#VALUE!</v>
      </c>
      <c r="Q863" s="1882" t="str">
        <f>$Q$501</f>
        <v>des</v>
      </c>
      <c r="R863" s="27" t="str">
        <f t="shared" si="57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SUM(C$505)</f>
        <v>0</v>
      </c>
      <c r="D864" s="899">
        <f t="shared" ref="D864:F864" si="61">SUM(D$505)</f>
        <v>0</v>
      </c>
      <c r="E864" s="899">
        <f t="shared" si="61"/>
        <v>0</v>
      </c>
      <c r="F864" s="899" t="e">
        <f t="shared" si="61"/>
        <v>#VALUE!</v>
      </c>
      <c r="G864" s="721"/>
      <c r="H864" s="899">
        <f>SUM(H$505)</f>
        <v>0</v>
      </c>
      <c r="I864" s="899">
        <f t="shared" ref="I864:K864" si="62">SUM(I$505)</f>
        <v>0</v>
      </c>
      <c r="J864" s="899">
        <f t="shared" si="62"/>
        <v>0</v>
      </c>
      <c r="K864" s="899">
        <f t="shared" si="62"/>
        <v>0</v>
      </c>
      <c r="L864" s="721"/>
      <c r="M864" s="899">
        <f>SUM(M$505)</f>
        <v>0</v>
      </c>
      <c r="N864" s="899">
        <f t="shared" ref="N864:P864" si="63">SUM(N$505)</f>
        <v>0</v>
      </c>
      <c r="O864" s="899">
        <f t="shared" si="63"/>
        <v>0</v>
      </c>
      <c r="P864" s="899" t="e">
        <f t="shared" si="63"/>
        <v>#VALUE!</v>
      </c>
      <c r="Q864" s="1882" t="str">
        <f>$Q$507</f>
        <v>des</v>
      </c>
      <c r="R864" s="27" t="str">
        <f t="shared" si="57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SUM(C$511)</f>
        <v>0</v>
      </c>
      <c r="D865" s="899">
        <f t="shared" ref="D865:F865" si="64">SUM(D$511)</f>
        <v>0</v>
      </c>
      <c r="E865" s="899">
        <f t="shared" si="64"/>
        <v>0</v>
      </c>
      <c r="F865" s="899">
        <f t="shared" si="64"/>
        <v>0</v>
      </c>
      <c r="G865" s="721"/>
      <c r="H865" s="899">
        <f>SUM(H$511)</f>
        <v>0</v>
      </c>
      <c r="I865" s="899">
        <f t="shared" ref="I865:K865" si="65">SUM(I$511)</f>
        <v>0</v>
      </c>
      <c r="J865" s="899">
        <f t="shared" si="65"/>
        <v>0</v>
      </c>
      <c r="K865" s="899">
        <f t="shared" si="65"/>
        <v>0</v>
      </c>
      <c r="L865" s="721"/>
      <c r="M865" s="899">
        <f>SUM(M$511)</f>
        <v>0</v>
      </c>
      <c r="N865" s="899">
        <f t="shared" ref="N865:P865" si="66">SUM(N$511)</f>
        <v>0</v>
      </c>
      <c r="O865" s="899">
        <f t="shared" si="66"/>
        <v>0</v>
      </c>
      <c r="P865" s="899">
        <f t="shared" si="66"/>
        <v>0</v>
      </c>
      <c r="Q865" s="1886" t="str">
        <f>$Q$513</f>
        <v>mns</v>
      </c>
      <c r="R865" s="27" t="str">
        <f t="shared" si="57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SUM(C$517)</f>
        <v>0</v>
      </c>
      <c r="D866" s="899">
        <f t="shared" ref="D866:F866" si="67">SUM(D$517)</f>
        <v>0</v>
      </c>
      <c r="E866" s="899">
        <f t="shared" si="67"/>
        <v>0</v>
      </c>
      <c r="F866" s="899">
        <f t="shared" si="67"/>
        <v>0</v>
      </c>
      <c r="G866" s="721"/>
      <c r="H866" s="899">
        <f>SUM(H$517)</f>
        <v>0</v>
      </c>
      <c r="I866" s="899">
        <f t="shared" ref="I866:K866" si="68">SUM(I$517)</f>
        <v>0</v>
      </c>
      <c r="J866" s="899">
        <f t="shared" si="68"/>
        <v>0</v>
      </c>
      <c r="K866" s="899">
        <f t="shared" si="68"/>
        <v>0</v>
      </c>
      <c r="L866" s="721"/>
      <c r="M866" s="899">
        <f>SUM(M$517)</f>
        <v>0</v>
      </c>
      <c r="N866" s="899">
        <f t="shared" ref="N866:P866" si="69">SUM(N$517)</f>
        <v>0</v>
      </c>
      <c r="O866" s="899">
        <f t="shared" si="69"/>
        <v>0</v>
      </c>
      <c r="P866" s="899">
        <f t="shared" si="69"/>
        <v>0</v>
      </c>
      <c r="Q866" s="1886" t="str">
        <f>$Q$519</f>
        <v>mns</v>
      </c>
      <c r="R866" s="27" t="str">
        <f t="shared" si="57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SUM(C$523)</f>
        <v>0</v>
      </c>
      <c r="D867" s="899">
        <f t="shared" ref="D867:F867" si="70">SUM(D$523)</f>
        <v>0</v>
      </c>
      <c r="E867" s="899">
        <f t="shared" si="70"/>
        <v>0</v>
      </c>
      <c r="F867" s="899">
        <f t="shared" si="70"/>
        <v>0</v>
      </c>
      <c r="G867" s="721"/>
      <c r="H867" s="899">
        <f>SUM(H$523)</f>
        <v>0</v>
      </c>
      <c r="I867" s="899">
        <f t="shared" ref="I867:K867" si="71">SUM(I$523)</f>
        <v>0</v>
      </c>
      <c r="J867" s="899">
        <f t="shared" si="71"/>
        <v>0</v>
      </c>
      <c r="K867" s="899">
        <f t="shared" si="71"/>
        <v>0</v>
      </c>
      <c r="L867" s="721"/>
      <c r="M867" s="899">
        <f>SUM(M$523)</f>
        <v>0</v>
      </c>
      <c r="N867" s="899">
        <f t="shared" ref="N867:P867" si="72">SUM(N$523)</f>
        <v>0</v>
      </c>
      <c r="O867" s="899">
        <f t="shared" si="72"/>
        <v>0</v>
      </c>
      <c r="P867" s="899">
        <f t="shared" si="72"/>
        <v>0</v>
      </c>
      <c r="Q867" s="1882" t="str">
        <f>$Q$525</f>
        <v>des</v>
      </c>
      <c r="R867" s="27" t="str">
        <f t="shared" si="57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SUM(C$529)</f>
        <v>0</v>
      </c>
      <c r="D868" s="899">
        <f t="shared" ref="D868:F868" si="73">SUM(D$529)</f>
        <v>0</v>
      </c>
      <c r="E868" s="899">
        <f t="shared" si="73"/>
        <v>0</v>
      </c>
      <c r="F868" s="899">
        <f t="shared" si="73"/>
        <v>0</v>
      </c>
      <c r="G868" s="721"/>
      <c r="H868" s="899">
        <f>SUM(H$529)</f>
        <v>0</v>
      </c>
      <c r="I868" s="899">
        <f t="shared" ref="I868:K868" si="74">SUM(I$529)</f>
        <v>0</v>
      </c>
      <c r="J868" s="899">
        <f t="shared" si="74"/>
        <v>0</v>
      </c>
      <c r="K868" s="899">
        <f t="shared" si="74"/>
        <v>0</v>
      </c>
      <c r="L868" s="721"/>
      <c r="M868" s="899">
        <f>SUM(M$529)</f>
        <v>0</v>
      </c>
      <c r="N868" s="899">
        <f t="shared" ref="N868:P868" si="75">SUM(N$529)</f>
        <v>0</v>
      </c>
      <c r="O868" s="899">
        <f t="shared" si="75"/>
        <v>0</v>
      </c>
      <c r="P868" s="899">
        <f t="shared" si="75"/>
        <v>0</v>
      </c>
      <c r="Q868" s="1882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SUM(C$535)</f>
        <v>0</v>
      </c>
      <c r="D869" s="899">
        <f t="shared" ref="D869:F869" si="76">SUM(D$535)</f>
        <v>0</v>
      </c>
      <c r="E869" s="899">
        <f t="shared" si="76"/>
        <v>0</v>
      </c>
      <c r="F869" s="899">
        <f t="shared" si="76"/>
        <v>0</v>
      </c>
      <c r="G869" s="721"/>
      <c r="H869" s="899">
        <f>SUM(H$535)</f>
        <v>0</v>
      </c>
      <c r="I869" s="899">
        <f t="shared" ref="I869:K869" si="77">SUM(I$535)</f>
        <v>0</v>
      </c>
      <c r="J869" s="899">
        <f t="shared" si="77"/>
        <v>0</v>
      </c>
      <c r="K869" s="899">
        <f t="shared" si="77"/>
        <v>0</v>
      </c>
      <c r="L869" s="721"/>
      <c r="M869" s="899">
        <f>SUM(M$535)</f>
        <v>0</v>
      </c>
      <c r="N869" s="899">
        <f t="shared" ref="N869:P869" si="78">SUM(N$535)</f>
        <v>0</v>
      </c>
      <c r="O869" s="899">
        <f t="shared" si="78"/>
        <v>0</v>
      </c>
      <c r="P869" s="899">
        <f t="shared" si="78"/>
        <v>0</v>
      </c>
      <c r="Q869" s="1882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SUM(C$541)</f>
        <v>0</v>
      </c>
      <c r="D870" s="899">
        <f t="shared" ref="D870:F870" si="79">SUM(D$541)</f>
        <v>0</v>
      </c>
      <c r="E870" s="899">
        <f t="shared" si="79"/>
        <v>0</v>
      </c>
      <c r="F870" s="899">
        <f t="shared" si="79"/>
        <v>0</v>
      </c>
      <c r="G870" s="721"/>
      <c r="H870" s="899">
        <f>SUM(H$541)</f>
        <v>0</v>
      </c>
      <c r="I870" s="899">
        <f t="shared" ref="I870:K870" si="80">SUM(I$541)</f>
        <v>0</v>
      </c>
      <c r="J870" s="899">
        <f t="shared" si="80"/>
        <v>0</v>
      </c>
      <c r="K870" s="899">
        <f t="shared" si="80"/>
        <v>0</v>
      </c>
      <c r="L870" s="721"/>
      <c r="M870" s="899">
        <f>SUM(M$541)</f>
        <v>0</v>
      </c>
      <c r="N870" s="899">
        <f t="shared" ref="N870:P870" si="81">SUM(N$541)</f>
        <v>0</v>
      </c>
      <c r="O870" s="899">
        <f t="shared" si="81"/>
        <v>0</v>
      </c>
      <c r="P870" s="899">
        <f t="shared" si="81"/>
        <v>0</v>
      </c>
      <c r="Q870" s="1882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SUM(C$547)</f>
        <v>0</v>
      </c>
      <c r="D871" s="899">
        <f t="shared" ref="D871:F871" si="82">SUM(D$547)</f>
        <v>0</v>
      </c>
      <c r="E871" s="899">
        <f t="shared" si="82"/>
        <v>0</v>
      </c>
      <c r="F871" s="899">
        <f t="shared" si="82"/>
        <v>0</v>
      </c>
      <c r="G871" s="721"/>
      <c r="H871" s="899">
        <f>SUM(H$547)</f>
        <v>0</v>
      </c>
      <c r="I871" s="899">
        <f t="shared" ref="I871:K871" si="83">SUM(I$547)</f>
        <v>0</v>
      </c>
      <c r="J871" s="899">
        <f t="shared" si="83"/>
        <v>0</v>
      </c>
      <c r="K871" s="899">
        <f t="shared" si="83"/>
        <v>0</v>
      </c>
      <c r="L871" s="721"/>
      <c r="M871" s="899">
        <f>SUM(M$547)</f>
        <v>0</v>
      </c>
      <c r="N871" s="899">
        <f t="shared" ref="N871:P871" si="84">SUM(N$547)</f>
        <v>0</v>
      </c>
      <c r="O871" s="899">
        <f t="shared" si="84"/>
        <v>0</v>
      </c>
      <c r="P871" s="899">
        <f t="shared" si="84"/>
        <v>0</v>
      </c>
      <c r="Q871" s="1885" t="str">
        <f>$Q$549</f>
        <v>other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SUM(C$553)</f>
        <v>0</v>
      </c>
      <c r="D872" s="899">
        <f t="shared" ref="D872:F872" si="85">SUM(D$553)</f>
        <v>0</v>
      </c>
      <c r="E872" s="899">
        <f t="shared" si="85"/>
        <v>0</v>
      </c>
      <c r="F872" s="899">
        <f t="shared" si="85"/>
        <v>0</v>
      </c>
      <c r="G872" s="721"/>
      <c r="H872" s="899">
        <f>SUM(H$553)</f>
        <v>0</v>
      </c>
      <c r="I872" s="899">
        <f t="shared" ref="I872:K872" si="86">SUM(I$553)</f>
        <v>0</v>
      </c>
      <c r="J872" s="899">
        <f t="shared" si="86"/>
        <v>0</v>
      </c>
      <c r="K872" s="899">
        <f t="shared" si="86"/>
        <v>0</v>
      </c>
      <c r="L872" s="721"/>
      <c r="M872" s="899">
        <f>SUM(M$553)</f>
        <v>0</v>
      </c>
      <c r="N872" s="899">
        <f t="shared" ref="N872:P872" si="87">SUM(N$553)</f>
        <v>0</v>
      </c>
      <c r="O872" s="899">
        <f t="shared" si="87"/>
        <v>0</v>
      </c>
      <c r="P872" s="899">
        <f t="shared" si="87"/>
        <v>0</v>
      </c>
      <c r="Q872" s="1882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SUM(C$559)</f>
        <v>0</v>
      </c>
      <c r="D873" s="899">
        <f t="shared" ref="D873:F873" si="88">SUM(D$559)</f>
        <v>0</v>
      </c>
      <c r="E873" s="899">
        <f t="shared" si="88"/>
        <v>0</v>
      </c>
      <c r="F873" s="899">
        <f t="shared" si="88"/>
        <v>0</v>
      </c>
      <c r="G873" s="721"/>
      <c r="H873" s="899">
        <f>SUM(H$559)</f>
        <v>0</v>
      </c>
      <c r="I873" s="899">
        <f t="shared" ref="I873:K873" si="89">SUM(I$559)</f>
        <v>0</v>
      </c>
      <c r="J873" s="899">
        <f t="shared" si="89"/>
        <v>0</v>
      </c>
      <c r="K873" s="899">
        <f t="shared" si="89"/>
        <v>0</v>
      </c>
      <c r="L873" s="721"/>
      <c r="M873" s="899">
        <f>SUM(M$559)</f>
        <v>0</v>
      </c>
      <c r="N873" s="899">
        <f t="shared" ref="N873:P873" si="90">SUM(N$559)</f>
        <v>0</v>
      </c>
      <c r="O873" s="899">
        <f t="shared" si="90"/>
        <v>0</v>
      </c>
      <c r="P873" s="899">
        <f t="shared" si="90"/>
        <v>0</v>
      </c>
      <c r="Q873" s="1882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SUM(C$565)</f>
        <v>0</v>
      </c>
      <c r="D874" s="899">
        <f t="shared" ref="D874:F874" si="91">SUM(D$565)</f>
        <v>0</v>
      </c>
      <c r="E874" s="899">
        <f t="shared" si="91"/>
        <v>0</v>
      </c>
      <c r="F874" s="899">
        <f t="shared" si="91"/>
        <v>0</v>
      </c>
      <c r="G874" s="721"/>
      <c r="H874" s="899">
        <f>SUM(H$565)</f>
        <v>0</v>
      </c>
      <c r="I874" s="899">
        <f t="shared" ref="I874:K874" si="92">SUM(I$565)</f>
        <v>0</v>
      </c>
      <c r="J874" s="899">
        <f t="shared" si="92"/>
        <v>0</v>
      </c>
      <c r="K874" s="899">
        <f t="shared" si="92"/>
        <v>0</v>
      </c>
      <c r="L874" s="721"/>
      <c r="M874" s="899">
        <f>SUM(M$565)</f>
        <v>0</v>
      </c>
      <c r="N874" s="899">
        <f t="shared" ref="N874:P874" si="93">SUM(N$565)</f>
        <v>0</v>
      </c>
      <c r="O874" s="899">
        <f t="shared" si="93"/>
        <v>0</v>
      </c>
      <c r="P874" s="899">
        <f t="shared" si="93"/>
        <v>0</v>
      </c>
      <c r="Q874" s="1885" t="str">
        <f>$Q$567</f>
        <v>other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SUM(C$571)</f>
        <v>0</v>
      </c>
      <c r="D875" s="899">
        <f t="shared" ref="D875:F875" si="94">SUM(D$571)</f>
        <v>0</v>
      </c>
      <c r="E875" s="899">
        <f t="shared" si="94"/>
        <v>0</v>
      </c>
      <c r="F875" s="899">
        <f t="shared" si="94"/>
        <v>0</v>
      </c>
      <c r="G875" s="721"/>
      <c r="H875" s="899">
        <f>SUM(H$571)</f>
        <v>0</v>
      </c>
      <c r="I875" s="899">
        <f t="shared" ref="I875:K875" si="95">SUM(I$571)</f>
        <v>0</v>
      </c>
      <c r="J875" s="899">
        <f t="shared" si="95"/>
        <v>0</v>
      </c>
      <c r="K875" s="899">
        <f t="shared" si="95"/>
        <v>0</v>
      </c>
      <c r="L875" s="721"/>
      <c r="M875" s="899">
        <f>SUM(M$571)</f>
        <v>0</v>
      </c>
      <c r="N875" s="899">
        <f t="shared" ref="N875:P875" si="96">SUM(N$571)</f>
        <v>0</v>
      </c>
      <c r="O875" s="899">
        <f t="shared" si="96"/>
        <v>0</v>
      </c>
      <c r="P875" s="899">
        <f t="shared" si="96"/>
        <v>0</v>
      </c>
      <c r="Q875" s="1885" t="str">
        <f>$Q$573</f>
        <v>other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SUM(C$577)</f>
        <v>0</v>
      </c>
      <c r="D876" s="899">
        <f t="shared" ref="D876:F876" si="97">SUM(D$577)</f>
        <v>0</v>
      </c>
      <c r="E876" s="899">
        <f t="shared" si="97"/>
        <v>0</v>
      </c>
      <c r="F876" s="899">
        <f t="shared" si="97"/>
        <v>0</v>
      </c>
      <c r="G876" s="721"/>
      <c r="H876" s="899">
        <f>SUM(H$577)</f>
        <v>0</v>
      </c>
      <c r="I876" s="899">
        <f t="shared" ref="I876:K876" si="98">SUM(I$577)</f>
        <v>0</v>
      </c>
      <c r="J876" s="899">
        <f t="shared" si="98"/>
        <v>0</v>
      </c>
      <c r="K876" s="899">
        <f t="shared" si="98"/>
        <v>0</v>
      </c>
      <c r="L876" s="721"/>
      <c r="M876" s="899">
        <f>SUM(M$577)</f>
        <v>0</v>
      </c>
      <c r="N876" s="899">
        <f t="shared" ref="N876:P876" si="99">SUM(N$577)</f>
        <v>0</v>
      </c>
      <c r="O876" s="899">
        <f t="shared" si="99"/>
        <v>0</v>
      </c>
      <c r="P876" s="899">
        <f t="shared" si="99"/>
        <v>0</v>
      </c>
      <c r="Q876" s="1882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SUM(C$583)</f>
        <v>0</v>
      </c>
      <c r="D877" s="899">
        <f t="shared" ref="D877:F877" si="100">SUM(D$583)</f>
        <v>0</v>
      </c>
      <c r="E877" s="899">
        <f t="shared" si="100"/>
        <v>0</v>
      </c>
      <c r="F877" s="899">
        <f t="shared" si="100"/>
        <v>0</v>
      </c>
      <c r="G877" s="721"/>
      <c r="H877" s="899">
        <f>SUM(H$583)</f>
        <v>0</v>
      </c>
      <c r="I877" s="899">
        <f t="shared" ref="I877:K877" si="101">SUM(I$583)</f>
        <v>0</v>
      </c>
      <c r="J877" s="899">
        <f t="shared" si="101"/>
        <v>0</v>
      </c>
      <c r="K877" s="899">
        <f t="shared" si="101"/>
        <v>0</v>
      </c>
      <c r="L877" s="721"/>
      <c r="M877" s="899">
        <f>SUM(M$583)</f>
        <v>0</v>
      </c>
      <c r="N877" s="899">
        <f t="shared" ref="N877:P877" si="102">SUM(N$583)</f>
        <v>0</v>
      </c>
      <c r="O877" s="899">
        <f t="shared" si="102"/>
        <v>0</v>
      </c>
      <c r="P877" s="899">
        <f t="shared" si="102"/>
        <v>0</v>
      </c>
      <c r="Q877" s="1882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SUM(C$589)</f>
        <v>0</v>
      </c>
      <c r="D878" s="899">
        <f t="shared" ref="D878:F878" si="103">SUM(D$589)</f>
        <v>0</v>
      </c>
      <c r="E878" s="899">
        <f t="shared" si="103"/>
        <v>0</v>
      </c>
      <c r="F878" s="899">
        <f t="shared" si="103"/>
        <v>0</v>
      </c>
      <c r="G878" s="721"/>
      <c r="H878" s="899">
        <f>SUM(H$589)</f>
        <v>0</v>
      </c>
      <c r="I878" s="899">
        <f t="shared" ref="I878:K878" si="104">SUM(I$589)</f>
        <v>0</v>
      </c>
      <c r="J878" s="899">
        <f t="shared" si="104"/>
        <v>0</v>
      </c>
      <c r="K878" s="899">
        <f t="shared" si="104"/>
        <v>0</v>
      </c>
      <c r="L878" s="721"/>
      <c r="M878" s="899">
        <f>SUM(M$589)</f>
        <v>0</v>
      </c>
      <c r="N878" s="899">
        <f t="shared" ref="N878:P878" si="105">SUM(N$589)</f>
        <v>0</v>
      </c>
      <c r="O878" s="899">
        <f t="shared" si="105"/>
        <v>0</v>
      </c>
      <c r="P878" s="899">
        <f t="shared" si="105"/>
        <v>0</v>
      </c>
      <c r="Q878" s="1882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SUM(C$596)</f>
        <v>0</v>
      </c>
      <c r="D879" s="899">
        <f t="shared" ref="D879:F879" si="106">SUM(D$596)</f>
        <v>0</v>
      </c>
      <c r="E879" s="899">
        <f t="shared" si="106"/>
        <v>0</v>
      </c>
      <c r="F879" s="899">
        <f t="shared" si="106"/>
        <v>0</v>
      </c>
      <c r="G879" s="721"/>
      <c r="H879" s="899">
        <f>SUM(H$596)</f>
        <v>0</v>
      </c>
      <c r="I879" s="899">
        <f t="shared" ref="I879:K879" si="107">SUM(I$596)</f>
        <v>0</v>
      </c>
      <c r="J879" s="899">
        <f t="shared" si="107"/>
        <v>0</v>
      </c>
      <c r="K879" s="899">
        <f t="shared" si="107"/>
        <v>0</v>
      </c>
      <c r="L879" s="721"/>
      <c r="M879" s="899">
        <f>SUM(M$596)</f>
        <v>0</v>
      </c>
      <c r="N879" s="899">
        <f t="shared" ref="N879:P879" si="108">SUM(N$596)</f>
        <v>0</v>
      </c>
      <c r="O879" s="899">
        <f t="shared" si="108"/>
        <v>0</v>
      </c>
      <c r="P879" s="899">
        <f t="shared" si="108"/>
        <v>0</v>
      </c>
      <c r="Q879" s="1882" t="str">
        <f>$Q$598</f>
        <v>des</v>
      </c>
      <c r="R879" s="27" t="str">
        <f t="shared" si="57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SUM(C$602)</f>
        <v>0</v>
      </c>
      <c r="D880" s="899">
        <f t="shared" ref="D880:F880" si="109">SUM(D$602)</f>
        <v>0</v>
      </c>
      <c r="E880" s="899">
        <f t="shared" si="109"/>
        <v>0</v>
      </c>
      <c r="F880" s="899">
        <f t="shared" si="109"/>
        <v>0</v>
      </c>
      <c r="G880" s="721"/>
      <c r="H880" s="899">
        <f>SUM(H$602)</f>
        <v>0</v>
      </c>
      <c r="I880" s="899">
        <f t="shared" ref="I880:K880" si="110">SUM(I$602)</f>
        <v>0</v>
      </c>
      <c r="J880" s="899">
        <f t="shared" si="110"/>
        <v>0</v>
      </c>
      <c r="K880" s="899">
        <f t="shared" si="110"/>
        <v>0</v>
      </c>
      <c r="L880" s="721"/>
      <c r="M880" s="899">
        <f>SUM(M$602)</f>
        <v>0</v>
      </c>
      <c r="N880" s="899">
        <f t="shared" ref="N880:P880" si="111">SUM(N$602)</f>
        <v>0</v>
      </c>
      <c r="O880" s="899">
        <f t="shared" si="111"/>
        <v>0</v>
      </c>
      <c r="P880" s="899">
        <f t="shared" si="111"/>
        <v>0</v>
      </c>
      <c r="Q880" s="1882" t="str">
        <f>$Q$604</f>
        <v>des</v>
      </c>
      <c r="R880" s="27" t="str">
        <f t="shared" si="57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SUM(C$608)</f>
        <v>0</v>
      </c>
      <c r="D881" s="899">
        <f t="shared" ref="D881:F881" si="112">SUM(D$608)</f>
        <v>0</v>
      </c>
      <c r="E881" s="899">
        <f t="shared" si="112"/>
        <v>0</v>
      </c>
      <c r="F881" s="899">
        <f t="shared" si="112"/>
        <v>0</v>
      </c>
      <c r="G881" s="721"/>
      <c r="H881" s="899">
        <f>SUM(H$608)</f>
        <v>0</v>
      </c>
      <c r="I881" s="899">
        <f t="shared" ref="I881:K881" si="113">SUM(I$608)</f>
        <v>0</v>
      </c>
      <c r="J881" s="899">
        <f t="shared" si="113"/>
        <v>0</v>
      </c>
      <c r="K881" s="899">
        <f t="shared" si="113"/>
        <v>0</v>
      </c>
      <c r="L881" s="721"/>
      <c r="M881" s="899">
        <f>SUM(M$608)</f>
        <v>0</v>
      </c>
      <c r="N881" s="899">
        <f t="shared" ref="N881:P881" si="114">SUM(N$608)</f>
        <v>0</v>
      </c>
      <c r="O881" s="899">
        <f t="shared" si="114"/>
        <v>0</v>
      </c>
      <c r="P881" s="899">
        <f t="shared" si="114"/>
        <v>0</v>
      </c>
      <c r="Q881" s="1886" t="str">
        <f>$Q$610</f>
        <v>mns</v>
      </c>
      <c r="R881" s="27" t="str">
        <f t="shared" si="57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SUM(C$614)</f>
        <v>0</v>
      </c>
      <c r="D882" s="899">
        <f t="shared" ref="D882:F882" si="115">SUM(D$614)</f>
        <v>0</v>
      </c>
      <c r="E882" s="899">
        <f t="shared" si="115"/>
        <v>0</v>
      </c>
      <c r="F882" s="899">
        <f t="shared" si="115"/>
        <v>0</v>
      </c>
      <c r="G882" s="721"/>
      <c r="H882" s="899">
        <f>SUM(H$614)</f>
        <v>0</v>
      </c>
      <c r="I882" s="899">
        <f t="shared" ref="I882:K882" si="116">SUM(I$614)</f>
        <v>0</v>
      </c>
      <c r="J882" s="899">
        <f t="shared" si="116"/>
        <v>0</v>
      </c>
      <c r="K882" s="899">
        <f t="shared" si="116"/>
        <v>0</v>
      </c>
      <c r="L882" s="721"/>
      <c r="M882" s="899">
        <f>SUM(M$614)</f>
        <v>0</v>
      </c>
      <c r="N882" s="899">
        <f t="shared" ref="N882:P882" si="117">SUM(N$614)</f>
        <v>0</v>
      </c>
      <c r="O882" s="899">
        <f t="shared" si="117"/>
        <v>0</v>
      </c>
      <c r="P882" s="899">
        <f t="shared" si="117"/>
        <v>0</v>
      </c>
      <c r="Q882" s="1886" t="str">
        <f>$Q$616</f>
        <v>mns</v>
      </c>
      <c r="R882" s="27" t="str">
        <f t="shared" si="57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SUM(C$620)</f>
        <v>0</v>
      </c>
      <c r="D883" s="899">
        <f t="shared" ref="D883:F883" si="118">SUM(D$620)</f>
        <v>0</v>
      </c>
      <c r="E883" s="899">
        <f t="shared" si="118"/>
        <v>0</v>
      </c>
      <c r="F883" s="899">
        <f t="shared" si="118"/>
        <v>0</v>
      </c>
      <c r="G883" s="721"/>
      <c r="H883" s="899">
        <f>SUM(H$620)</f>
        <v>0</v>
      </c>
      <c r="I883" s="899">
        <f t="shared" ref="I883:K883" si="119">SUM(I$620)</f>
        <v>0</v>
      </c>
      <c r="J883" s="899">
        <f t="shared" si="119"/>
        <v>0</v>
      </c>
      <c r="K883" s="899">
        <f t="shared" si="119"/>
        <v>0</v>
      </c>
      <c r="L883" s="721"/>
      <c r="M883" s="899">
        <f>SUM(M$620)</f>
        <v>0</v>
      </c>
      <c r="N883" s="899">
        <f t="shared" ref="N883:P883" si="120">SUM(N$620)</f>
        <v>0</v>
      </c>
      <c r="O883" s="899">
        <f t="shared" si="120"/>
        <v>0</v>
      </c>
      <c r="P883" s="899">
        <f t="shared" si="120"/>
        <v>0</v>
      </c>
      <c r="Q883" s="1882" t="str">
        <f>$Q$622</f>
        <v>des</v>
      </c>
      <c r="R883" s="27" t="str">
        <f t="shared" si="57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SUM(C$626)</f>
        <v>0</v>
      </c>
      <c r="D884" s="899">
        <f t="shared" ref="D884:F884" si="121">SUM(D$626)</f>
        <v>0</v>
      </c>
      <c r="E884" s="899">
        <f t="shared" si="121"/>
        <v>0</v>
      </c>
      <c r="F884" s="899">
        <f t="shared" si="121"/>
        <v>0</v>
      </c>
      <c r="G884" s="721"/>
      <c r="H884" s="899">
        <f>SUM(H$626)</f>
        <v>0</v>
      </c>
      <c r="I884" s="899">
        <f t="shared" ref="I884:K884" si="122">SUM(I$626)</f>
        <v>0</v>
      </c>
      <c r="J884" s="899">
        <f t="shared" si="122"/>
        <v>0</v>
      </c>
      <c r="K884" s="899">
        <f t="shared" si="122"/>
        <v>0</v>
      </c>
      <c r="L884" s="721"/>
      <c r="M884" s="899">
        <f>SUM(M$626)</f>
        <v>0</v>
      </c>
      <c r="N884" s="899">
        <f t="shared" ref="N884:P884" si="123">SUM(N$626)</f>
        <v>0</v>
      </c>
      <c r="O884" s="899">
        <f t="shared" si="123"/>
        <v>0</v>
      </c>
      <c r="P884" s="899">
        <f t="shared" si="123"/>
        <v>0</v>
      </c>
      <c r="Q884" s="1882" t="str">
        <f>$Q$628</f>
        <v>des</v>
      </c>
      <c r="R884" s="27" t="str">
        <f t="shared" si="57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SUM(C$632)</f>
        <v>0</v>
      </c>
      <c r="D885" s="899">
        <f t="shared" ref="D885:F885" si="124">SUM(D$632)</f>
        <v>0</v>
      </c>
      <c r="E885" s="899">
        <f t="shared" si="124"/>
        <v>0</v>
      </c>
      <c r="F885" s="899">
        <f t="shared" si="124"/>
        <v>0</v>
      </c>
      <c r="G885" s="721"/>
      <c r="H885" s="899">
        <f>SUM(H$632)</f>
        <v>0</v>
      </c>
      <c r="I885" s="899">
        <f t="shared" ref="I885:K885" si="125">SUM(I$632)</f>
        <v>0</v>
      </c>
      <c r="J885" s="899">
        <f t="shared" si="125"/>
        <v>0</v>
      </c>
      <c r="K885" s="899">
        <f t="shared" si="125"/>
        <v>0</v>
      </c>
      <c r="L885" s="721"/>
      <c r="M885" s="899">
        <f>SUM(M$632)</f>
        <v>0</v>
      </c>
      <c r="N885" s="899">
        <f t="shared" ref="N885:P885" si="126">SUM(N$632)</f>
        <v>0</v>
      </c>
      <c r="O885" s="899">
        <f t="shared" si="126"/>
        <v>0</v>
      </c>
      <c r="P885" s="899">
        <f t="shared" si="126"/>
        <v>0</v>
      </c>
      <c r="Q885" s="1882" t="str">
        <f>$Q$634</f>
        <v>des</v>
      </c>
      <c r="R885" s="27" t="str">
        <f t="shared" si="57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SUM(C$639)</f>
        <v>0</v>
      </c>
      <c r="D886" s="899">
        <f t="shared" ref="D886:F886" si="127">SUM(D$639)</f>
        <v>0</v>
      </c>
      <c r="E886" s="899">
        <f t="shared" si="127"/>
        <v>0</v>
      </c>
      <c r="F886" s="899">
        <f t="shared" si="127"/>
        <v>0</v>
      </c>
      <c r="G886" s="721"/>
      <c r="H886" s="899">
        <f>SUM(H$639)</f>
        <v>0</v>
      </c>
      <c r="I886" s="899">
        <f t="shared" ref="I886:K886" si="128">SUM(I$639)</f>
        <v>0</v>
      </c>
      <c r="J886" s="899">
        <f t="shared" si="128"/>
        <v>0</v>
      </c>
      <c r="K886" s="899">
        <f t="shared" si="128"/>
        <v>0</v>
      </c>
      <c r="L886" s="721"/>
      <c r="M886" s="899">
        <f>SUM(M$639)</f>
        <v>0</v>
      </c>
      <c r="N886" s="899">
        <f t="shared" ref="N886:P886" si="129">SUM(N$639)</f>
        <v>0</v>
      </c>
      <c r="O886" s="899">
        <f t="shared" si="129"/>
        <v>0</v>
      </c>
      <c r="P886" s="899">
        <f t="shared" si="129"/>
        <v>0</v>
      </c>
      <c r="Q886" s="1885" t="str">
        <f>$Q$641</f>
        <v>other</v>
      </c>
      <c r="R886" s="27" t="str">
        <f t="shared" si="57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7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>
        <f>IF(MAX(C895:F895,H895:K895)&gt;0,S856+1,S856)</f>
        <v>0</v>
      </c>
      <c r="T895" s="29" t="str">
        <f>IF(S895&gt;S856,S895,"")</f>
        <v/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>
        <f>IF(MAX(C896:F896,H896:K896)&gt;0,S895+1,S895)</f>
        <v>0</v>
      </c>
      <c r="T896" s="29" t="str">
        <f>IF(S896&gt;S895,S896,"")</f>
        <v/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>
        <f>IF(MAX(C897:F897,H897:K897)&gt;0,S896+1,S896)</f>
        <v>0</v>
      </c>
      <c r="T897" s="29" t="str">
        <f>IF(S897&gt;S896,S897,"")</f>
        <v/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 t="e">
        <f>SUM($M$819:$M$898)</f>
        <v>#VALUE!</v>
      </c>
      <c r="N899" s="899" t="e">
        <f>SUM($N$819:$N$898)</f>
        <v>#VALUE!</v>
      </c>
      <c r="O899" s="899" t="e">
        <f>SUM($O$819:$O$898)</f>
        <v>#VALUE!</v>
      </c>
      <c r="P899" s="899" t="e">
        <f>SUM($P$819:$P$898)</f>
        <v>#VALUE!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2" t="e">
        <f>SUMPRODUCT(C858:C886,$S858:$S886)</f>
        <v>#VALUE!</v>
      </c>
      <c r="D900" s="982" t="e">
        <f>SUMPRODUCT(D858:D886,$S858:$S886)</f>
        <v>#VALUE!</v>
      </c>
      <c r="E900" s="982" t="e">
        <f>SUMPRODUCT(E858:E886,$S858:$S886)</f>
        <v>#VALUE!</v>
      </c>
      <c r="F900" s="982" t="e">
        <f>SUMPRODUCT(F858:F886,$S858:$S886)</f>
        <v>#VALUE!</v>
      </c>
      <c r="G900" s="721"/>
      <c r="H900" s="982">
        <f>SUMPRODUCT(H858:H886,$S858:$S886)</f>
        <v>0</v>
      </c>
      <c r="I900" s="982">
        <f>SUMPRODUCT(I858:I886,$S858:$S886)</f>
        <v>0</v>
      </c>
      <c r="J900" s="982">
        <f>SUMPRODUCT(J858:J886,$S858:$S886)</f>
        <v>0</v>
      </c>
      <c r="K900" s="982">
        <f>SUMPRODUCT(K858:K886,$S858:$S886)</f>
        <v>0</v>
      </c>
      <c r="L900" s="721"/>
      <c r="M900" s="982" t="e">
        <f>SUMPRODUCT(M858:M886,$S858:$S886)</f>
        <v>#VALUE!</v>
      </c>
      <c r="N900" s="982" t="e">
        <f>SUMPRODUCT(N858:N886,$S858:$S886)</f>
        <v>#VALUE!</v>
      </c>
      <c r="O900" s="982" t="e">
        <f>SUMPRODUCT(O858:O886,$S858:$S886)</f>
        <v>#VALUE!</v>
      </c>
      <c r="P900" s="982" t="e">
        <f>SUMPRODUCT(P858:P886,$S858:$S886)</f>
        <v>#VALUE!</v>
      </c>
      <c r="R900" s="27"/>
      <c r="S900" s="29"/>
      <c r="T900" s="29"/>
      <c r="U900" s="829">
        <v>901</v>
      </c>
      <c r="V900" s="29"/>
    </row>
    <row r="901" spans="1:22" ht="15.75" customHeight="1">
      <c r="A901" s="1164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5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3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9">
        <v>906</v>
      </c>
      <c r="V905" s="29"/>
    </row>
    <row r="906" spans="1:22" ht="15.75" customHeight="1">
      <c r="A906" s="1163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131"/>
        <v>0</v>
      </c>
      <c r="T906" s="29" t="str">
        <f t="shared" si="130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131"/>
        <v>0</v>
      </c>
      <c r="T907" s="29" t="str">
        <f t="shared" si="130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131"/>
        <v>0</v>
      </c>
      <c r="T908" s="29" t="str">
        <f t="shared" si="130"/>
        <v/>
      </c>
      <c r="U908" s="829">
        <v>909</v>
      </c>
      <c r="V908" s="29"/>
    </row>
    <row r="909" spans="1:22" ht="15.75" customHeight="1">
      <c r="A909" s="1163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131"/>
        <v>0</v>
      </c>
      <c r="T909" s="29" t="str">
        <f t="shared" si="130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131"/>
        <v>0</v>
      </c>
      <c r="T910" s="29" t="str">
        <f t="shared" si="130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131"/>
        <v>0</v>
      </c>
      <c r="T911" s="29" t="str">
        <f t="shared" si="130"/>
        <v/>
      </c>
      <c r="U911" s="829">
        <v>912</v>
      </c>
      <c r="V911" s="29"/>
    </row>
    <row r="912" spans="1:22" ht="15.75" customHeight="1">
      <c r="A912" s="1163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131"/>
        <v>0</v>
      </c>
      <c r="T912" s="29" t="str">
        <f t="shared" si="130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131"/>
        <v>0</v>
      </c>
      <c r="T913" s="29" t="str">
        <f t="shared" si="130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131"/>
        <v>0</v>
      </c>
      <c r="T914" s="29" t="str">
        <f t="shared" si="130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131"/>
        <v>0</v>
      </c>
      <c r="T915" s="29" t="str">
        <f t="shared" si="130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131"/>
        <v>0</v>
      </c>
      <c r="T916" s="29" t="str">
        <f t="shared" si="130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131"/>
        <v>0</v>
      </c>
      <c r="T917" s="29" t="str">
        <f t="shared" si="130"/>
        <v/>
      </c>
      <c r="U917" s="829">
        <v>918</v>
      </c>
      <c r="V917" s="29"/>
    </row>
    <row r="918" spans="1:22" ht="15.75" customHeight="1">
      <c r="A918" s="985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131"/>
        <v>0</v>
      </c>
      <c r="T918" s="29" t="str">
        <f t="shared" si="130"/>
        <v/>
      </c>
      <c r="U918" s="829">
        <v>919</v>
      </c>
      <c r="V918" s="29"/>
    </row>
    <row r="919" spans="1:22" ht="15.75" customHeight="1">
      <c r="A919" s="1163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131"/>
        <v>0</v>
      </c>
      <c r="T919" s="29" t="str">
        <f t="shared" si="130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131"/>
        <v>0</v>
      </c>
      <c r="T920" s="29" t="str">
        <f t="shared" si="130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131"/>
        <v>0</v>
      </c>
      <c r="T921" s="29" t="str">
        <f t="shared" si="130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131"/>
        <v>0</v>
      </c>
      <c r="T922" s="29" t="str">
        <f t="shared" si="130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131"/>
        <v>0</v>
      </c>
      <c r="T923" s="29" t="str">
        <f t="shared" si="130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131"/>
        <v>0</v>
      </c>
      <c r="T924" s="29" t="str">
        <f t="shared" si="130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131"/>
        <v>0</v>
      </c>
      <c r="T925" s="29" t="str">
        <f t="shared" si="130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131"/>
        <v>0</v>
      </c>
      <c r="T926" s="29" t="str">
        <f t="shared" si="130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131"/>
        <v>0</v>
      </c>
      <c r="T927" s="29" t="str">
        <f t="shared" si="130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131"/>
        <v>0</v>
      </c>
      <c r="T928" s="29" t="str">
        <f t="shared" si="130"/>
        <v/>
      </c>
      <c r="U928" s="829">
        <v>929</v>
      </c>
      <c r="V928" s="29"/>
    </row>
    <row r="929" spans="1:22" ht="15.75" customHeight="1">
      <c r="A929" s="985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131"/>
        <v>0</v>
      </c>
      <c r="T929" s="29" t="str">
        <f t="shared" si="130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131"/>
        <v>0</v>
      </c>
      <c r="T930" s="29" t="str">
        <f t="shared" si="130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131"/>
        <v>0</v>
      </c>
      <c r="T931" s="29" t="str">
        <f t="shared" si="130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131"/>
        <v>0</v>
      </c>
      <c r="T932" s="29" t="str">
        <f t="shared" si="130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131"/>
        <v>0</v>
      </c>
      <c r="T933" s="29" t="str">
        <f t="shared" si="130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131"/>
        <v>0</v>
      </c>
      <c r="T934" s="29" t="str">
        <f t="shared" si="130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131"/>
        <v>0</v>
      </c>
      <c r="T935" s="29" t="str">
        <f t="shared" si="130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131"/>
        <v>0</v>
      </c>
      <c r="T936" s="29" t="str">
        <f t="shared" si="130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131"/>
        <v>0</v>
      </c>
      <c r="T937" s="29" t="str">
        <f t="shared" si="130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131"/>
        <v>0</v>
      </c>
      <c r="T938" s="29" t="str">
        <f t="shared" si="130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131"/>
        <v>0</v>
      </c>
      <c r="T939" s="29" t="str">
        <f t="shared" si="130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131"/>
        <v>0</v>
      </c>
      <c r="T940" s="29" t="str">
        <f t="shared" si="130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131"/>
        <v>0</v>
      </c>
      <c r="T941" s="29" t="str">
        <f t="shared" si="130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131"/>
        <v>0</v>
      </c>
      <c r="T942" s="29" t="str">
        <f t="shared" si="130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131"/>
        <v>0</v>
      </c>
      <c r="T943" s="29" t="str">
        <f t="shared" si="130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131"/>
        <v>0</v>
      </c>
      <c r="T944" s="29" t="str">
        <f t="shared" si="130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131"/>
        <v>0</v>
      </c>
      <c r="T945" s="29" t="str">
        <f t="shared" si="130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131"/>
        <v>0</v>
      </c>
      <c r="T946" s="29" t="str">
        <f t="shared" si="130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131"/>
        <v>0</v>
      </c>
      <c r="T947" s="29" t="str">
        <f t="shared" si="130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131"/>
        <v>0</v>
      </c>
      <c r="T948" s="29" t="str">
        <f t="shared" si="130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131"/>
        <v>0</v>
      </c>
      <c r="T949" s="29" t="str">
        <f t="shared" si="130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131"/>
        <v>0</v>
      </c>
      <c r="T950" s="29" t="str">
        <f t="shared" si="130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131"/>
        <v>0</v>
      </c>
      <c r="T951" s="29" t="str">
        <f t="shared" si="130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131"/>
        <v>0</v>
      </c>
      <c r="T952" s="29" t="str">
        <f t="shared" si="130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131"/>
        <v>0</v>
      </c>
      <c r="T953" s="29" t="str">
        <f t="shared" si="130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131"/>
        <v>0</v>
      </c>
      <c r="T954" s="29" t="str">
        <f t="shared" si="130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131"/>
        <v>0</v>
      </c>
      <c r="T955" s="29" t="str">
        <f t="shared" si="130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131"/>
        <v>0</v>
      </c>
      <c r="T956" s="29" t="str">
        <f t="shared" si="130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131"/>
        <v>0</v>
      </c>
      <c r="T957" s="29" t="str">
        <f t="shared" si="130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131"/>
        <v>0</v>
      </c>
      <c r="T958" s="29" t="str">
        <f t="shared" si="130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131"/>
        <v>0</v>
      </c>
      <c r="T959" s="29" t="str">
        <f t="shared" si="130"/>
        <v/>
      </c>
      <c r="U959" s="829">
        <v>960</v>
      </c>
      <c r="V959" s="29"/>
    </row>
    <row r="960" spans="1:22" ht="15.75" customHeight="1">
      <c r="A960" s="1164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131"/>
        <v>0</v>
      </c>
      <c r="T960" s="29" t="str">
        <f t="shared" si="130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5"/>
      <c r="C961" s="1167">
        <f>C434</f>
        <v>0</v>
      </c>
      <c r="D961" s="1167">
        <f>D434</f>
        <v>0</v>
      </c>
      <c r="E961" s="1167">
        <f>E434</f>
        <v>0</v>
      </c>
      <c r="F961" s="1167">
        <f>F434</f>
        <v>0</v>
      </c>
      <c r="G961" s="1166"/>
      <c r="H961" s="1167">
        <f>H434</f>
        <v>0</v>
      </c>
      <c r="I961" s="1167">
        <f>I434</f>
        <v>0</v>
      </c>
      <c r="J961" s="1167">
        <f>J434</f>
        <v>0</v>
      </c>
      <c r="K961" s="1167">
        <f>K434</f>
        <v>0</v>
      </c>
      <c r="L961" s="1166"/>
      <c r="M961" s="1167">
        <f>M434</f>
        <v>0</v>
      </c>
      <c r="N961" s="1167">
        <f>N434</f>
        <v>0</v>
      </c>
      <c r="O961" s="1167">
        <f>O434</f>
        <v>0</v>
      </c>
      <c r="P961" s="1167">
        <f>P434</f>
        <v>0</v>
      </c>
      <c r="R961" s="27">
        <v>27</v>
      </c>
      <c r="S961" s="29">
        <f t="shared" si="131"/>
        <v>0</v>
      </c>
      <c r="T961" s="29" t="str">
        <f t="shared" si="130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5"/>
      <c r="C962" s="1168">
        <f>C444</f>
        <v>0</v>
      </c>
      <c r="D962" s="1168">
        <f>D444</f>
        <v>0</v>
      </c>
      <c r="E962" s="1168">
        <f>E444</f>
        <v>0</v>
      </c>
      <c r="F962" s="1168">
        <f>F444</f>
        <v>0</v>
      </c>
      <c r="G962" s="1166"/>
      <c r="H962" s="1168">
        <f>H444</f>
        <v>0</v>
      </c>
      <c r="I962" s="1168">
        <f>I444</f>
        <v>0</v>
      </c>
      <c r="J962" s="1168">
        <f>J444</f>
        <v>0</v>
      </c>
      <c r="K962" s="1168">
        <f>K444</f>
        <v>0</v>
      </c>
      <c r="L962" s="1166"/>
      <c r="M962" s="1168">
        <f>M444</f>
        <v>0</v>
      </c>
      <c r="N962" s="1168">
        <f>N444</f>
        <v>0</v>
      </c>
      <c r="O962" s="1168">
        <f>O444</f>
        <v>0</v>
      </c>
      <c r="P962" s="1168">
        <f>P444</f>
        <v>0</v>
      </c>
      <c r="R962" s="27">
        <v>28</v>
      </c>
      <c r="S962" s="29">
        <f t="shared" si="131"/>
        <v>0</v>
      </c>
      <c r="T962" s="29" t="str">
        <f t="shared" si="130"/>
        <v/>
      </c>
      <c r="U962" s="829">
        <v>963</v>
      </c>
      <c r="V962" s="29"/>
    </row>
    <row r="963" spans="1:22" ht="15.75" customHeight="1">
      <c r="A963" s="985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131"/>
        <v>0</v>
      </c>
      <c r="T963" s="29" t="str">
        <f t="shared" si="130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131"/>
        <v>0</v>
      </c>
      <c r="T964" s="29" t="str">
        <f t="shared" si="130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131"/>
        <v>0</v>
      </c>
      <c r="T965" s="29" t="str">
        <f t="shared" si="130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131"/>
        <v>0</v>
      </c>
      <c r="T966" s="29" t="str">
        <f t="shared" si="130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131"/>
        <v>0</v>
      </c>
      <c r="T967" s="29" t="str">
        <f t="shared" ref="T967:T982" si="132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133">IF(MAX(C968:F968,H968:K968)&gt;0,S967+1,S967)</f>
        <v>0</v>
      </c>
      <c r="T968" s="29" t="str">
        <f t="shared" si="132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133"/>
        <v>0</v>
      </c>
      <c r="T969" s="29" t="str">
        <f t="shared" si="132"/>
        <v/>
      </c>
      <c r="U969" s="829">
        <v>970</v>
      </c>
      <c r="V969" s="29"/>
    </row>
    <row r="970" spans="1:22" ht="15.75" customHeight="1">
      <c r="A970" s="985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133"/>
        <v>0</v>
      </c>
      <c r="T970" s="29" t="str">
        <f t="shared" si="132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133"/>
        <v>0</v>
      </c>
      <c r="T971" s="29" t="str">
        <f t="shared" si="132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133"/>
        <v>0</v>
      </c>
      <c r="T972" s="29" t="str">
        <f t="shared" si="132"/>
        <v/>
      </c>
      <c r="U972" s="829">
        <v>973</v>
      </c>
      <c r="V972" s="29"/>
    </row>
    <row r="973" spans="1:22" ht="15.75" customHeight="1">
      <c r="A973" s="985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133"/>
        <v>0</v>
      </c>
      <c r="T973" s="29" t="str">
        <f t="shared" si="132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133"/>
        <v>0</v>
      </c>
      <c r="T974" s="29" t="str">
        <f t="shared" si="132"/>
        <v/>
      </c>
      <c r="U974" s="829">
        <v>975</v>
      </c>
      <c r="V974" s="29"/>
    </row>
    <row r="975" spans="1:22" ht="15.75" customHeight="1">
      <c r="A975" s="1164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133"/>
        <v>0</v>
      </c>
      <c r="T975" s="29" t="str">
        <f t="shared" si="132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133"/>
        <v>0</v>
      </c>
      <c r="T976" s="29" t="str">
        <f t="shared" si="132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133"/>
        <v>0</v>
      </c>
      <c r="T977" s="29" t="str">
        <f t="shared" si="132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133"/>
        <v>0</v>
      </c>
      <c r="T978" s="29" t="str">
        <f t="shared" si="132"/>
        <v/>
      </c>
      <c r="U978" s="829">
        <v>979</v>
      </c>
      <c r="V978" s="29"/>
    </row>
    <row r="979" spans="1:22" ht="15.75" customHeight="1">
      <c r="A979" s="985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133"/>
        <v>0</v>
      </c>
      <c r="T979" s="29" t="str">
        <f t="shared" si="132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133"/>
        <v>0</v>
      </c>
      <c r="T980" s="29" t="str">
        <f t="shared" si="132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133"/>
        <v>0</v>
      </c>
      <c r="T981" s="29" t="str">
        <f t="shared" si="132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133"/>
        <v>0</v>
      </c>
      <c r="T982" s="29" t="str">
        <f t="shared" si="132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3"/>
      <c r="B985" s="971"/>
      <c r="C985" s="971"/>
      <c r="D985" s="971"/>
      <c r="E985" s="971"/>
      <c r="F985" s="971"/>
      <c r="G985" s="971"/>
      <c r="H985" s="984"/>
      <c r="I985" s="984"/>
      <c r="J985" s="984"/>
      <c r="K985" s="984"/>
      <c r="L985" s="971"/>
      <c r="M985" s="971"/>
      <c r="N985" s="971"/>
      <c r="O985" s="971"/>
      <c r="P985" s="971"/>
      <c r="Q985" s="27"/>
      <c r="R985" s="27"/>
      <c r="S985" s="29"/>
      <c r="T985" s="29"/>
      <c r="U985" s="829">
        <v>986</v>
      </c>
      <c r="V985" s="29"/>
    </row>
    <row r="986" spans="1:22" ht="15.75" customHeight="1">
      <c r="A986" s="985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Q986" s="1889" t="s">
        <v>1108</v>
      </c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570">
        <f>DSUM($C$4:$Q$772,C$4,$Q$986:$Q$987)</f>
        <v>0</v>
      </c>
      <c r="D987" s="570">
        <f t="shared" ref="D987:F987" si="134">DSUM($C$4:$Q$772,D$4,$Q$986:$Q$987)</f>
        <v>0</v>
      </c>
      <c r="E987" s="570">
        <f t="shared" si="134"/>
        <v>0</v>
      </c>
      <c r="F987" s="570">
        <f t="shared" si="134"/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Q987" s="1889" t="s">
        <v>1107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570">
        <f>DSUM($C$4:$Q$772,C$4,$Q$988:$Q$989)</f>
        <v>0</v>
      </c>
      <c r="D988" s="570">
        <f t="shared" ref="D988:F988" si="135">DSUM($C$4:$Q$772,D$4,$Q$988:$Q$989)</f>
        <v>0</v>
      </c>
      <c r="E988" s="570">
        <f t="shared" si="135"/>
        <v>0</v>
      </c>
      <c r="F988" s="570">
        <f t="shared" si="135"/>
        <v>0</v>
      </c>
      <c r="G988" s="971"/>
      <c r="H988" s="570">
        <f>DSUM($C$4:$Q$772,6,$Q$988:$Q$989)</f>
        <v>0</v>
      </c>
      <c r="I988" s="570">
        <f>DSUM($C$4:$Q$772,7,$Q$988:$Q$989)</f>
        <v>0</v>
      </c>
      <c r="J988" s="570">
        <f>DSUM($C$4:$Q$772,8,$Q$988:$Q$989)</f>
        <v>0</v>
      </c>
      <c r="K988" s="570">
        <f>DSUM($C$4:$Q$772,9,$Q$988:$Q$989)</f>
        <v>0</v>
      </c>
      <c r="L988" s="971"/>
      <c r="M988" s="570">
        <f>DSUM($C$4:$Q$772,11,$Q$988:$Q$989)</f>
        <v>0</v>
      </c>
      <c r="N988" s="570">
        <f>DSUM($C$4:$Q$772,12,$Q$988:$Q$989)</f>
        <v>0</v>
      </c>
      <c r="O988" s="570">
        <f>DSUM($C$4:$Q$772,13,$Q$988:$Q$989)</f>
        <v>0</v>
      </c>
      <c r="P988" s="570">
        <f>DSUM($C$4:$Q$772,14,$Q$988:$Q$989)</f>
        <v>0</v>
      </c>
      <c r="Q988" s="1890" t="s">
        <v>1108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570">
        <f>DSUM($C$4:$Q$772,C$4,$Q$990:$Q$991)</f>
        <v>0</v>
      </c>
      <c r="D989" s="570">
        <f t="shared" ref="D989:F989" si="136">DSUM($C$4:$Q$772,D$4,$Q$990:$Q$991)</f>
        <v>72</v>
      </c>
      <c r="E989" s="570">
        <f t="shared" si="136"/>
        <v>372</v>
      </c>
      <c r="F989" s="570">
        <f t="shared" si="136"/>
        <v>648</v>
      </c>
      <c r="G989" s="971"/>
      <c r="H989" s="570">
        <f>DSUM($C$4:$Q$772,6,$Q$990:$Q$991)</f>
        <v>0</v>
      </c>
      <c r="I989" s="570">
        <f>DSUM($C$4:$Q$772,7,$Q$990:$Q$991)</f>
        <v>0</v>
      </c>
      <c r="J989" s="570">
        <f>DSUM($C$4:$Q$772,8,$Q$990:$Q$991)</f>
        <v>0</v>
      </c>
      <c r="K989" s="570">
        <f>DSUM($C$4:$Q$772,9,$Q$990:$Q$991)</f>
        <v>0</v>
      </c>
      <c r="L989" s="971"/>
      <c r="M989" s="570">
        <f>DSUM($C$4:$Q$772,11,$Q$990:$Q$991)</f>
        <v>0</v>
      </c>
      <c r="N989" s="570">
        <f>DSUM($C$4:$Q$772,12,$Q$990:$Q$991)</f>
        <v>-72</v>
      </c>
      <c r="O989" s="570">
        <f>DSUM($C$4:$Q$772,13,$Q$990:$Q$991)</f>
        <v>-372</v>
      </c>
      <c r="P989" s="570">
        <f>DSUM($C$4:$Q$772,14,$Q$990:$Q$991)</f>
        <v>-648</v>
      </c>
      <c r="Q989" s="1890" t="s">
        <v>1109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570">
        <f>DSUM($C$4:$Q$772,C$4,$Q$992:$Q$993)</f>
        <v>0</v>
      </c>
      <c r="D990" s="570">
        <f t="shared" ref="D990:F990" si="137">DSUM($C$4:$Q$772,D$4,$Q$992:$Q$993)</f>
        <v>0</v>
      </c>
      <c r="E990" s="570">
        <f t="shared" si="137"/>
        <v>0</v>
      </c>
      <c r="F990" s="570">
        <f t="shared" si="137"/>
        <v>0</v>
      </c>
      <c r="G990" s="971"/>
      <c r="H990" s="570">
        <f>DSUM($C$4:$Q$772,6,$Q$992:$Q$993)</f>
        <v>0</v>
      </c>
      <c r="I990" s="570">
        <f>DSUM($C$4:$Q$772,7,$Q$992:$Q$993)</f>
        <v>0</v>
      </c>
      <c r="J990" s="570">
        <f>DSUM($C$4:$Q$772,8,$Q$992:$Q$993)</f>
        <v>0</v>
      </c>
      <c r="K990" s="570">
        <f>DSUM($C$4:$Q$772,9,$Q$992:$Q$993)</f>
        <v>0</v>
      </c>
      <c r="L990" s="971"/>
      <c r="M990" s="570">
        <f>DSUM($C$4:$Q$772,11,$Q$992:$Q$993)</f>
        <v>0</v>
      </c>
      <c r="N990" s="570">
        <f>DSUM($C$4:$Q$772,12,$Q$992:$Q$993)</f>
        <v>0</v>
      </c>
      <c r="O990" s="570">
        <f>DSUM($C$4:$Q$772,13,$Q$992:$Q$993)</f>
        <v>0</v>
      </c>
      <c r="P990" s="570">
        <f>DSUM($C$4:$Q$772,14,$Q$992:$Q$993)</f>
        <v>0</v>
      </c>
      <c r="Q990" s="1891" t="s">
        <v>1108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570">
        <f>SUM(C773,C774,C775,C781:C782,C805)</f>
        <v>0</v>
      </c>
      <c r="D991" s="570">
        <f>SUM(D773,D774,D775,D781:D782,D805)</f>
        <v>0</v>
      </c>
      <c r="E991" s="570">
        <f>SUM(E773,E774,E775,E781:E782,E805)</f>
        <v>0</v>
      </c>
      <c r="F991" s="570">
        <f>SUM(F773,F774,F775,F781:F782,F805)</f>
        <v>0</v>
      </c>
      <c r="G991" s="967"/>
      <c r="H991" s="570">
        <f>SUM(H773,H774,H775,H781:H782,H805)</f>
        <v>0</v>
      </c>
      <c r="I991" s="570">
        <f>SUM(I773,I774,I775,I781:I782,I805)</f>
        <v>0</v>
      </c>
      <c r="J991" s="570">
        <f>SUM(J773,J774,J775,J781:J782,J805)</f>
        <v>0</v>
      </c>
      <c r="K991" s="570">
        <f>SUM(K773,K774,K775,K781:K782,K805)</f>
        <v>0</v>
      </c>
      <c r="L991" s="967"/>
      <c r="M991" s="570">
        <f>SUM(M773,M774,M775,M781:M782,M805)</f>
        <v>0</v>
      </c>
      <c r="N991" s="570">
        <f t="shared" ref="N991:P991" si="138">SUM(N773,N774,N775,N781:N782,N805)</f>
        <v>0</v>
      </c>
      <c r="O991" s="570">
        <f t="shared" si="138"/>
        <v>0</v>
      </c>
      <c r="P991" s="570">
        <f t="shared" si="138"/>
        <v>0</v>
      </c>
      <c r="Q991" s="1891" t="s">
        <v>1110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570">
        <f>SUM(C780,C789)</f>
        <v>0</v>
      </c>
      <c r="D992" s="570">
        <f>SUM(D780,D789)</f>
        <v>0</v>
      </c>
      <c r="E992" s="570">
        <f>SUM(E780,E789)</f>
        <v>0</v>
      </c>
      <c r="F992" s="570">
        <f>SUM(F780,F789)</f>
        <v>0</v>
      </c>
      <c r="G992" s="967"/>
      <c r="H992" s="570">
        <f>SUM(H780,H789)</f>
        <v>0</v>
      </c>
      <c r="I992" s="570">
        <f>SUM(I780,I789)</f>
        <v>0</v>
      </c>
      <c r="J992" s="570">
        <f>SUM(J780,J789)</f>
        <v>0</v>
      </c>
      <c r="K992" s="570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Q992" s="1892" t="s">
        <v>1108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570">
        <f>SUM(C783:C784,C790:C794,C796:C797)</f>
        <v>0</v>
      </c>
      <c r="D993" s="570">
        <f>SUM(D783:D784,D790:D794,D796:D797)</f>
        <v>0</v>
      </c>
      <c r="E993" s="570">
        <f>SUM(E783:E784,E790:E794,E796:E797)</f>
        <v>0</v>
      </c>
      <c r="F993" s="570">
        <f>SUM(F783:F784,F790:F794,F796:F797)</f>
        <v>0</v>
      </c>
      <c r="G993" s="967"/>
      <c r="H993" s="570">
        <f>SUM(H783:H784,H790:H794,H796:H797)</f>
        <v>0</v>
      </c>
      <c r="I993" s="570">
        <f>SUM(I783:I784,I790:I794,I796:I797)</f>
        <v>0</v>
      </c>
      <c r="J993" s="570">
        <f>SUM(J783:J784,J790:J794,J796:J797)</f>
        <v>0</v>
      </c>
      <c r="K993" s="570">
        <f>SUM(K783:K784,K790:K794,K796:K797)</f>
        <v>0</v>
      </c>
      <c r="L993" s="967"/>
      <c r="M993" s="570">
        <f>SUM(M783:M784,M790:M794,M796:M797)</f>
        <v>0</v>
      </c>
      <c r="N993" s="570">
        <f t="shared" ref="N993:P993" si="139">SUM(N783:N784,N790:N794,N796:N797)</f>
        <v>0</v>
      </c>
      <c r="O993" s="570">
        <f t="shared" si="139"/>
        <v>0</v>
      </c>
      <c r="P993" s="570">
        <f t="shared" si="139"/>
        <v>0</v>
      </c>
      <c r="Q993" s="1892" t="s">
        <v>381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570">
        <f>SUM(C798,C799)</f>
        <v>0</v>
      </c>
      <c r="D994" s="570">
        <f>SUM(D798,D799)</f>
        <v>0</v>
      </c>
      <c r="E994" s="570">
        <f>SUM(E798,E799)</f>
        <v>0</v>
      </c>
      <c r="F994" s="570">
        <f>SUM(F798,F799)</f>
        <v>0</v>
      </c>
      <c r="G994" s="967"/>
      <c r="H994" s="570">
        <f>SUM(H798,H799)</f>
        <v>0</v>
      </c>
      <c r="I994" s="570">
        <f>SUM(I798,I799)</f>
        <v>0</v>
      </c>
      <c r="J994" s="570">
        <f>SUM(J798,J799)</f>
        <v>0</v>
      </c>
      <c r="K994" s="570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570">
        <f>SUM(C800)</f>
        <v>0</v>
      </c>
      <c r="D995" s="570">
        <f>SUM(D800)</f>
        <v>0</v>
      </c>
      <c r="E995" s="570">
        <f>SUM(E800)</f>
        <v>0</v>
      </c>
      <c r="F995" s="570">
        <f>SUM(F800)</f>
        <v>0</v>
      </c>
      <c r="G995" s="971"/>
      <c r="H995" s="570">
        <f>SUM(H800)</f>
        <v>0</v>
      </c>
      <c r="I995" s="570">
        <f>SUM(I800)</f>
        <v>0</v>
      </c>
      <c r="J995" s="570">
        <f>SUM(J800)</f>
        <v>0</v>
      </c>
      <c r="K995" s="570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SUM(C803)</f>
        <v>0</v>
      </c>
      <c r="D996" s="570">
        <f>SUM(D803)</f>
        <v>0</v>
      </c>
      <c r="E996" s="570">
        <f>SUM(E803)</f>
        <v>0</v>
      </c>
      <c r="F996" s="570">
        <f>SUM(F803)</f>
        <v>0</v>
      </c>
      <c r="G996" s="971"/>
      <c r="H996" s="570">
        <f>SUM(H803)</f>
        <v>0</v>
      </c>
      <c r="I996" s="570">
        <f>SUM(I803)</f>
        <v>0</v>
      </c>
      <c r="J996" s="570">
        <f>SUM(J803)</f>
        <v>0</v>
      </c>
      <c r="K996" s="570">
        <f>SUM(K803)</f>
        <v>0</v>
      </c>
      <c r="L996" s="971"/>
      <c r="M996" s="570">
        <f>SUM(M803)</f>
        <v>0</v>
      </c>
      <c r="N996" s="570">
        <f t="shared" ref="N996:P996" si="140">SUM(N803)</f>
        <v>0</v>
      </c>
      <c r="O996" s="570">
        <f t="shared" si="140"/>
        <v>0</v>
      </c>
      <c r="P996" s="570">
        <f t="shared" si="140"/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>
        <f>SUM(C801,C802)</f>
        <v>0</v>
      </c>
      <c r="D997" s="570">
        <f>SUM(D801,D802)</f>
        <v>0</v>
      </c>
      <c r="E997" s="570">
        <f>SUM(E801,E802)</f>
        <v>0</v>
      </c>
      <c r="F997" s="570">
        <f>SUM(F801,F802)</f>
        <v>0</v>
      </c>
      <c r="G997" s="971"/>
      <c r="H997" s="570">
        <f>SUM(H801,H802)</f>
        <v>0</v>
      </c>
      <c r="I997" s="570">
        <f>SUM(I801,I802)</f>
        <v>0</v>
      </c>
      <c r="J997" s="570">
        <f>SUM(J801,J802)</f>
        <v>0</v>
      </c>
      <c r="K997" s="570">
        <f>SUM(K801,K802)</f>
        <v>0</v>
      </c>
      <c r="L997" s="971"/>
      <c r="M997" s="570">
        <f>SUM(M801,M802)</f>
        <v>0</v>
      </c>
      <c r="N997" s="570">
        <f t="shared" ref="N997:P997" si="141">SUM(N801,N802)</f>
        <v>0</v>
      </c>
      <c r="O997" s="570">
        <f t="shared" si="141"/>
        <v>0</v>
      </c>
      <c r="P997" s="570">
        <f t="shared" si="141"/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SUM(C795,C804:C805,C808:C809)</f>
        <v>0</v>
      </c>
      <c r="D998" s="570">
        <f t="shared" ref="D998:F998" si="142">SUM(D795,D804:D805,D808:D809)</f>
        <v>0</v>
      </c>
      <c r="E998" s="570">
        <f t="shared" si="142"/>
        <v>0</v>
      </c>
      <c r="F998" s="570">
        <f t="shared" si="142"/>
        <v>0</v>
      </c>
      <c r="G998" s="971"/>
      <c r="H998" s="570">
        <f>SUM(H795,H804:H805,H808:H809)</f>
        <v>0</v>
      </c>
      <c r="I998" s="570">
        <f t="shared" ref="I998:K998" si="143">SUM(I795,I804:I805,I808:I809)</f>
        <v>0</v>
      </c>
      <c r="J998" s="570">
        <f t="shared" si="143"/>
        <v>0</v>
      </c>
      <c r="K998" s="570">
        <f t="shared" si="143"/>
        <v>0</v>
      </c>
      <c r="L998" s="971"/>
      <c r="M998" s="570">
        <f>SUM(M795,M804:M805,M808:M809)</f>
        <v>0</v>
      </c>
      <c r="N998" s="570">
        <f t="shared" ref="N998:P998" si="144">SUM(N795,N804:N805,N808:N809)</f>
        <v>0</v>
      </c>
      <c r="O998" s="570">
        <f t="shared" si="144"/>
        <v>0</v>
      </c>
      <c r="P998" s="570">
        <f t="shared" si="144"/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145">SUM(C806)</f>
        <v>0</v>
      </c>
      <c r="D999" s="570">
        <f t="shared" si="145"/>
        <v>0</v>
      </c>
      <c r="E999" s="570">
        <f t="shared" si="145"/>
        <v>0</v>
      </c>
      <c r="F999" s="570">
        <f t="shared" si="145"/>
        <v>0</v>
      </c>
      <c r="G999" s="971"/>
      <c r="H999" s="570">
        <f t="shared" ref="H999:K1000" si="146">SUM(H806)</f>
        <v>0</v>
      </c>
      <c r="I999" s="570">
        <f t="shared" si="146"/>
        <v>0</v>
      </c>
      <c r="J999" s="570">
        <f t="shared" si="146"/>
        <v>0</v>
      </c>
      <c r="K999" s="570">
        <f t="shared" si="146"/>
        <v>0</v>
      </c>
      <c r="L999" s="971"/>
      <c r="M999" s="570">
        <f t="shared" ref="M999:P1000" si="147">SUM(M806)</f>
        <v>0</v>
      </c>
      <c r="N999" s="570">
        <f t="shared" si="147"/>
        <v>0</v>
      </c>
      <c r="O999" s="570">
        <f t="shared" si="147"/>
        <v>0</v>
      </c>
      <c r="P999" s="570">
        <f t="shared" si="147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145"/>
        <v>0</v>
      </c>
      <c r="D1000" s="570">
        <f t="shared" si="145"/>
        <v>0</v>
      </c>
      <c r="E1000" s="570">
        <f t="shared" si="145"/>
        <v>0</v>
      </c>
      <c r="F1000" s="570">
        <f t="shared" si="145"/>
        <v>0</v>
      </c>
      <c r="G1000" s="971"/>
      <c r="H1000" s="570">
        <f t="shared" si="146"/>
        <v>0</v>
      </c>
      <c r="I1000" s="570">
        <f t="shared" si="146"/>
        <v>0</v>
      </c>
      <c r="J1000" s="570">
        <f t="shared" si="146"/>
        <v>0</v>
      </c>
      <c r="K1000" s="570">
        <f t="shared" si="146"/>
        <v>0</v>
      </c>
      <c r="L1000" s="971"/>
      <c r="M1000" s="570">
        <f t="shared" si="147"/>
        <v>0</v>
      </c>
      <c r="N1000" s="570">
        <f t="shared" si="147"/>
        <v>0</v>
      </c>
      <c r="O1000" s="570">
        <f t="shared" si="147"/>
        <v>0</v>
      </c>
      <c r="P1000" s="570">
        <f t="shared" si="147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C984-SUM(C987:C1000)</f>
        <v>0</v>
      </c>
      <c r="D1001" s="570">
        <f>D984-SUM(D987:D1000)</f>
        <v>-72</v>
      </c>
      <c r="E1001" s="570">
        <f>E984-SUM(E987:E1000)</f>
        <v>-372</v>
      </c>
      <c r="F1001" s="570">
        <f>F984-SUM(F987:F1000)</f>
        <v>-648</v>
      </c>
      <c r="G1001" s="971"/>
      <c r="H1001" s="570">
        <f>H984-SUM(H987:H1000)</f>
        <v>0</v>
      </c>
      <c r="I1001" s="570">
        <f>I984-SUM(I987:I1000)</f>
        <v>0</v>
      </c>
      <c r="J1001" s="570">
        <f>J984-SUM(J987:J1000)</f>
        <v>0</v>
      </c>
      <c r="K1001" s="570">
        <f>K984-SUM(K987:K1000)</f>
        <v>0</v>
      </c>
      <c r="L1001" s="971"/>
      <c r="M1001" s="570">
        <f>M984-SUM(M987:M1000)</f>
        <v>0</v>
      </c>
      <c r="N1001" s="570">
        <f t="shared" ref="N1001:P1001" si="148">N984-SUM(N987:N1000)</f>
        <v>72</v>
      </c>
      <c r="O1001" s="570">
        <f t="shared" si="148"/>
        <v>372</v>
      </c>
      <c r="P1001" s="570">
        <f t="shared" si="148"/>
        <v>648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4"/>
      <c r="I1002" s="984"/>
      <c r="J1002" s="984"/>
      <c r="K1002" s="984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6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6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6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6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6"/>
      <c r="C1013" s="891">
        <f>SUM(C1012:F1012)</f>
        <v>0</v>
      </c>
      <c r="D1013" s="987"/>
      <c r="E1013" s="987"/>
      <c r="F1013" s="987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6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6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6"/>
      <c r="C1016" s="891">
        <f>SUM(C1015:F1015)</f>
        <v>0</v>
      </c>
      <c r="D1016" s="987"/>
      <c r="E1016" s="987"/>
      <c r="F1016" s="987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6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6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6"/>
      <c r="C1019" s="988">
        <f>C11</f>
        <v>0</v>
      </c>
      <c r="D1019" s="988">
        <f>D11</f>
        <v>0</v>
      </c>
      <c r="E1019" s="988">
        <f>E11</f>
        <v>0</v>
      </c>
      <c r="F1019" s="988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6"/>
      <c r="C1020" s="989">
        <f>C21</f>
        <v>0</v>
      </c>
      <c r="D1020" s="989">
        <f>D21</f>
        <v>0</v>
      </c>
      <c r="E1020" s="989">
        <f>E21</f>
        <v>0</v>
      </c>
      <c r="F1020" s="989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0" t="str">
        <f>"cost of 100% " &amp; $Q$1 &amp; " for Hh for year"</f>
        <v>cost of 100% kcal for Hh for year</v>
      </c>
      <c r="B1021" s="986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1" t="str">
        <f>"% " &amp; $Q$1 &amp; " purch with crop income"</f>
        <v>% kcal purch with crop income</v>
      </c>
      <c r="B1022" s="986"/>
      <c r="C1022" s="992" t="e">
        <f>C1020/C1021</f>
        <v>#DIV/0!</v>
      </c>
      <c r="D1022" s="992" t="e">
        <f>D1020/D1021</f>
        <v>#DIV/0!</v>
      </c>
      <c r="E1022" s="992" t="e">
        <f>E1020/E1021</f>
        <v>#DIV/0!</v>
      </c>
      <c r="F1022" s="992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1" t="str">
        <f>"total " &amp; $Q$1 &amp; " production"</f>
        <v>total kcal production</v>
      </c>
      <c r="B1023" s="986"/>
      <c r="C1023" s="992" t="e">
        <f>C1019+C1022</f>
        <v>#DIV/0!</v>
      </c>
      <c r="D1023" s="992" t="e">
        <f>D1019+D1022</f>
        <v>#DIV/0!</v>
      </c>
      <c r="E1023" s="992" t="e">
        <f>E1019+E1022</f>
        <v>#DIV/0!</v>
      </c>
      <c r="F1023" s="992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1" t="str">
        <f>"total " &amp; $Q$1 &amp; " production (adj.to HH size 6)"</f>
        <v>total kcal production (adj.to HH size 6)</v>
      </c>
      <c r="B1024" s="986"/>
      <c r="C1024" s="992" t="e">
        <f>C1023*C46/6</f>
        <v>#DIV/0!</v>
      </c>
      <c r="D1024" s="992" t="e">
        <f>D1023*D46/6</f>
        <v>#DIV/0!</v>
      </c>
      <c r="E1024" s="992" t="e">
        <f>E1023*E46/6</f>
        <v>#DIV/0!</v>
      </c>
      <c r="F1024" s="992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1" t="str">
        <f>"total " &amp; $Q$1 &amp; " production (HH size 6) per unit area"</f>
        <v>total kcal production (HH size 6) per unit area</v>
      </c>
      <c r="B1025" s="986"/>
      <c r="C1025" s="992" t="e">
        <f>C1024/SUM(C48)</f>
        <v>#DIV/0!</v>
      </c>
      <c r="D1025" s="992" t="e">
        <f>D1024/SUM(D48)</f>
        <v>#DIV/0!</v>
      </c>
      <c r="E1025" s="992" t="e">
        <f>E1024/SUM(E48)</f>
        <v>#DIV/0!</v>
      </c>
      <c r="F1025" s="992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6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6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3" t="s">
        <v>17</v>
      </c>
      <c r="B1029" s="986"/>
      <c r="C1029" s="994" t="str">
        <f>C1101</f>
        <v>VP</v>
      </c>
      <c r="D1029" s="613"/>
      <c r="E1029" s="994" t="str">
        <f>D1101</f>
        <v>P</v>
      </c>
      <c r="F1029" s="613"/>
      <c r="G1029" s="613"/>
      <c r="H1029" s="995" t="str">
        <f>E1101</f>
        <v>M</v>
      </c>
      <c r="I1029" s="612"/>
      <c r="J1029" s="995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6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6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7" t="s">
        <v>673</v>
      </c>
      <c r="B1032" s="986"/>
      <c r="C1032" s="891">
        <f>SUMIF($Q$771:$Q$775,"ubpl",H$771:H$775)+SUMIF($Q$780:$Q$784,"ubpl",H$780:H$784)+SUMIF($Q$789:$Q$809,"ubpl",H$789:H$809)</f>
        <v>0</v>
      </c>
      <c r="D1032" s="986"/>
      <c r="E1032" s="891">
        <f>SUMIF($Q$771:$Q$775,"ubpl",I$771:I$775)+SUMIF($Q$780:$Q$784,"ubpl",I$780:I$784)+SUMIF($Q$789:$Q$809,"ubpl",I$789:I$809)</f>
        <v>0</v>
      </c>
      <c r="F1032" s="986"/>
      <c r="G1032" s="986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7" t="s">
        <v>674</v>
      </c>
      <c r="B1033" s="986"/>
      <c r="C1033" s="891">
        <f>SUMIF($Q$771:$Q$775,"des",H$771:H$775)+SUMIF($Q$780:$Q$784,"des",H$780:H$784)+SUMIF($Q$789:$Q$809,"des",H$789:H$809)</f>
        <v>0</v>
      </c>
      <c r="D1033" s="986"/>
      <c r="E1033" s="891">
        <f>SUMIF($Q$771:$Q$775,"des",I$771:I$775)+SUMIF($Q$780:$Q$784,"des",I$780:I$784)+SUMIF($Q$789:$Q$809,"des",I$789:I$809)</f>
        <v>0</v>
      </c>
      <c r="F1033" s="986"/>
      <c r="G1033" s="986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7"/>
      <c r="B1034" s="986"/>
      <c r="C1034" s="998"/>
      <c r="D1034" s="986"/>
      <c r="E1034" s="998"/>
      <c r="F1034" s="986"/>
      <c r="G1034" s="986"/>
      <c r="H1034" s="999"/>
      <c r="I1034" s="26"/>
      <c r="J1034" s="999"/>
      <c r="K1034" s="26"/>
      <c r="L1034" s="986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3" t="s">
        <v>479</v>
      </c>
      <c r="B1035" s="986"/>
      <c r="C1035" s="994" t="str">
        <f>C1029</f>
        <v>VP</v>
      </c>
      <c r="D1035" s="613"/>
      <c r="E1035" s="994" t="str">
        <f>E1029</f>
        <v>P</v>
      </c>
      <c r="F1035" s="613"/>
      <c r="G1035" s="613"/>
      <c r="H1035" s="995" t="str">
        <f>H1029</f>
        <v>M</v>
      </c>
      <c r="I1035" s="612"/>
      <c r="J1035" s="995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6"/>
      <c r="C1036" s="773" t="str">
        <f>E1036</f>
        <v>maize</v>
      </c>
      <c r="D1036" s="613"/>
      <c r="E1036" s="140" t="s">
        <v>481</v>
      </c>
      <c r="F1036" s="613"/>
      <c r="G1036" s="613"/>
      <c r="H1036" s="1000" t="str">
        <f>E1036</f>
        <v>maize</v>
      </c>
      <c r="I1036" s="612"/>
      <c r="J1036" s="1001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6"/>
      <c r="C1037" s="968">
        <f>E1037</f>
        <v>0.58333333333333337</v>
      </c>
      <c r="D1037" s="1002"/>
      <c r="E1037" s="968">
        <f>$P$1/D453</f>
        <v>0.58333333333333337</v>
      </c>
      <c r="F1037" s="1002"/>
      <c r="G1037" s="1002"/>
      <c r="H1037" s="1001">
        <f>E1037</f>
        <v>0.58333333333333337</v>
      </c>
      <c r="I1037" s="1003"/>
      <c r="J1037" s="1001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6"/>
      <c r="C1038" s="773">
        <f>SUM(C46)</f>
        <v>0</v>
      </c>
      <c r="D1038" s="613"/>
      <c r="E1038" s="773">
        <f>SUM(D46)</f>
        <v>0</v>
      </c>
      <c r="F1038" s="613"/>
      <c r="G1038" s="613"/>
      <c r="H1038" s="1000">
        <f>SUM(E46)</f>
        <v>0</v>
      </c>
      <c r="I1038" s="612"/>
      <c r="J1038" s="1000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6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1">
        <f>E1039</f>
        <v>0</v>
      </c>
      <c r="I1039" s="612"/>
      <c r="J1039" s="1001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6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4" t="s">
        <v>484</v>
      </c>
      <c r="B1041" s="986"/>
      <c r="C1041" s="1005" t="str">
        <f>WB!T3</f>
        <v>V Poor</v>
      </c>
      <c r="D1041" s="1006"/>
      <c r="E1041" s="1005" t="str">
        <f>WB!AK3</f>
        <v>Poor</v>
      </c>
      <c r="F1041" s="1006"/>
      <c r="G1041" s="613"/>
      <c r="H1041" s="1007" t="str">
        <f>WB!BB3</f>
        <v>Middle</v>
      </c>
      <c r="I1041" s="1008"/>
      <c r="J1041" s="1007" t="str">
        <f>WB!BS3</f>
        <v>B Off</v>
      </c>
      <c r="K1041" s="1008"/>
      <c r="L1041" s="613"/>
      <c r="M1041" s="1009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3" t="s">
        <v>15</v>
      </c>
      <c r="B1042" s="986"/>
      <c r="C1042" s="1010" t="s">
        <v>485</v>
      </c>
      <c r="D1042" s="1010" t="s">
        <v>486</v>
      </c>
      <c r="E1042" s="1010" t="s">
        <v>485</v>
      </c>
      <c r="F1042" s="1010" t="s">
        <v>486</v>
      </c>
      <c r="G1042" s="613"/>
      <c r="H1042" s="1011" t="s">
        <v>485</v>
      </c>
      <c r="I1042" s="1011" t="s">
        <v>486</v>
      </c>
      <c r="J1042" s="1011" t="s">
        <v>485</v>
      </c>
      <c r="K1042" s="1011" t="s">
        <v>486</v>
      </c>
      <c r="L1042" s="613"/>
      <c r="M1042" s="995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2" t="e">
        <f>LOOKUP(B1043,$T$819:$T$897,A$819:A$897)</f>
        <v>#N/A</v>
      </c>
      <c r="B1043" s="986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3" t="e">
        <f>LOOKUP($B1043,$T$819:$T$897,E$819:E$897)</f>
        <v>#N/A</v>
      </c>
      <c r="I1043" s="1013" t="e">
        <f>LOOKUP($B1043,$T$819:$T$897,O$819:O$897)</f>
        <v>#N/A</v>
      </c>
      <c r="J1043" s="1013" t="e">
        <f>LOOKUP($B1043,$T$819:$T$897,F$819:F$897)</f>
        <v>#N/A</v>
      </c>
      <c r="K1043" s="1013" t="e">
        <f>LOOKUP($B1043,$T$819:$T$897,P$819:P$897)</f>
        <v>#N/A</v>
      </c>
      <c r="L1043" s="613"/>
      <c r="M1043" s="996" t="e">
        <f t="shared" ref="M1043:M1054" si="149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150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2" t="e">
        <f t="shared" ref="A1044:A1053" si="151">IF(OR(A1043="",LOOKUP(B1044,$T$819:$T$897,A$819:A$897)=A1043),"",LOOKUP(B1044,$T$819:$T$897,A$819:A$897))</f>
        <v>#N/A</v>
      </c>
      <c r="B1044" s="986">
        <v>2</v>
      </c>
      <c r="C1044" s="657" t="e">
        <f t="shared" ref="C1044:C1059" si="152">IF($A1044="","",LOOKUP($B1044,$T$819:$T$897,C$819:C$897))</f>
        <v>#N/A</v>
      </c>
      <c r="D1044" s="657" t="e">
        <f t="shared" ref="D1044:D1054" si="153">IF($A1044="","",LOOKUP($B1044,$T$819:$T$897,M$819:M$897))</f>
        <v>#N/A</v>
      </c>
      <c r="E1044" s="657" t="e">
        <f t="shared" ref="E1044:E1054" si="154">IF($A1044="","",LOOKUP($B1044,$T$819:$T$897,D$819:D$897))</f>
        <v>#N/A</v>
      </c>
      <c r="F1044" s="657" t="e">
        <f t="shared" ref="F1044:F1054" si="155">IF($A1044="","",LOOKUP($B1044,$T$819:$T$897,N$819:N$897))</f>
        <v>#N/A</v>
      </c>
      <c r="G1044" s="613"/>
      <c r="H1044" s="1013" t="e">
        <f t="shared" ref="H1044:H1054" si="156">IF($A1044="","",LOOKUP($B1044,$T$819:$T$897,E$819:E$897))</f>
        <v>#N/A</v>
      </c>
      <c r="I1044" s="1013" t="e">
        <f t="shared" ref="I1044:I1054" si="157">IF($A1044="","",LOOKUP($B1044,$T$819:$T$897,O$819:O$897))</f>
        <v>#N/A</v>
      </c>
      <c r="J1044" s="1013" t="e">
        <f t="shared" ref="J1044:J1054" si="158">IF($A1044="","",LOOKUP($B1044,$T$819:$T$897,F$819:F$897))</f>
        <v>#N/A</v>
      </c>
      <c r="K1044" s="1013" t="e">
        <f t="shared" ref="K1044:K1054" si="159">IF($A1044="","",LOOKUP($B1044,$T$819:$T$897,P$819:P$897))</f>
        <v>#N/A</v>
      </c>
      <c r="L1044" s="613"/>
      <c r="M1044" s="996" t="e">
        <f t="shared" si="149"/>
        <v>#N/A</v>
      </c>
      <c r="N1044" s="613"/>
      <c r="O1044" s="613"/>
      <c r="P1044" s="613"/>
      <c r="Q1044" s="236"/>
      <c r="R1044" s="613" t="e">
        <f t="shared" si="150"/>
        <v>#N/A</v>
      </c>
      <c r="S1044" s="29"/>
      <c r="T1044" s="29"/>
      <c r="U1044" s="829">
        <v>1045</v>
      </c>
      <c r="V1044" s="29"/>
    </row>
    <row r="1045" spans="1:22" ht="15.75" customHeight="1">
      <c r="A1045" s="1012" t="e">
        <f t="shared" si="151"/>
        <v>#N/A</v>
      </c>
      <c r="B1045" s="986">
        <v>3</v>
      </c>
      <c r="C1045" s="657" t="e">
        <f t="shared" si="152"/>
        <v>#N/A</v>
      </c>
      <c r="D1045" s="657" t="e">
        <f t="shared" si="153"/>
        <v>#N/A</v>
      </c>
      <c r="E1045" s="657" t="e">
        <f t="shared" si="154"/>
        <v>#N/A</v>
      </c>
      <c r="F1045" s="657" t="e">
        <f t="shared" si="155"/>
        <v>#N/A</v>
      </c>
      <c r="G1045" s="613"/>
      <c r="H1045" s="1013" t="e">
        <f t="shared" si="156"/>
        <v>#N/A</v>
      </c>
      <c r="I1045" s="1013" t="e">
        <f t="shared" si="157"/>
        <v>#N/A</v>
      </c>
      <c r="J1045" s="1013" t="e">
        <f t="shared" si="158"/>
        <v>#N/A</v>
      </c>
      <c r="K1045" s="1013" t="e">
        <f t="shared" si="159"/>
        <v>#N/A</v>
      </c>
      <c r="L1045" s="613"/>
      <c r="M1045" s="996" t="e">
        <f t="shared" si="149"/>
        <v>#N/A</v>
      </c>
      <c r="N1045" s="613"/>
      <c r="O1045" s="613"/>
      <c r="P1045" s="613"/>
      <c r="Q1045" s="236"/>
      <c r="R1045" s="613" t="e">
        <f t="shared" si="150"/>
        <v>#N/A</v>
      </c>
      <c r="S1045" s="29"/>
      <c r="T1045" s="29"/>
      <c r="U1045" s="829">
        <v>1046</v>
      </c>
      <c r="V1045" s="29"/>
    </row>
    <row r="1046" spans="1:22" ht="15.75" customHeight="1">
      <c r="A1046" s="1012" t="e">
        <f t="shared" si="151"/>
        <v>#N/A</v>
      </c>
      <c r="B1046" s="986">
        <v>4</v>
      </c>
      <c r="C1046" s="657" t="e">
        <f t="shared" si="152"/>
        <v>#N/A</v>
      </c>
      <c r="D1046" s="657" t="e">
        <f t="shared" si="153"/>
        <v>#N/A</v>
      </c>
      <c r="E1046" s="657" t="e">
        <f t="shared" si="154"/>
        <v>#N/A</v>
      </c>
      <c r="F1046" s="657" t="e">
        <f t="shared" si="155"/>
        <v>#N/A</v>
      </c>
      <c r="G1046" s="613"/>
      <c r="H1046" s="1013" t="e">
        <f t="shared" si="156"/>
        <v>#N/A</v>
      </c>
      <c r="I1046" s="1013" t="e">
        <f t="shared" si="157"/>
        <v>#N/A</v>
      </c>
      <c r="J1046" s="1013" t="e">
        <f t="shared" si="158"/>
        <v>#N/A</v>
      </c>
      <c r="K1046" s="1013" t="e">
        <f t="shared" si="159"/>
        <v>#N/A</v>
      </c>
      <c r="L1046" s="613"/>
      <c r="M1046" s="996" t="e">
        <f t="shared" si="149"/>
        <v>#N/A</v>
      </c>
      <c r="N1046" s="613"/>
      <c r="O1046" s="613"/>
      <c r="P1046" s="613"/>
      <c r="Q1046" s="236"/>
      <c r="R1046" s="613" t="e">
        <f t="shared" si="150"/>
        <v>#N/A</v>
      </c>
      <c r="S1046" s="29"/>
      <c r="T1046" s="29"/>
      <c r="U1046" s="829">
        <v>1047</v>
      </c>
      <c r="V1046" s="29"/>
    </row>
    <row r="1047" spans="1:22" ht="15.75" customHeight="1">
      <c r="A1047" s="1012" t="e">
        <f t="shared" si="151"/>
        <v>#N/A</v>
      </c>
      <c r="B1047" s="986">
        <v>5</v>
      </c>
      <c r="C1047" s="657" t="e">
        <f t="shared" si="152"/>
        <v>#N/A</v>
      </c>
      <c r="D1047" s="657" t="e">
        <f t="shared" si="153"/>
        <v>#N/A</v>
      </c>
      <c r="E1047" s="657" t="e">
        <f t="shared" si="154"/>
        <v>#N/A</v>
      </c>
      <c r="F1047" s="657" t="e">
        <f t="shared" si="155"/>
        <v>#N/A</v>
      </c>
      <c r="G1047" s="613"/>
      <c r="H1047" s="1013" t="e">
        <f t="shared" si="156"/>
        <v>#N/A</v>
      </c>
      <c r="I1047" s="1013" t="e">
        <f t="shared" si="157"/>
        <v>#N/A</v>
      </c>
      <c r="J1047" s="1013" t="e">
        <f t="shared" si="158"/>
        <v>#N/A</v>
      </c>
      <c r="K1047" s="1013" t="e">
        <f t="shared" si="159"/>
        <v>#N/A</v>
      </c>
      <c r="L1047" s="613"/>
      <c r="M1047" s="996" t="e">
        <f t="shared" si="149"/>
        <v>#N/A</v>
      </c>
      <c r="N1047" s="613"/>
      <c r="O1047" s="613"/>
      <c r="P1047" s="613"/>
      <c r="Q1047" s="236"/>
      <c r="R1047" s="613" t="e">
        <f t="shared" si="150"/>
        <v>#N/A</v>
      </c>
      <c r="S1047" s="29"/>
      <c r="T1047" s="29"/>
      <c r="U1047" s="829">
        <v>1048</v>
      </c>
      <c r="V1047" s="29"/>
    </row>
    <row r="1048" spans="1:22" ht="15.75" customHeight="1">
      <c r="A1048" s="1012" t="e">
        <f t="shared" si="151"/>
        <v>#N/A</v>
      </c>
      <c r="B1048" s="986">
        <v>6</v>
      </c>
      <c r="C1048" s="657" t="e">
        <f t="shared" si="152"/>
        <v>#N/A</v>
      </c>
      <c r="D1048" s="657" t="e">
        <f t="shared" si="153"/>
        <v>#N/A</v>
      </c>
      <c r="E1048" s="657" t="e">
        <f t="shared" si="154"/>
        <v>#N/A</v>
      </c>
      <c r="F1048" s="657" t="e">
        <f t="shared" si="155"/>
        <v>#N/A</v>
      </c>
      <c r="G1048" s="613"/>
      <c r="H1048" s="1013" t="e">
        <f t="shared" si="156"/>
        <v>#N/A</v>
      </c>
      <c r="I1048" s="1013" t="e">
        <f t="shared" si="157"/>
        <v>#N/A</v>
      </c>
      <c r="J1048" s="1013" t="e">
        <f t="shared" si="158"/>
        <v>#N/A</v>
      </c>
      <c r="K1048" s="1013" t="e">
        <f t="shared" si="159"/>
        <v>#N/A</v>
      </c>
      <c r="L1048" s="613"/>
      <c r="M1048" s="996" t="e">
        <f t="shared" si="149"/>
        <v>#N/A</v>
      </c>
      <c r="N1048" s="613"/>
      <c r="O1048" s="613"/>
      <c r="P1048" s="613"/>
      <c r="Q1048" s="236"/>
      <c r="R1048" s="613" t="e">
        <f t="shared" si="150"/>
        <v>#N/A</v>
      </c>
      <c r="S1048" s="29"/>
      <c r="T1048" s="29"/>
      <c r="U1048" s="829">
        <v>1049</v>
      </c>
      <c r="V1048" s="29"/>
    </row>
    <row r="1049" spans="1:22" ht="15.75" customHeight="1">
      <c r="A1049" s="1012" t="e">
        <f t="shared" si="151"/>
        <v>#N/A</v>
      </c>
      <c r="B1049" s="986">
        <v>7</v>
      </c>
      <c r="C1049" s="657" t="e">
        <f t="shared" si="152"/>
        <v>#N/A</v>
      </c>
      <c r="D1049" s="657" t="e">
        <f t="shared" si="153"/>
        <v>#N/A</v>
      </c>
      <c r="E1049" s="657" t="e">
        <f t="shared" si="154"/>
        <v>#N/A</v>
      </c>
      <c r="F1049" s="657" t="e">
        <f t="shared" si="155"/>
        <v>#N/A</v>
      </c>
      <c r="G1049" s="613"/>
      <c r="H1049" s="1013" t="e">
        <f t="shared" si="156"/>
        <v>#N/A</v>
      </c>
      <c r="I1049" s="1013" t="e">
        <f t="shared" si="157"/>
        <v>#N/A</v>
      </c>
      <c r="J1049" s="1013" t="e">
        <f t="shared" si="158"/>
        <v>#N/A</v>
      </c>
      <c r="K1049" s="1013" t="e">
        <f t="shared" si="159"/>
        <v>#N/A</v>
      </c>
      <c r="L1049" s="613"/>
      <c r="M1049" s="996" t="e">
        <f t="shared" si="149"/>
        <v>#N/A</v>
      </c>
      <c r="N1049" s="613"/>
      <c r="O1049" s="613"/>
      <c r="P1049" s="613"/>
      <c r="Q1049" s="236"/>
      <c r="R1049" s="613" t="e">
        <f t="shared" si="150"/>
        <v>#N/A</v>
      </c>
      <c r="S1049" s="29"/>
      <c r="T1049" s="29"/>
      <c r="U1049" s="829">
        <v>1050</v>
      </c>
      <c r="V1049" s="29"/>
    </row>
    <row r="1050" spans="1:22" ht="15.75" customHeight="1">
      <c r="A1050" s="1012" t="e">
        <f t="shared" si="151"/>
        <v>#N/A</v>
      </c>
      <c r="B1050" s="986">
        <v>8</v>
      </c>
      <c r="C1050" s="657" t="e">
        <f t="shared" si="152"/>
        <v>#N/A</v>
      </c>
      <c r="D1050" s="657" t="e">
        <f t="shared" si="153"/>
        <v>#N/A</v>
      </c>
      <c r="E1050" s="657" t="e">
        <f t="shared" si="154"/>
        <v>#N/A</v>
      </c>
      <c r="F1050" s="657" t="e">
        <f t="shared" si="155"/>
        <v>#N/A</v>
      </c>
      <c r="G1050" s="613"/>
      <c r="H1050" s="1013" t="e">
        <f t="shared" si="156"/>
        <v>#N/A</v>
      </c>
      <c r="I1050" s="1013" t="e">
        <f t="shared" si="157"/>
        <v>#N/A</v>
      </c>
      <c r="J1050" s="1013" t="e">
        <f t="shared" si="158"/>
        <v>#N/A</v>
      </c>
      <c r="K1050" s="1013" t="e">
        <f t="shared" si="159"/>
        <v>#N/A</v>
      </c>
      <c r="L1050" s="613"/>
      <c r="M1050" s="996" t="e">
        <f t="shared" si="149"/>
        <v>#N/A</v>
      </c>
      <c r="N1050" s="613"/>
      <c r="O1050" s="613"/>
      <c r="P1050" s="613"/>
      <c r="Q1050" s="236"/>
      <c r="R1050" s="613" t="e">
        <f t="shared" si="150"/>
        <v>#N/A</v>
      </c>
      <c r="S1050" s="29"/>
      <c r="T1050" s="29"/>
      <c r="U1050" s="829">
        <v>1051</v>
      </c>
      <c r="V1050" s="29"/>
    </row>
    <row r="1051" spans="1:22" ht="15.75" customHeight="1">
      <c r="A1051" s="1012" t="e">
        <f t="shared" si="151"/>
        <v>#N/A</v>
      </c>
      <c r="B1051" s="986">
        <v>9</v>
      </c>
      <c r="C1051" s="657" t="e">
        <f t="shared" si="152"/>
        <v>#N/A</v>
      </c>
      <c r="D1051" s="657" t="e">
        <f t="shared" si="153"/>
        <v>#N/A</v>
      </c>
      <c r="E1051" s="657" t="e">
        <f t="shared" si="154"/>
        <v>#N/A</v>
      </c>
      <c r="F1051" s="657" t="e">
        <f t="shared" si="155"/>
        <v>#N/A</v>
      </c>
      <c r="G1051" s="986"/>
      <c r="H1051" s="1013" t="e">
        <f t="shared" si="156"/>
        <v>#N/A</v>
      </c>
      <c r="I1051" s="1013" t="e">
        <f t="shared" si="157"/>
        <v>#N/A</v>
      </c>
      <c r="J1051" s="1013" t="e">
        <f t="shared" si="158"/>
        <v>#N/A</v>
      </c>
      <c r="K1051" s="1013" t="e">
        <f t="shared" si="159"/>
        <v>#N/A</v>
      </c>
      <c r="L1051" s="613"/>
      <c r="M1051" s="996" t="e">
        <f t="shared" si="149"/>
        <v>#N/A</v>
      </c>
      <c r="N1051" s="613"/>
      <c r="O1051" s="613"/>
      <c r="P1051" s="613"/>
      <c r="Q1051" s="236"/>
      <c r="R1051" s="613" t="e">
        <f t="shared" si="150"/>
        <v>#N/A</v>
      </c>
      <c r="S1051" s="29"/>
      <c r="T1051" s="29"/>
      <c r="U1051" s="829">
        <v>1052</v>
      </c>
      <c r="V1051" s="29"/>
    </row>
    <row r="1052" spans="1:22" ht="15.75" customHeight="1">
      <c r="A1052" s="1012" t="e">
        <f t="shared" si="151"/>
        <v>#N/A</v>
      </c>
      <c r="B1052" s="986">
        <v>10</v>
      </c>
      <c r="C1052" s="657" t="e">
        <f t="shared" si="152"/>
        <v>#N/A</v>
      </c>
      <c r="D1052" s="657" t="e">
        <f t="shared" si="153"/>
        <v>#N/A</v>
      </c>
      <c r="E1052" s="657" t="e">
        <f t="shared" si="154"/>
        <v>#N/A</v>
      </c>
      <c r="F1052" s="657" t="e">
        <f t="shared" si="155"/>
        <v>#N/A</v>
      </c>
      <c r="G1052" s="613"/>
      <c r="H1052" s="1013" t="e">
        <f t="shared" si="156"/>
        <v>#N/A</v>
      </c>
      <c r="I1052" s="1013" t="e">
        <f t="shared" si="157"/>
        <v>#N/A</v>
      </c>
      <c r="J1052" s="1013" t="e">
        <f t="shared" si="158"/>
        <v>#N/A</v>
      </c>
      <c r="K1052" s="1013" t="e">
        <f t="shared" si="159"/>
        <v>#N/A</v>
      </c>
      <c r="L1052" s="613"/>
      <c r="M1052" s="996" t="e">
        <f t="shared" si="149"/>
        <v>#N/A</v>
      </c>
      <c r="N1052" s="613"/>
      <c r="O1052" s="613"/>
      <c r="P1052" s="613"/>
      <c r="Q1052" s="236"/>
      <c r="R1052" s="613" t="e">
        <f t="shared" si="150"/>
        <v>#N/A</v>
      </c>
      <c r="S1052" s="29"/>
      <c r="T1052" s="29"/>
      <c r="U1052" s="829">
        <v>1053</v>
      </c>
      <c r="V1052" s="29"/>
    </row>
    <row r="1053" spans="1:22" ht="15.75" customHeight="1">
      <c r="A1053" s="1012" t="e">
        <f t="shared" si="151"/>
        <v>#N/A</v>
      </c>
      <c r="B1053" s="986">
        <v>11</v>
      </c>
      <c r="C1053" s="657" t="e">
        <f t="shared" si="152"/>
        <v>#N/A</v>
      </c>
      <c r="D1053" s="657" t="e">
        <f t="shared" si="153"/>
        <v>#N/A</v>
      </c>
      <c r="E1053" s="657" t="e">
        <f t="shared" si="154"/>
        <v>#N/A</v>
      </c>
      <c r="F1053" s="657" t="e">
        <f t="shared" si="155"/>
        <v>#N/A</v>
      </c>
      <c r="G1053" s="613"/>
      <c r="H1053" s="1013" t="e">
        <f t="shared" si="156"/>
        <v>#N/A</v>
      </c>
      <c r="I1053" s="1013" t="e">
        <f t="shared" si="157"/>
        <v>#N/A</v>
      </c>
      <c r="J1053" s="1013" t="e">
        <f t="shared" si="158"/>
        <v>#N/A</v>
      </c>
      <c r="K1053" s="1013" t="e">
        <f t="shared" si="159"/>
        <v>#N/A</v>
      </c>
      <c r="L1053" s="613"/>
      <c r="M1053" s="996" t="e">
        <f t="shared" si="149"/>
        <v>#N/A</v>
      </c>
      <c r="N1053" s="613"/>
      <c r="O1053" s="613"/>
      <c r="P1053" s="613"/>
      <c r="Q1053" s="236"/>
      <c r="R1053" s="613" t="e">
        <f t="shared" si="150"/>
        <v>#N/A</v>
      </c>
      <c r="S1053" s="29"/>
      <c r="T1053" s="29"/>
      <c r="U1053" s="829">
        <v>1054</v>
      </c>
      <c r="V1053" s="29"/>
    </row>
    <row r="1054" spans="1:22" ht="15.75" customHeight="1">
      <c r="A1054" s="1012" t="e">
        <f t="shared" ref="A1054:A1059" si="160">IF(OR(A1053="",LOOKUP(B1054,$T$819:$T$897,A$819:A$897)=A1053),"",LOOKUP(B1054,$T$819:$T$897,A$819:A$897))</f>
        <v>#N/A</v>
      </c>
      <c r="B1054" s="986">
        <v>12</v>
      </c>
      <c r="C1054" s="657" t="e">
        <f t="shared" si="152"/>
        <v>#N/A</v>
      </c>
      <c r="D1054" s="657" t="e">
        <f t="shared" si="153"/>
        <v>#N/A</v>
      </c>
      <c r="E1054" s="657" t="e">
        <f t="shared" si="154"/>
        <v>#N/A</v>
      </c>
      <c r="F1054" s="657" t="e">
        <f t="shared" si="155"/>
        <v>#N/A</v>
      </c>
      <c r="G1054" s="613"/>
      <c r="H1054" s="1013" t="e">
        <f t="shared" si="156"/>
        <v>#N/A</v>
      </c>
      <c r="I1054" s="1013" t="e">
        <f t="shared" si="157"/>
        <v>#N/A</v>
      </c>
      <c r="J1054" s="1013" t="e">
        <f t="shared" si="158"/>
        <v>#N/A</v>
      </c>
      <c r="K1054" s="1013" t="e">
        <f t="shared" si="159"/>
        <v>#N/A</v>
      </c>
      <c r="L1054" s="613"/>
      <c r="M1054" s="996" t="e">
        <f t="shared" si="149"/>
        <v>#N/A</v>
      </c>
      <c r="N1054" s="613"/>
      <c r="O1054" s="613"/>
      <c r="P1054" s="613"/>
      <c r="Q1054" s="236"/>
      <c r="R1054" s="613" t="e">
        <f t="shared" si="150"/>
        <v>#N/A</v>
      </c>
      <c r="S1054" s="29"/>
      <c r="T1054" s="29"/>
      <c r="U1054" s="829">
        <v>1055</v>
      </c>
      <c r="V1054" s="29"/>
    </row>
    <row r="1055" spans="1:22" ht="15.75" customHeight="1">
      <c r="A1055" s="1012" t="e">
        <f t="shared" si="160"/>
        <v>#N/A</v>
      </c>
      <c r="B1055" s="986">
        <v>13</v>
      </c>
      <c r="C1055" s="657" t="e">
        <f t="shared" si="152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3" t="e">
        <f>IF($A1055="","",LOOKUP($B1055,$T$819:$T$897,E$819:E$897))</f>
        <v>#N/A</v>
      </c>
      <c r="I1055" s="1013" t="e">
        <f>IF($A1055="","",LOOKUP($B1055,$T$819:$T$897,O$819:O$897))</f>
        <v>#N/A</v>
      </c>
      <c r="J1055" s="1013" t="e">
        <f>IF($A1055="","",LOOKUP($B1055,$T$819:$T$897,F$819:F$897))</f>
        <v>#N/A</v>
      </c>
      <c r="K1055" s="1013" t="e">
        <f>IF($A1055="","",LOOKUP($B1055,$T$819:$T$897,P$819:P$897))</f>
        <v>#N/A</v>
      </c>
      <c r="L1055" s="613"/>
      <c r="M1055" s="996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2" t="e">
        <f t="shared" si="160"/>
        <v>#N/A</v>
      </c>
      <c r="B1056" s="986">
        <v>14</v>
      </c>
      <c r="C1056" s="657" t="e">
        <f t="shared" si="152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3" t="e">
        <f>IF($A1056="","",LOOKUP($B1056,$T$819:$T$897,E$819:E$897))</f>
        <v>#N/A</v>
      </c>
      <c r="I1056" s="1013" t="e">
        <f>IF($A1056="","",LOOKUP($B1056,$T$819:$T$897,O$819:O$897))</f>
        <v>#N/A</v>
      </c>
      <c r="J1056" s="1013" t="e">
        <f>IF($A1056="","",LOOKUP($B1056,$T$819:$T$897,F$819:F$897))</f>
        <v>#N/A</v>
      </c>
      <c r="K1056" s="1013" t="e">
        <f>IF($A1056="","",LOOKUP($B1056,$T$819:$T$897,P$819:P$897))</f>
        <v>#N/A</v>
      </c>
      <c r="L1056" s="613"/>
      <c r="M1056" s="996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2" t="e">
        <f t="shared" si="160"/>
        <v>#N/A</v>
      </c>
      <c r="B1057" s="986">
        <v>15</v>
      </c>
      <c r="C1057" s="657" t="e">
        <f t="shared" si="152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3" t="e">
        <f>IF($A1057="","",LOOKUP($B1057,$T$819:$T$897,E$819:E$897))</f>
        <v>#N/A</v>
      </c>
      <c r="I1057" s="1013" t="e">
        <f>IF($A1057="","",LOOKUP($B1057,$T$819:$T$897,O$819:O$897))</f>
        <v>#N/A</v>
      </c>
      <c r="J1057" s="1013" t="e">
        <f>IF($A1057="","",LOOKUP($B1057,$T$819:$T$897,F$819:F$897))</f>
        <v>#N/A</v>
      </c>
      <c r="K1057" s="1013" t="e">
        <f>IF($A1057="","",LOOKUP($B1057,$T$819:$T$897,P$819:P$897))</f>
        <v>#N/A</v>
      </c>
      <c r="L1057" s="613"/>
      <c r="M1057" s="996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2" t="e">
        <f t="shared" si="160"/>
        <v>#N/A</v>
      </c>
      <c r="B1058" s="986">
        <v>16</v>
      </c>
      <c r="C1058" s="657" t="e">
        <f t="shared" si="152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3" t="e">
        <f>IF($A1058="","",LOOKUP($B1058,$T$819:$T$897,E$819:E$897))</f>
        <v>#N/A</v>
      </c>
      <c r="I1058" s="1013" t="e">
        <f>IF($A1058="","",LOOKUP($B1058,$T$819:$T$897,O$819:O$897))</f>
        <v>#N/A</v>
      </c>
      <c r="J1058" s="1013" t="e">
        <f>IF($A1058="","",LOOKUP($B1058,$T$819:$T$897,F$819:F$897))</f>
        <v>#N/A</v>
      </c>
      <c r="K1058" s="1013" t="e">
        <f>IF($A1058="","",LOOKUP($B1058,$T$819:$T$897,P$819:P$897))</f>
        <v>#N/A</v>
      </c>
      <c r="L1058" s="613"/>
      <c r="M1058" s="996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2" t="e">
        <f t="shared" si="160"/>
        <v>#N/A</v>
      </c>
      <c r="B1059" s="986">
        <v>16</v>
      </c>
      <c r="C1059" s="657" t="e">
        <f t="shared" si="152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3" t="e">
        <f>IF($A1059="","",LOOKUP($B1059,$T$819:$T$897,E$819:E$897))</f>
        <v>#N/A</v>
      </c>
      <c r="I1059" s="1013" t="e">
        <f>IF($A1059="","",LOOKUP($B1059,$T$819:$T$897,O$819:O$897))</f>
        <v>#N/A</v>
      </c>
      <c r="J1059" s="1013" t="e">
        <f>IF($A1059="","",LOOKUP($B1059,$T$819:$T$897,F$819:F$897))</f>
        <v>#N/A</v>
      </c>
      <c r="K1059" s="1013" t="e">
        <f>IF($A1059="","",LOOKUP($B1059,$T$819:$T$897,P$819:P$897))</f>
        <v>#N/A</v>
      </c>
      <c r="L1059" s="613"/>
      <c r="M1059" s="996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2" t="s">
        <v>489</v>
      </c>
      <c r="B1060" s="986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6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2" t="s">
        <v>682</v>
      </c>
      <c r="B1061" s="986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6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2" t="s">
        <v>683</v>
      </c>
      <c r="B1062" s="986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2" t="s">
        <v>684</v>
      </c>
      <c r="B1063" s="986"/>
      <c r="C1063" s="657" t="e">
        <f>SUM(C860:C878,C880:C881,C883)</f>
        <v>#VALUE!</v>
      </c>
      <c r="D1063" s="657" t="e">
        <f>SUM(M860:M878,M880:M881,M883)</f>
        <v>#VALUE!</v>
      </c>
      <c r="E1063" s="657" t="e">
        <f>SUM(D860:D878,D880:D881,D883)</f>
        <v>#VALUE!</v>
      </c>
      <c r="F1063" s="657" t="e">
        <f>SUM(N860:N878,N880:N881,N883)</f>
        <v>#VALUE!</v>
      </c>
      <c r="G1063" s="613"/>
      <c r="H1063" s="657" t="e">
        <f>SUM(E860:E878,E880:E881,E883)</f>
        <v>#VALUE!</v>
      </c>
      <c r="I1063" s="657" t="e">
        <f>SUM(O860:O878,O880:O881,O883)</f>
        <v>#VALUE!</v>
      </c>
      <c r="J1063" s="657" t="e">
        <f>SUM(F860:F878,F880:F881,F883)</f>
        <v>#VALUE!</v>
      </c>
      <c r="K1063" s="657" t="e">
        <f>SUM(P860:P878,P880:P881,P883)</f>
        <v>#VALUE!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4" t="s">
        <v>490</v>
      </c>
      <c r="B1064" s="986"/>
      <c r="C1064" s="657">
        <f>SUM(C858:C859)</f>
        <v>0</v>
      </c>
      <c r="D1064" s="1015">
        <f>SUM(M858:M859)</f>
        <v>0</v>
      </c>
      <c r="E1064" s="657">
        <f>SUM(D858:D859)</f>
        <v>0</v>
      </c>
      <c r="F1064" s="1015">
        <f>SUM(N858:N859)</f>
        <v>0</v>
      </c>
      <c r="G1064" s="613"/>
      <c r="H1064" s="657">
        <f>SUM(E858:E859)</f>
        <v>0</v>
      </c>
      <c r="I1064" s="1015">
        <f>SUM(O858:O859)</f>
        <v>0</v>
      </c>
      <c r="J1064" s="657">
        <f>SUM(F858:F859)</f>
        <v>0</v>
      </c>
      <c r="K1064" s="1015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6" t="s">
        <v>72</v>
      </c>
      <c r="B1065" s="986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7"/>
      <c r="H1065" s="1013" t="e">
        <f>SUM(H1043:H1064)</f>
        <v>#N/A</v>
      </c>
      <c r="I1065" s="1013" t="e">
        <f>SUM(I1043:I1064)</f>
        <v>#N/A</v>
      </c>
      <c r="J1065" s="1013" t="e">
        <f>SUM(J1043:J1064)</f>
        <v>#N/A</v>
      </c>
      <c r="K1065" s="1013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6"/>
      <c r="C1066" s="1018"/>
      <c r="D1066" s="1018"/>
      <c r="E1066" s="1018"/>
      <c r="F1066" s="1018"/>
      <c r="G1066" s="613"/>
      <c r="H1066" s="1019"/>
      <c r="I1066" s="1019"/>
      <c r="J1066" s="1019"/>
      <c r="K1066" s="1019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3" t="s">
        <v>16</v>
      </c>
      <c r="B1067" s="986"/>
      <c r="C1067" s="994" t="str">
        <f>C1035</f>
        <v>VP</v>
      </c>
      <c r="D1067" s="994" t="str">
        <f>C1035</f>
        <v>VP</v>
      </c>
      <c r="E1067" s="994" t="str">
        <f>E1035</f>
        <v>P</v>
      </c>
      <c r="F1067" s="994" t="str">
        <f>E1035</f>
        <v>P</v>
      </c>
      <c r="G1067" s="613"/>
      <c r="H1067" s="995" t="str">
        <f>H1035</f>
        <v>M</v>
      </c>
      <c r="I1067" s="995" t="str">
        <f>H1035</f>
        <v>M</v>
      </c>
      <c r="J1067" s="995" t="str">
        <f>J1035</f>
        <v>BO</v>
      </c>
      <c r="K1067" s="995" t="str">
        <f>J1035</f>
        <v>BO</v>
      </c>
      <c r="L1067" s="613"/>
      <c r="M1067" s="995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2" t="e">
        <f t="shared" ref="A1068:A1090" si="161">IF(OR(A1067="",LOOKUP(B1068,$T$903:$T$982,A$903:A$982)=A1067),"",LOOKUP(B1068,$T$903:$T$982,A$903:A$982))</f>
        <v>#N/A</v>
      </c>
      <c r="B1068" s="986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6" t="e">
        <f>LOOKUP($B1068,$T$903:$T$982,E$903:E$982)</f>
        <v>#N/A</v>
      </c>
      <c r="I1068" s="996" t="e">
        <f>LOOKUP($B1068,$T$903:$T$982,O$903:O$982)</f>
        <v>#N/A</v>
      </c>
      <c r="J1068" s="996" t="e">
        <f>LOOKUP($B1068,$T$903:$T$982,F$903:F$982)</f>
        <v>#N/A</v>
      </c>
      <c r="K1068" s="996" t="e">
        <f>LOOKUP($B1068,$T$903:$T$982,P$903:P$982)</f>
        <v>#N/A</v>
      </c>
      <c r="L1068" s="613"/>
      <c r="M1068" s="773" t="e">
        <f t="shared" ref="M1068:M1090" si="162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2" t="e">
        <f t="shared" si="161"/>
        <v>#N/A</v>
      </c>
      <c r="B1069" s="986">
        <v>2</v>
      </c>
      <c r="C1069" s="891" t="e">
        <f t="shared" ref="C1069:C1090" si="163">IF($A1069="","",LOOKUP($B1069,$T$903:$T$982,C$903:C$982))</f>
        <v>#N/A</v>
      </c>
      <c r="D1069" s="891" t="e">
        <f t="shared" ref="D1069:D1090" si="164">IF($A1069="","",LOOKUP($B1069,$T$903:$T$982,M$903:M$982))</f>
        <v>#N/A</v>
      </c>
      <c r="E1069" s="891" t="e">
        <f t="shared" ref="E1069:E1090" si="165">IF($A1069="","",LOOKUP($B1069,$T$903:$T$982,D$903:D$982))</f>
        <v>#N/A</v>
      </c>
      <c r="F1069" s="891" t="e">
        <f t="shared" ref="F1069:F1090" si="166">IF($A1069="","",LOOKUP($B1069,$T$903:$T$982,N$903:N$982))</f>
        <v>#N/A</v>
      </c>
      <c r="G1069" s="613"/>
      <c r="H1069" s="996" t="e">
        <f t="shared" ref="H1069:H1090" si="167">IF($A1069="","",LOOKUP($B1069,$T$903:$T$982,E$903:E$982))</f>
        <v>#N/A</v>
      </c>
      <c r="I1069" s="996" t="e">
        <f t="shared" ref="I1069:I1090" si="168">IF($A1069="","",LOOKUP($B1069,$T$903:$T$982,O$903:O$982))</f>
        <v>#N/A</v>
      </c>
      <c r="J1069" s="996" t="e">
        <f t="shared" ref="J1069:J1090" si="169">IF($A1069="","",LOOKUP($B1069,$T$903:$T$982,F$903:F$982))</f>
        <v>#N/A</v>
      </c>
      <c r="K1069" s="996" t="e">
        <f t="shared" ref="K1069:K1090" si="170">IF($A1069="","",LOOKUP($B1069,$T$903:$T$982,P$903:P$982))</f>
        <v>#N/A</v>
      </c>
      <c r="L1069" s="613"/>
      <c r="M1069" s="773" t="e">
        <f t="shared" si="162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2" t="e">
        <f t="shared" si="161"/>
        <v>#N/A</v>
      </c>
      <c r="B1070" s="986">
        <v>3</v>
      </c>
      <c r="C1070" s="891" t="e">
        <f t="shared" si="163"/>
        <v>#N/A</v>
      </c>
      <c r="D1070" s="891" t="e">
        <f t="shared" si="164"/>
        <v>#N/A</v>
      </c>
      <c r="E1070" s="891" t="e">
        <f t="shared" si="165"/>
        <v>#N/A</v>
      </c>
      <c r="F1070" s="891" t="e">
        <f t="shared" si="166"/>
        <v>#N/A</v>
      </c>
      <c r="G1070" s="613"/>
      <c r="H1070" s="996" t="e">
        <f t="shared" si="167"/>
        <v>#N/A</v>
      </c>
      <c r="I1070" s="996" t="e">
        <f t="shared" si="168"/>
        <v>#N/A</v>
      </c>
      <c r="J1070" s="996" t="e">
        <f t="shared" si="169"/>
        <v>#N/A</v>
      </c>
      <c r="K1070" s="996" t="e">
        <f t="shared" si="170"/>
        <v>#N/A</v>
      </c>
      <c r="L1070" s="613"/>
      <c r="M1070" s="773" t="e">
        <f t="shared" si="162"/>
        <v>#N/A</v>
      </c>
      <c r="N1070" s="613"/>
      <c r="O1070" s="613"/>
      <c r="P1070" s="613"/>
      <c r="Q1070" s="236"/>
      <c r="R1070" s="613" t="e">
        <f t="shared" ref="R1070:R1090" si="171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2" t="e">
        <f t="shared" si="161"/>
        <v>#N/A</v>
      </c>
      <c r="B1071" s="986">
        <v>4</v>
      </c>
      <c r="C1071" s="891" t="e">
        <f t="shared" si="163"/>
        <v>#N/A</v>
      </c>
      <c r="D1071" s="891" t="e">
        <f t="shared" si="164"/>
        <v>#N/A</v>
      </c>
      <c r="E1071" s="891" t="e">
        <f t="shared" si="165"/>
        <v>#N/A</v>
      </c>
      <c r="F1071" s="891" t="e">
        <f t="shared" si="166"/>
        <v>#N/A</v>
      </c>
      <c r="G1071" s="613"/>
      <c r="H1071" s="996" t="e">
        <f t="shared" si="167"/>
        <v>#N/A</v>
      </c>
      <c r="I1071" s="996" t="e">
        <f t="shared" si="168"/>
        <v>#N/A</v>
      </c>
      <c r="J1071" s="996" t="e">
        <f t="shared" si="169"/>
        <v>#N/A</v>
      </c>
      <c r="K1071" s="996" t="e">
        <f t="shared" si="170"/>
        <v>#N/A</v>
      </c>
      <c r="L1071" s="613"/>
      <c r="M1071" s="773" t="e">
        <f t="shared" si="162"/>
        <v>#N/A</v>
      </c>
      <c r="N1071" s="613"/>
      <c r="O1071" s="613"/>
      <c r="P1071" s="613"/>
      <c r="Q1071" s="236"/>
      <c r="R1071" s="613" t="e">
        <f t="shared" si="171"/>
        <v>#N/A</v>
      </c>
      <c r="S1071" s="29"/>
      <c r="T1071" s="29"/>
      <c r="U1071" s="829">
        <v>1072</v>
      </c>
      <c r="V1071" s="29"/>
    </row>
    <row r="1072" spans="1:22" ht="15.75" customHeight="1">
      <c r="A1072" s="1012" t="e">
        <f t="shared" si="161"/>
        <v>#N/A</v>
      </c>
      <c r="B1072" s="986">
        <v>5</v>
      </c>
      <c r="C1072" s="891" t="e">
        <f t="shared" si="163"/>
        <v>#N/A</v>
      </c>
      <c r="D1072" s="891" t="e">
        <f t="shared" si="164"/>
        <v>#N/A</v>
      </c>
      <c r="E1072" s="891" t="e">
        <f t="shared" si="165"/>
        <v>#N/A</v>
      </c>
      <c r="F1072" s="891" t="e">
        <f t="shared" si="166"/>
        <v>#N/A</v>
      </c>
      <c r="G1072" s="613"/>
      <c r="H1072" s="996" t="e">
        <f t="shared" si="167"/>
        <v>#N/A</v>
      </c>
      <c r="I1072" s="996" t="e">
        <f t="shared" si="168"/>
        <v>#N/A</v>
      </c>
      <c r="J1072" s="996" t="e">
        <f t="shared" si="169"/>
        <v>#N/A</v>
      </c>
      <c r="K1072" s="996" t="e">
        <f t="shared" si="170"/>
        <v>#N/A</v>
      </c>
      <c r="L1072" s="613"/>
      <c r="M1072" s="773" t="e">
        <f t="shared" si="162"/>
        <v>#N/A</v>
      </c>
      <c r="N1072" s="613"/>
      <c r="O1072" s="613"/>
      <c r="P1072" s="613"/>
      <c r="Q1072" s="236"/>
      <c r="R1072" s="613" t="e">
        <f t="shared" si="171"/>
        <v>#N/A</v>
      </c>
      <c r="S1072" s="29"/>
      <c r="T1072" s="29"/>
      <c r="U1072" s="829">
        <v>1073</v>
      </c>
      <c r="V1072" s="29"/>
    </row>
    <row r="1073" spans="1:22" ht="15.75" customHeight="1">
      <c r="A1073" s="1012" t="e">
        <f t="shared" si="161"/>
        <v>#N/A</v>
      </c>
      <c r="B1073" s="986">
        <v>6</v>
      </c>
      <c r="C1073" s="891" t="e">
        <f t="shared" si="163"/>
        <v>#N/A</v>
      </c>
      <c r="D1073" s="891" t="e">
        <f t="shared" si="164"/>
        <v>#N/A</v>
      </c>
      <c r="E1073" s="891" t="e">
        <f t="shared" si="165"/>
        <v>#N/A</v>
      </c>
      <c r="F1073" s="891" t="e">
        <f t="shared" si="166"/>
        <v>#N/A</v>
      </c>
      <c r="G1073" s="613"/>
      <c r="H1073" s="996" t="e">
        <f t="shared" si="167"/>
        <v>#N/A</v>
      </c>
      <c r="I1073" s="996" t="e">
        <f t="shared" si="168"/>
        <v>#N/A</v>
      </c>
      <c r="J1073" s="996" t="e">
        <f t="shared" si="169"/>
        <v>#N/A</v>
      </c>
      <c r="K1073" s="996" t="e">
        <f t="shared" si="170"/>
        <v>#N/A</v>
      </c>
      <c r="L1073" s="613"/>
      <c r="M1073" s="773" t="e">
        <f t="shared" si="162"/>
        <v>#N/A</v>
      </c>
      <c r="N1073" s="613"/>
      <c r="O1073" s="613"/>
      <c r="P1073" s="613"/>
      <c r="Q1073" s="236"/>
      <c r="R1073" s="613" t="e">
        <f t="shared" si="171"/>
        <v>#N/A</v>
      </c>
      <c r="S1073" s="29"/>
      <c r="T1073" s="29"/>
      <c r="U1073" s="829">
        <v>1074</v>
      </c>
      <c r="V1073" s="29"/>
    </row>
    <row r="1074" spans="1:22" ht="15.75" customHeight="1">
      <c r="A1074" s="1012" t="e">
        <f t="shared" si="161"/>
        <v>#N/A</v>
      </c>
      <c r="B1074" s="986">
        <v>7</v>
      </c>
      <c r="C1074" s="891" t="e">
        <f t="shared" si="163"/>
        <v>#N/A</v>
      </c>
      <c r="D1074" s="891" t="e">
        <f t="shared" si="164"/>
        <v>#N/A</v>
      </c>
      <c r="E1074" s="891" t="e">
        <f t="shared" si="165"/>
        <v>#N/A</v>
      </c>
      <c r="F1074" s="891" t="e">
        <f t="shared" si="166"/>
        <v>#N/A</v>
      </c>
      <c r="G1074" s="613"/>
      <c r="H1074" s="996" t="e">
        <f t="shared" si="167"/>
        <v>#N/A</v>
      </c>
      <c r="I1074" s="996" t="e">
        <f t="shared" si="168"/>
        <v>#N/A</v>
      </c>
      <c r="J1074" s="996" t="e">
        <f t="shared" si="169"/>
        <v>#N/A</v>
      </c>
      <c r="K1074" s="996" t="e">
        <f t="shared" si="170"/>
        <v>#N/A</v>
      </c>
      <c r="L1074" s="613"/>
      <c r="M1074" s="773" t="e">
        <f t="shared" si="162"/>
        <v>#N/A</v>
      </c>
      <c r="N1074" s="613"/>
      <c r="O1074" s="613"/>
      <c r="P1074" s="613"/>
      <c r="Q1074" s="236"/>
      <c r="R1074" s="613" t="e">
        <f t="shared" si="171"/>
        <v>#N/A</v>
      </c>
      <c r="S1074" s="29"/>
      <c r="T1074" s="29"/>
      <c r="U1074" s="829">
        <v>1075</v>
      </c>
      <c r="V1074" s="29"/>
    </row>
    <row r="1075" spans="1:22" ht="15.75" customHeight="1">
      <c r="A1075" s="1012" t="e">
        <f t="shared" si="161"/>
        <v>#N/A</v>
      </c>
      <c r="B1075" s="986">
        <v>8</v>
      </c>
      <c r="C1075" s="891" t="e">
        <f t="shared" si="163"/>
        <v>#N/A</v>
      </c>
      <c r="D1075" s="891" t="e">
        <f t="shared" si="164"/>
        <v>#N/A</v>
      </c>
      <c r="E1075" s="891" t="e">
        <f t="shared" si="165"/>
        <v>#N/A</v>
      </c>
      <c r="F1075" s="891" t="e">
        <f t="shared" si="166"/>
        <v>#N/A</v>
      </c>
      <c r="G1075" s="613"/>
      <c r="H1075" s="996" t="e">
        <f t="shared" si="167"/>
        <v>#N/A</v>
      </c>
      <c r="I1075" s="996" t="e">
        <f t="shared" si="168"/>
        <v>#N/A</v>
      </c>
      <c r="J1075" s="996" t="e">
        <f t="shared" si="169"/>
        <v>#N/A</v>
      </c>
      <c r="K1075" s="996" t="e">
        <f t="shared" si="170"/>
        <v>#N/A</v>
      </c>
      <c r="L1075" s="613"/>
      <c r="M1075" s="773" t="e">
        <f t="shared" si="162"/>
        <v>#N/A</v>
      </c>
      <c r="N1075" s="613"/>
      <c r="O1075" s="613"/>
      <c r="P1075" s="613"/>
      <c r="Q1075" s="236"/>
      <c r="R1075" s="613" t="e">
        <f t="shared" si="171"/>
        <v>#N/A</v>
      </c>
      <c r="S1075" s="29"/>
      <c r="T1075" s="29"/>
      <c r="U1075" s="829">
        <v>1076</v>
      </c>
      <c r="V1075" s="29"/>
    </row>
    <row r="1076" spans="1:22" ht="15.75" customHeight="1">
      <c r="A1076" s="1012" t="e">
        <f t="shared" si="161"/>
        <v>#N/A</v>
      </c>
      <c r="B1076" s="986">
        <v>9</v>
      </c>
      <c r="C1076" s="891" t="e">
        <f t="shared" si="163"/>
        <v>#N/A</v>
      </c>
      <c r="D1076" s="891" t="e">
        <f t="shared" si="164"/>
        <v>#N/A</v>
      </c>
      <c r="E1076" s="891" t="e">
        <f t="shared" si="165"/>
        <v>#N/A</v>
      </c>
      <c r="F1076" s="891" t="e">
        <f t="shared" si="166"/>
        <v>#N/A</v>
      </c>
      <c r="G1076" s="613"/>
      <c r="H1076" s="996" t="e">
        <f t="shared" si="167"/>
        <v>#N/A</v>
      </c>
      <c r="I1076" s="996" t="e">
        <f t="shared" si="168"/>
        <v>#N/A</v>
      </c>
      <c r="J1076" s="996" t="e">
        <f t="shared" si="169"/>
        <v>#N/A</v>
      </c>
      <c r="K1076" s="996" t="e">
        <f t="shared" si="170"/>
        <v>#N/A</v>
      </c>
      <c r="L1076" s="613"/>
      <c r="M1076" s="773" t="e">
        <f t="shared" si="162"/>
        <v>#N/A</v>
      </c>
      <c r="N1076" s="613"/>
      <c r="O1076" s="613"/>
      <c r="P1076" s="613"/>
      <c r="Q1076" s="236"/>
      <c r="R1076" s="613" t="e">
        <f t="shared" si="171"/>
        <v>#N/A</v>
      </c>
      <c r="S1076" s="29"/>
      <c r="T1076" s="29"/>
      <c r="U1076" s="829">
        <v>1077</v>
      </c>
      <c r="V1076" s="29"/>
    </row>
    <row r="1077" spans="1:22" ht="15.75" customHeight="1">
      <c r="A1077" s="1012" t="e">
        <f t="shared" si="161"/>
        <v>#N/A</v>
      </c>
      <c r="B1077" s="986">
        <v>10</v>
      </c>
      <c r="C1077" s="891" t="e">
        <f t="shared" si="163"/>
        <v>#N/A</v>
      </c>
      <c r="D1077" s="891" t="e">
        <f t="shared" si="164"/>
        <v>#N/A</v>
      </c>
      <c r="E1077" s="891" t="e">
        <f t="shared" si="165"/>
        <v>#N/A</v>
      </c>
      <c r="F1077" s="891" t="e">
        <f t="shared" si="166"/>
        <v>#N/A</v>
      </c>
      <c r="G1077" s="613"/>
      <c r="H1077" s="996" t="e">
        <f t="shared" si="167"/>
        <v>#N/A</v>
      </c>
      <c r="I1077" s="996" t="e">
        <f t="shared" si="168"/>
        <v>#N/A</v>
      </c>
      <c r="J1077" s="996" t="e">
        <f t="shared" si="169"/>
        <v>#N/A</v>
      </c>
      <c r="K1077" s="996" t="e">
        <f t="shared" si="170"/>
        <v>#N/A</v>
      </c>
      <c r="L1077" s="613"/>
      <c r="M1077" s="773" t="e">
        <f t="shared" si="162"/>
        <v>#N/A</v>
      </c>
      <c r="N1077" s="613"/>
      <c r="O1077" s="613"/>
      <c r="P1077" s="613"/>
      <c r="Q1077" s="236"/>
      <c r="R1077" s="613" t="e">
        <f t="shared" si="171"/>
        <v>#N/A</v>
      </c>
      <c r="S1077" s="29"/>
      <c r="T1077" s="29"/>
      <c r="U1077" s="829">
        <v>1078</v>
      </c>
      <c r="V1077" s="29"/>
    </row>
    <row r="1078" spans="1:22" ht="15.75" customHeight="1">
      <c r="A1078" s="1012" t="e">
        <f t="shared" si="161"/>
        <v>#N/A</v>
      </c>
      <c r="B1078" s="986">
        <v>11</v>
      </c>
      <c r="C1078" s="891" t="e">
        <f t="shared" si="163"/>
        <v>#N/A</v>
      </c>
      <c r="D1078" s="891" t="e">
        <f t="shared" si="164"/>
        <v>#N/A</v>
      </c>
      <c r="E1078" s="891" t="e">
        <f t="shared" si="165"/>
        <v>#N/A</v>
      </c>
      <c r="F1078" s="891" t="e">
        <f t="shared" si="166"/>
        <v>#N/A</v>
      </c>
      <c r="G1078" s="613"/>
      <c r="H1078" s="996" t="e">
        <f t="shared" si="167"/>
        <v>#N/A</v>
      </c>
      <c r="I1078" s="996" t="e">
        <f t="shared" si="168"/>
        <v>#N/A</v>
      </c>
      <c r="J1078" s="996" t="e">
        <f t="shared" si="169"/>
        <v>#N/A</v>
      </c>
      <c r="K1078" s="996" t="e">
        <f t="shared" si="170"/>
        <v>#N/A</v>
      </c>
      <c r="L1078" s="613"/>
      <c r="M1078" s="773" t="e">
        <f t="shared" si="162"/>
        <v>#N/A</v>
      </c>
      <c r="N1078" s="613"/>
      <c r="O1078" s="613"/>
      <c r="P1078" s="613"/>
      <c r="Q1078" s="236"/>
      <c r="R1078" s="613" t="e">
        <f t="shared" si="171"/>
        <v>#N/A</v>
      </c>
      <c r="S1078" s="29"/>
      <c r="T1078" s="29"/>
      <c r="U1078" s="829">
        <v>1079</v>
      </c>
      <c r="V1078" s="29"/>
    </row>
    <row r="1079" spans="1:22" ht="15.75" customHeight="1">
      <c r="A1079" s="1012" t="e">
        <f t="shared" si="161"/>
        <v>#N/A</v>
      </c>
      <c r="B1079" s="986">
        <v>12</v>
      </c>
      <c r="C1079" s="891" t="e">
        <f t="shared" si="163"/>
        <v>#N/A</v>
      </c>
      <c r="D1079" s="891" t="e">
        <f t="shared" si="164"/>
        <v>#N/A</v>
      </c>
      <c r="E1079" s="891" t="e">
        <f t="shared" si="165"/>
        <v>#N/A</v>
      </c>
      <c r="F1079" s="891" t="e">
        <f t="shared" si="166"/>
        <v>#N/A</v>
      </c>
      <c r="G1079" s="613"/>
      <c r="H1079" s="996" t="e">
        <f t="shared" si="167"/>
        <v>#N/A</v>
      </c>
      <c r="I1079" s="996" t="e">
        <f t="shared" si="168"/>
        <v>#N/A</v>
      </c>
      <c r="J1079" s="996" t="e">
        <f t="shared" si="169"/>
        <v>#N/A</v>
      </c>
      <c r="K1079" s="996" t="e">
        <f t="shared" si="170"/>
        <v>#N/A</v>
      </c>
      <c r="L1079" s="613"/>
      <c r="M1079" s="773" t="e">
        <f t="shared" si="162"/>
        <v>#N/A</v>
      </c>
      <c r="N1079" s="613"/>
      <c r="O1079" s="613"/>
      <c r="P1079" s="613"/>
      <c r="Q1079" s="236"/>
      <c r="R1079" s="613" t="e">
        <f t="shared" si="171"/>
        <v>#N/A</v>
      </c>
      <c r="S1079" s="29"/>
      <c r="T1079" s="29"/>
      <c r="U1079" s="829">
        <v>1080</v>
      </c>
      <c r="V1079" s="29"/>
    </row>
    <row r="1080" spans="1:22" ht="15.75" customHeight="1">
      <c r="A1080" s="1012" t="e">
        <f t="shared" si="161"/>
        <v>#N/A</v>
      </c>
      <c r="B1080" s="986">
        <v>13</v>
      </c>
      <c r="C1080" s="891" t="e">
        <f t="shared" si="163"/>
        <v>#N/A</v>
      </c>
      <c r="D1080" s="891" t="e">
        <f t="shared" si="164"/>
        <v>#N/A</v>
      </c>
      <c r="E1080" s="891" t="e">
        <f t="shared" si="165"/>
        <v>#N/A</v>
      </c>
      <c r="F1080" s="891" t="e">
        <f t="shared" si="166"/>
        <v>#N/A</v>
      </c>
      <c r="G1080" s="613"/>
      <c r="H1080" s="996" t="e">
        <f t="shared" si="167"/>
        <v>#N/A</v>
      </c>
      <c r="I1080" s="996" t="e">
        <f t="shared" si="168"/>
        <v>#N/A</v>
      </c>
      <c r="J1080" s="996" t="e">
        <f t="shared" si="169"/>
        <v>#N/A</v>
      </c>
      <c r="K1080" s="996" t="e">
        <f t="shared" si="170"/>
        <v>#N/A</v>
      </c>
      <c r="L1080" s="613"/>
      <c r="M1080" s="773" t="e">
        <f t="shared" si="162"/>
        <v>#N/A</v>
      </c>
      <c r="N1080" s="613"/>
      <c r="O1080" s="613"/>
      <c r="P1080" s="613"/>
      <c r="Q1080" s="236"/>
      <c r="R1080" s="613" t="e">
        <f t="shared" si="171"/>
        <v>#N/A</v>
      </c>
      <c r="S1080" s="29"/>
      <c r="T1080" s="29"/>
      <c r="U1080" s="829">
        <v>1081</v>
      </c>
      <c r="V1080" s="29"/>
    </row>
    <row r="1081" spans="1:22" ht="15.75" customHeight="1">
      <c r="A1081" s="1012" t="e">
        <f t="shared" si="161"/>
        <v>#N/A</v>
      </c>
      <c r="B1081" s="986">
        <v>14</v>
      </c>
      <c r="C1081" s="891" t="e">
        <f t="shared" si="163"/>
        <v>#N/A</v>
      </c>
      <c r="D1081" s="891" t="e">
        <f t="shared" si="164"/>
        <v>#N/A</v>
      </c>
      <c r="E1081" s="891" t="e">
        <f t="shared" si="165"/>
        <v>#N/A</v>
      </c>
      <c r="F1081" s="891" t="e">
        <f t="shared" si="166"/>
        <v>#N/A</v>
      </c>
      <c r="G1081" s="613"/>
      <c r="H1081" s="996" t="e">
        <f t="shared" si="167"/>
        <v>#N/A</v>
      </c>
      <c r="I1081" s="996" t="e">
        <f t="shared" si="168"/>
        <v>#N/A</v>
      </c>
      <c r="J1081" s="996" t="e">
        <f t="shared" si="169"/>
        <v>#N/A</v>
      </c>
      <c r="K1081" s="996" t="e">
        <f t="shared" si="170"/>
        <v>#N/A</v>
      </c>
      <c r="L1081" s="613"/>
      <c r="M1081" s="773" t="e">
        <f t="shared" si="162"/>
        <v>#N/A</v>
      </c>
      <c r="N1081" s="613"/>
      <c r="O1081" s="613"/>
      <c r="P1081" s="613"/>
      <c r="Q1081" s="236"/>
      <c r="R1081" s="613" t="e">
        <f t="shared" si="171"/>
        <v>#N/A</v>
      </c>
      <c r="S1081" s="29"/>
      <c r="T1081" s="29"/>
      <c r="U1081" s="829">
        <v>1082</v>
      </c>
      <c r="V1081" s="29"/>
    </row>
    <row r="1082" spans="1:22" ht="15.75" customHeight="1">
      <c r="A1082" s="1012" t="e">
        <f t="shared" si="161"/>
        <v>#N/A</v>
      </c>
      <c r="B1082" s="986">
        <v>15</v>
      </c>
      <c r="C1082" s="891" t="e">
        <f t="shared" si="163"/>
        <v>#N/A</v>
      </c>
      <c r="D1082" s="891" t="e">
        <f t="shared" si="164"/>
        <v>#N/A</v>
      </c>
      <c r="E1082" s="891" t="e">
        <f t="shared" si="165"/>
        <v>#N/A</v>
      </c>
      <c r="F1082" s="891" t="e">
        <f t="shared" si="166"/>
        <v>#N/A</v>
      </c>
      <c r="G1082" s="613"/>
      <c r="H1082" s="996" t="e">
        <f t="shared" si="167"/>
        <v>#N/A</v>
      </c>
      <c r="I1082" s="996" t="e">
        <f t="shared" si="168"/>
        <v>#N/A</v>
      </c>
      <c r="J1082" s="996" t="e">
        <f t="shared" si="169"/>
        <v>#N/A</v>
      </c>
      <c r="K1082" s="996" t="e">
        <f t="shared" si="170"/>
        <v>#N/A</v>
      </c>
      <c r="L1082" s="613"/>
      <c r="M1082" s="773" t="e">
        <f t="shared" si="162"/>
        <v>#N/A</v>
      </c>
      <c r="N1082" s="613"/>
      <c r="O1082" s="613"/>
      <c r="P1082" s="613"/>
      <c r="Q1082" s="236"/>
      <c r="R1082" s="613" t="e">
        <f t="shared" si="171"/>
        <v>#N/A</v>
      </c>
      <c r="S1082" s="29"/>
      <c r="T1082" s="29"/>
      <c r="U1082" s="829">
        <v>1083</v>
      </c>
      <c r="V1082" s="29"/>
    </row>
    <row r="1083" spans="1:22" ht="15.75" customHeight="1">
      <c r="A1083" s="1012" t="e">
        <f t="shared" si="161"/>
        <v>#N/A</v>
      </c>
      <c r="B1083" s="986">
        <v>16</v>
      </c>
      <c r="C1083" s="891" t="e">
        <f t="shared" si="163"/>
        <v>#N/A</v>
      </c>
      <c r="D1083" s="891" t="e">
        <f t="shared" si="164"/>
        <v>#N/A</v>
      </c>
      <c r="E1083" s="891" t="e">
        <f t="shared" si="165"/>
        <v>#N/A</v>
      </c>
      <c r="F1083" s="891" t="e">
        <f t="shared" si="166"/>
        <v>#N/A</v>
      </c>
      <c r="G1083" s="613"/>
      <c r="H1083" s="996" t="e">
        <f t="shared" si="167"/>
        <v>#N/A</v>
      </c>
      <c r="I1083" s="996" t="e">
        <f t="shared" si="168"/>
        <v>#N/A</v>
      </c>
      <c r="J1083" s="996" t="e">
        <f t="shared" si="169"/>
        <v>#N/A</v>
      </c>
      <c r="K1083" s="996" t="e">
        <f t="shared" si="170"/>
        <v>#N/A</v>
      </c>
      <c r="L1083" s="613"/>
      <c r="M1083" s="773" t="e">
        <f t="shared" si="162"/>
        <v>#N/A</v>
      </c>
      <c r="N1083" s="613"/>
      <c r="O1083" s="613"/>
      <c r="P1083" s="613"/>
      <c r="Q1083" s="236"/>
      <c r="R1083" s="613" t="e">
        <f t="shared" si="171"/>
        <v>#N/A</v>
      </c>
      <c r="S1083" s="29"/>
      <c r="T1083" s="29"/>
      <c r="U1083" s="829">
        <v>1084</v>
      </c>
      <c r="V1083" s="29"/>
    </row>
    <row r="1084" spans="1:22" ht="15.75" customHeight="1">
      <c r="A1084" s="1012" t="e">
        <f t="shared" si="161"/>
        <v>#N/A</v>
      </c>
      <c r="B1084" s="986">
        <v>17</v>
      </c>
      <c r="C1084" s="891" t="e">
        <f t="shared" si="163"/>
        <v>#N/A</v>
      </c>
      <c r="D1084" s="891" t="e">
        <f t="shared" si="164"/>
        <v>#N/A</v>
      </c>
      <c r="E1084" s="891" t="e">
        <f t="shared" si="165"/>
        <v>#N/A</v>
      </c>
      <c r="F1084" s="891" t="e">
        <f t="shared" si="166"/>
        <v>#N/A</v>
      </c>
      <c r="G1084" s="613"/>
      <c r="H1084" s="996" t="e">
        <f t="shared" si="167"/>
        <v>#N/A</v>
      </c>
      <c r="I1084" s="996" t="e">
        <f t="shared" si="168"/>
        <v>#N/A</v>
      </c>
      <c r="J1084" s="996" t="e">
        <f t="shared" si="169"/>
        <v>#N/A</v>
      </c>
      <c r="K1084" s="996" t="e">
        <f t="shared" si="170"/>
        <v>#N/A</v>
      </c>
      <c r="L1084" s="613"/>
      <c r="M1084" s="773" t="e">
        <f t="shared" si="162"/>
        <v>#N/A</v>
      </c>
      <c r="N1084" s="613"/>
      <c r="O1084" s="613"/>
      <c r="P1084" s="613"/>
      <c r="Q1084" s="236"/>
      <c r="R1084" s="613" t="e">
        <f t="shared" si="171"/>
        <v>#N/A</v>
      </c>
      <c r="S1084" s="29"/>
      <c r="T1084" s="29"/>
      <c r="U1084" s="829">
        <v>1085</v>
      </c>
      <c r="V1084" s="29"/>
    </row>
    <row r="1085" spans="1:22" ht="15.75" customHeight="1">
      <c r="A1085" s="1012" t="e">
        <f t="shared" si="161"/>
        <v>#N/A</v>
      </c>
      <c r="B1085" s="986">
        <v>18</v>
      </c>
      <c r="C1085" s="891" t="e">
        <f t="shared" si="163"/>
        <v>#N/A</v>
      </c>
      <c r="D1085" s="891" t="e">
        <f t="shared" si="164"/>
        <v>#N/A</v>
      </c>
      <c r="E1085" s="891" t="e">
        <f t="shared" si="165"/>
        <v>#N/A</v>
      </c>
      <c r="F1085" s="891" t="e">
        <f t="shared" si="166"/>
        <v>#N/A</v>
      </c>
      <c r="G1085" s="613"/>
      <c r="H1085" s="996" t="e">
        <f t="shared" si="167"/>
        <v>#N/A</v>
      </c>
      <c r="I1085" s="996" t="e">
        <f t="shared" si="168"/>
        <v>#N/A</v>
      </c>
      <c r="J1085" s="996" t="e">
        <f t="shared" si="169"/>
        <v>#N/A</v>
      </c>
      <c r="K1085" s="996" t="e">
        <f t="shared" si="170"/>
        <v>#N/A</v>
      </c>
      <c r="L1085" s="613"/>
      <c r="M1085" s="773" t="e">
        <f t="shared" si="162"/>
        <v>#N/A</v>
      </c>
      <c r="N1085" s="613"/>
      <c r="O1085" s="613"/>
      <c r="P1085" s="613"/>
      <c r="Q1085" s="236"/>
      <c r="R1085" s="613" t="e">
        <f t="shared" si="171"/>
        <v>#N/A</v>
      </c>
      <c r="S1085" s="29"/>
      <c r="T1085" s="29"/>
      <c r="U1085" s="829">
        <v>1086</v>
      </c>
      <c r="V1085" s="29"/>
    </row>
    <row r="1086" spans="1:22" ht="15.75" customHeight="1">
      <c r="A1086" s="1012" t="e">
        <f t="shared" si="161"/>
        <v>#N/A</v>
      </c>
      <c r="B1086" s="986">
        <v>19</v>
      </c>
      <c r="C1086" s="891" t="e">
        <f t="shared" si="163"/>
        <v>#N/A</v>
      </c>
      <c r="D1086" s="891" t="e">
        <f t="shared" si="164"/>
        <v>#N/A</v>
      </c>
      <c r="E1086" s="891" t="e">
        <f t="shared" si="165"/>
        <v>#N/A</v>
      </c>
      <c r="F1086" s="891" t="e">
        <f t="shared" si="166"/>
        <v>#N/A</v>
      </c>
      <c r="G1086" s="613"/>
      <c r="H1086" s="996" t="e">
        <f t="shared" si="167"/>
        <v>#N/A</v>
      </c>
      <c r="I1086" s="996" t="e">
        <f t="shared" si="168"/>
        <v>#N/A</v>
      </c>
      <c r="J1086" s="996" t="e">
        <f t="shared" si="169"/>
        <v>#N/A</v>
      </c>
      <c r="K1086" s="996" t="e">
        <f t="shared" si="170"/>
        <v>#N/A</v>
      </c>
      <c r="L1086" s="613"/>
      <c r="M1086" s="773" t="e">
        <f t="shared" si="162"/>
        <v>#N/A</v>
      </c>
      <c r="N1086" s="613"/>
      <c r="O1086" s="613"/>
      <c r="P1086" s="613"/>
      <c r="Q1086" s="236"/>
      <c r="R1086" s="613" t="e">
        <f t="shared" si="171"/>
        <v>#N/A</v>
      </c>
      <c r="S1086" s="29"/>
      <c r="T1086" s="29"/>
      <c r="U1086" s="829">
        <v>1087</v>
      </c>
      <c r="V1086" s="29"/>
    </row>
    <row r="1087" spans="1:22" ht="15.75" customHeight="1">
      <c r="A1087" s="1012" t="e">
        <f t="shared" si="161"/>
        <v>#N/A</v>
      </c>
      <c r="B1087" s="986">
        <v>20</v>
      </c>
      <c r="C1087" s="891" t="e">
        <f t="shared" si="163"/>
        <v>#N/A</v>
      </c>
      <c r="D1087" s="891" t="e">
        <f t="shared" si="164"/>
        <v>#N/A</v>
      </c>
      <c r="E1087" s="891" t="e">
        <f t="shared" si="165"/>
        <v>#N/A</v>
      </c>
      <c r="F1087" s="891" t="e">
        <f t="shared" si="166"/>
        <v>#N/A</v>
      </c>
      <c r="G1087" s="613"/>
      <c r="H1087" s="996" t="e">
        <f t="shared" si="167"/>
        <v>#N/A</v>
      </c>
      <c r="I1087" s="996" t="e">
        <f t="shared" si="168"/>
        <v>#N/A</v>
      </c>
      <c r="J1087" s="996" t="e">
        <f t="shared" si="169"/>
        <v>#N/A</v>
      </c>
      <c r="K1087" s="996" t="e">
        <f t="shared" si="170"/>
        <v>#N/A</v>
      </c>
      <c r="L1087" s="613"/>
      <c r="M1087" s="773" t="e">
        <f t="shared" si="162"/>
        <v>#N/A</v>
      </c>
      <c r="N1087" s="613"/>
      <c r="O1087" s="613"/>
      <c r="P1087" s="613"/>
      <c r="Q1087" s="236"/>
      <c r="R1087" s="613" t="e">
        <f t="shared" si="171"/>
        <v>#N/A</v>
      </c>
      <c r="S1087" s="29"/>
      <c r="T1087" s="29"/>
      <c r="U1087" s="829">
        <v>1088</v>
      </c>
      <c r="V1087" s="29"/>
    </row>
    <row r="1088" spans="1:22" ht="15.75" customHeight="1">
      <c r="A1088" s="1012" t="e">
        <f t="shared" si="161"/>
        <v>#N/A</v>
      </c>
      <c r="B1088" s="986">
        <v>21</v>
      </c>
      <c r="C1088" s="891" t="e">
        <f t="shared" si="163"/>
        <v>#N/A</v>
      </c>
      <c r="D1088" s="891" t="e">
        <f t="shared" si="164"/>
        <v>#N/A</v>
      </c>
      <c r="E1088" s="891" t="e">
        <f t="shared" si="165"/>
        <v>#N/A</v>
      </c>
      <c r="F1088" s="891" t="e">
        <f t="shared" si="166"/>
        <v>#N/A</v>
      </c>
      <c r="G1088" s="613"/>
      <c r="H1088" s="996" t="e">
        <f t="shared" si="167"/>
        <v>#N/A</v>
      </c>
      <c r="I1088" s="996" t="e">
        <f t="shared" si="168"/>
        <v>#N/A</v>
      </c>
      <c r="J1088" s="996" t="e">
        <f t="shared" si="169"/>
        <v>#N/A</v>
      </c>
      <c r="K1088" s="996" t="e">
        <f t="shared" si="170"/>
        <v>#N/A</v>
      </c>
      <c r="L1088" s="613"/>
      <c r="M1088" s="773" t="e">
        <f t="shared" si="162"/>
        <v>#N/A</v>
      </c>
      <c r="N1088" s="613"/>
      <c r="O1088" s="613"/>
      <c r="P1088" s="613"/>
      <c r="Q1088" s="236"/>
      <c r="R1088" s="613" t="e">
        <f t="shared" si="171"/>
        <v>#N/A</v>
      </c>
      <c r="S1088" s="29"/>
      <c r="T1088" s="29"/>
      <c r="U1088" s="829">
        <v>1089</v>
      </c>
      <c r="V1088" s="29"/>
    </row>
    <row r="1089" spans="1:22" ht="15.75" customHeight="1">
      <c r="A1089" s="1012" t="e">
        <f t="shared" si="161"/>
        <v>#N/A</v>
      </c>
      <c r="B1089" s="986">
        <v>22</v>
      </c>
      <c r="C1089" s="891" t="e">
        <f t="shared" si="163"/>
        <v>#N/A</v>
      </c>
      <c r="D1089" s="891" t="e">
        <f t="shared" si="164"/>
        <v>#N/A</v>
      </c>
      <c r="E1089" s="891" t="e">
        <f t="shared" si="165"/>
        <v>#N/A</v>
      </c>
      <c r="F1089" s="891" t="e">
        <f t="shared" si="166"/>
        <v>#N/A</v>
      </c>
      <c r="G1089" s="613"/>
      <c r="H1089" s="996" t="e">
        <f t="shared" si="167"/>
        <v>#N/A</v>
      </c>
      <c r="I1089" s="996" t="e">
        <f t="shared" si="168"/>
        <v>#N/A</v>
      </c>
      <c r="J1089" s="996" t="e">
        <f t="shared" si="169"/>
        <v>#N/A</v>
      </c>
      <c r="K1089" s="996" t="e">
        <f t="shared" si="170"/>
        <v>#N/A</v>
      </c>
      <c r="L1089" s="613"/>
      <c r="M1089" s="773" t="e">
        <f t="shared" si="162"/>
        <v>#N/A</v>
      </c>
      <c r="N1089" s="613"/>
      <c r="O1089" s="613"/>
      <c r="P1089" s="613"/>
      <c r="Q1089" s="236"/>
      <c r="R1089" s="613" t="e">
        <f t="shared" si="171"/>
        <v>#N/A</v>
      </c>
      <c r="S1089" s="29"/>
      <c r="T1089" s="29"/>
      <c r="U1089" s="829">
        <v>1090</v>
      </c>
      <c r="V1089" s="29"/>
    </row>
    <row r="1090" spans="1:22" ht="15.75" customHeight="1">
      <c r="A1090" s="1012" t="e">
        <f t="shared" si="161"/>
        <v>#N/A</v>
      </c>
      <c r="B1090" s="986">
        <v>23</v>
      </c>
      <c r="C1090" s="891" t="e">
        <f t="shared" si="163"/>
        <v>#N/A</v>
      </c>
      <c r="D1090" s="891" t="e">
        <f t="shared" si="164"/>
        <v>#N/A</v>
      </c>
      <c r="E1090" s="891" t="e">
        <f t="shared" si="165"/>
        <v>#N/A</v>
      </c>
      <c r="F1090" s="891" t="e">
        <f t="shared" si="166"/>
        <v>#N/A</v>
      </c>
      <c r="G1090" s="613"/>
      <c r="H1090" s="996" t="e">
        <f t="shared" si="167"/>
        <v>#N/A</v>
      </c>
      <c r="I1090" s="996" t="e">
        <f t="shared" si="168"/>
        <v>#N/A</v>
      </c>
      <c r="J1090" s="996" t="e">
        <f t="shared" si="169"/>
        <v>#N/A</v>
      </c>
      <c r="K1090" s="996" t="e">
        <f t="shared" si="170"/>
        <v>#N/A</v>
      </c>
      <c r="L1090" s="613"/>
      <c r="M1090" s="773" t="e">
        <f t="shared" si="162"/>
        <v>#N/A</v>
      </c>
      <c r="N1090" s="613"/>
      <c r="O1090" s="613"/>
      <c r="P1090" s="613"/>
      <c r="Q1090" s="236"/>
      <c r="R1090" s="613" t="e">
        <f t="shared" si="171"/>
        <v>#N/A</v>
      </c>
      <c r="S1090" s="29"/>
      <c r="T1090" s="29"/>
      <c r="U1090" s="829">
        <v>1091</v>
      </c>
      <c r="V1090" s="29"/>
    </row>
    <row r="1091" spans="1:22" ht="15.75" customHeight="1">
      <c r="A1091" s="1016" t="s">
        <v>72</v>
      </c>
      <c r="B1091" s="986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6" t="e">
        <f>SUM(H1068:H1090)</f>
        <v>#N/A</v>
      </c>
      <c r="I1091" s="996" t="e">
        <f>SUM(I1068:I1090)</f>
        <v>#N/A</v>
      </c>
      <c r="J1091" s="996" t="e">
        <f>SUM(J1068:J1090)</f>
        <v>#N/A</v>
      </c>
      <c r="K1091" s="996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6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6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6"/>
      <c r="C1094" s="1020" t="e">
        <f>C899</f>
        <v>#VALUE!</v>
      </c>
      <c r="D1094" s="1020" t="e">
        <f>M899</f>
        <v>#VALUE!</v>
      </c>
      <c r="E1094" s="1020" t="e">
        <f>D899</f>
        <v>#VALUE!</v>
      </c>
      <c r="F1094" s="1020" t="e">
        <f>N899</f>
        <v>#VALUE!</v>
      </c>
      <c r="G1094" s="613"/>
      <c r="H1094" s="1021" t="e">
        <f>E899</f>
        <v>#VALUE!</v>
      </c>
      <c r="I1094" s="1021" t="e">
        <f>O899</f>
        <v>#VALUE!</v>
      </c>
      <c r="J1094" s="1021" t="e">
        <f>F899</f>
        <v>#VALUE!</v>
      </c>
      <c r="K1094" s="1021" t="e">
        <f>P899</f>
        <v>#VALUE!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6"/>
      <c r="C1095" s="1018" t="e">
        <f>IF(SUM(C1042:C1064)=C1094,"OK",SUM(C1042:C1064))</f>
        <v>#N/A</v>
      </c>
      <c r="D1095" s="1018" t="e">
        <f>IF(SUM(D1042:D1064)=D1094,"OK",SUM(D1042:D1064))</f>
        <v>#N/A</v>
      </c>
      <c r="E1095" s="1018" t="e">
        <f>IF(SUM(E1042:E1064)=E1094,"OK",SUM(E1042:E1064))</f>
        <v>#N/A</v>
      </c>
      <c r="F1095" s="1018" t="e">
        <f>IF(SUM(F1042:F1064)=F1094,"OK",SUM(F1042:F1064))</f>
        <v>#N/A</v>
      </c>
      <c r="G1095" s="613"/>
      <c r="H1095" s="1018" t="e">
        <f>IF(SUM(H1042:H1064)=H1094,"OK",SUM(H1042:H1064))</f>
        <v>#N/A</v>
      </c>
      <c r="I1095" s="1018" t="e">
        <f>IF(SUM(I1042:I1064)=I1094,"OK",SUM(I1042:I1064))</f>
        <v>#N/A</v>
      </c>
      <c r="J1095" s="1018" t="e">
        <f>IF(SUM(J1042:J1064)=J1094,"OK",SUM(J1042:J1064))</f>
        <v>#N/A</v>
      </c>
      <c r="K1095" s="1018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6"/>
      <c r="C1096" s="987">
        <f>C984</f>
        <v>0</v>
      </c>
      <c r="D1096" s="987">
        <f>M984</f>
        <v>0</v>
      </c>
      <c r="E1096" s="987">
        <f>D984</f>
        <v>0</v>
      </c>
      <c r="F1096" s="987">
        <f>N984</f>
        <v>0</v>
      </c>
      <c r="G1096" s="613"/>
      <c r="H1096" s="1022">
        <f>E984</f>
        <v>0</v>
      </c>
      <c r="I1096" s="1022">
        <f>O984</f>
        <v>0</v>
      </c>
      <c r="J1096" s="1022">
        <f>F984</f>
        <v>0</v>
      </c>
      <c r="K1096" s="1022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6"/>
      <c r="C1097" s="987" t="e">
        <f>IF(SUM(C1067:C1090)=C1096,"OK",SUM(C1067:C1090))</f>
        <v>#N/A</v>
      </c>
      <c r="D1097" s="987" t="e">
        <f>IF(SUM(D1067:D1090)=D1096,"OK",SUM(D1067:D1090))</f>
        <v>#N/A</v>
      </c>
      <c r="E1097" s="987" t="e">
        <f>IF(SUM(E1067:E1090)=E1096,"OK",SUM(E1067:E1090))</f>
        <v>#N/A</v>
      </c>
      <c r="F1097" s="987" t="e">
        <f>IF(SUM(F1067:F1090)=F1096,"OK",SUM(F1067:F1090))</f>
        <v>#N/A</v>
      </c>
      <c r="G1097" s="613"/>
      <c r="H1097" s="987" t="e">
        <f>IF(SUM(H1067:H1090)=H1096,"OK",SUM(H1067:H1090))</f>
        <v>#N/A</v>
      </c>
      <c r="I1097" s="987" t="e">
        <f>IF(SUM(I1067:I1090)=I1096,"OK",SUM(I1067:I1090))</f>
        <v>#N/A</v>
      </c>
      <c r="J1097" s="987" t="e">
        <f>IF(SUM(J1067:J1090)=J1096,"OK",SUM(J1067:J1090))</f>
        <v>#N/A</v>
      </c>
      <c r="K1097" s="987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6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6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6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6"/>
      <c r="C1101" s="994" t="str">
        <f>WB!B9</f>
        <v>VP</v>
      </c>
      <c r="D1101" s="994" t="str">
        <f>WB!B10</f>
        <v>P</v>
      </c>
      <c r="E1101" s="994" t="str">
        <f>WB!B11</f>
        <v>M</v>
      </c>
      <c r="F1101" s="994" t="str">
        <f>WB!B12</f>
        <v>BO</v>
      </c>
      <c r="G1101" s="613"/>
      <c r="H1101" s="995" t="str">
        <f>C1101</f>
        <v>VP</v>
      </c>
      <c r="I1101" s="995" t="str">
        <f>D1101</f>
        <v>P</v>
      </c>
      <c r="J1101" s="995" t="str">
        <f>E1101</f>
        <v>M</v>
      </c>
      <c r="K1101" s="995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6"/>
      <c r="C1102" s="987">
        <f>C1037*365*C1038*C1039</f>
        <v>0</v>
      </c>
      <c r="D1102" s="987">
        <f>E1037*365*E1038*E1039</f>
        <v>0</v>
      </c>
      <c r="E1102" s="987">
        <f>H1037*365*H1038*H1039</f>
        <v>0</v>
      </c>
      <c r="F1102" s="987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6"/>
      <c r="C1103" s="987"/>
      <c r="D1103" s="987"/>
      <c r="E1103" s="987"/>
      <c r="F1103" s="987"/>
      <c r="G1103" s="613"/>
      <c r="H1103" s="29"/>
      <c r="I1103" s="29"/>
      <c r="J1103" s="29"/>
      <c r="K1103" s="612"/>
      <c r="L1103" s="613"/>
      <c r="M1103" s="1023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6"/>
      <c r="C1104" s="613"/>
      <c r="D1104" s="987"/>
      <c r="E1104" s="987"/>
      <c r="F1104" s="987"/>
      <c r="G1104" s="613"/>
      <c r="H1104" s="612"/>
      <c r="I1104" s="29"/>
      <c r="J1104" s="29"/>
      <c r="K1104" s="612"/>
      <c r="L1104" s="613"/>
      <c r="M1104" s="1024" t="s">
        <v>497</v>
      </c>
      <c r="N1104" s="1025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0" t="str">
        <f t="shared" ref="A1105:A1124" si="172">A829</f>
        <v>Green cons - Season 1: no of months</v>
      </c>
      <c r="B1105" s="613"/>
      <c r="C1105" s="1018">
        <f t="shared" ref="C1105:F1106" si="173">MAX(SUM(C829,M829),SUM(C829))</f>
        <v>0</v>
      </c>
      <c r="D1105" s="1018">
        <f t="shared" si="173"/>
        <v>0</v>
      </c>
      <c r="E1105" s="1018">
        <f t="shared" si="173"/>
        <v>0</v>
      </c>
      <c r="F1105" s="1018">
        <f t="shared" si="173"/>
        <v>0</v>
      </c>
      <c r="G1105" s="613"/>
      <c r="H1105" s="29"/>
      <c r="I1105" s="29"/>
      <c r="J1105" s="29"/>
      <c r="K1105" s="29"/>
      <c r="L1105" s="27"/>
      <c r="M1105" s="1009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6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0" t="str">
        <f t="shared" si="172"/>
        <v xml:space="preserve">Green beans </v>
      </c>
      <c r="B1106" s="613"/>
      <c r="C1106" s="1018">
        <f t="shared" si="173"/>
        <v>0</v>
      </c>
      <c r="D1106" s="1018">
        <f t="shared" si="173"/>
        <v>0</v>
      </c>
      <c r="E1106" s="1018">
        <f t="shared" si="173"/>
        <v>0</v>
      </c>
      <c r="F1106" s="1018">
        <f t="shared" si="173"/>
        <v>0</v>
      </c>
      <c r="G1106" s="613"/>
      <c r="H1106" s="29"/>
      <c r="I1106" s="29"/>
      <c r="J1106" s="29"/>
      <c r="K1106" s="29"/>
      <c r="L1106" s="27"/>
      <c r="M1106" s="1009" t="str">
        <f t="shared" si="174"/>
        <v/>
      </c>
      <c r="N1106" s="1026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7" t="str">
        <f t="shared" si="172"/>
        <v>Maize: kg produced</v>
      </c>
      <c r="B1107" s="613"/>
      <c r="C1107" s="1018">
        <f t="shared" ref="C1107:C1124" si="175">IF(C$1102=0,0,MAX((SUM(C831,M831)+SUM(C931,M931)/C$1102),(SUM(C831)+SUM(C931)/C$1102)))</f>
        <v>0</v>
      </c>
      <c r="D1107" s="1018">
        <f t="shared" ref="D1107:D1124" si="176">IF(D$1102=0,0,MAX((SUM(D831,N831)+SUM(D931,N931)/D$1102),(SUM(D831)+SUM(D931)/D$1102)))</f>
        <v>0</v>
      </c>
      <c r="E1107" s="1018">
        <f t="shared" ref="E1107:E1124" si="177">IF(E$1102=0,0,MAX((SUM(E831,O831)+SUM(E931,O931)/E$1102),(SUM(E831)+SUM(E931)/E$1102)))</f>
        <v>0</v>
      </c>
      <c r="F1107" s="1018">
        <f t="shared" ref="F1107:F1124" si="178">IF(F$1102=0,0,MAX((SUM(F831,P831)+SUM(F931,P931)/F$1102),(SUM(F831)+SUM(F931)/F$1102)))</f>
        <v>0</v>
      </c>
      <c r="G1107" s="613"/>
      <c r="H1107" s="1019">
        <f t="shared" ref="H1107:H1124" si="179">IF(C$1102=0,0,MAX(SUM(C931,M931)/C$1102,SUM(C931)/C$1102))</f>
        <v>0</v>
      </c>
      <c r="I1107" s="1019">
        <f t="shared" ref="I1107:I1124" si="180">IF(D$1102=0,0,MAX(SUM(D931,N931)/D$1102,SUM(D931)/D$1102))</f>
        <v>0</v>
      </c>
      <c r="J1107" s="1019">
        <f t="shared" ref="J1107:J1124" si="181">IF(E$1102=0,0,MAX(SUM(E931,O931)/E$1102,SUM(E931)/E$1102))</f>
        <v>0</v>
      </c>
      <c r="K1107" s="1019">
        <f t="shared" ref="K1107:K1124" si="182">IF(F$1102=0,0,MAX(SUM(F931,P931)/F$1102,SUM(F931)/F$1102))</f>
        <v>0</v>
      </c>
      <c r="L1107" s="27"/>
      <c r="M1107" s="1009" t="str">
        <f t="shared" si="174"/>
        <v/>
      </c>
      <c r="N1107" s="1023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7" t="str">
        <f t="shared" si="172"/>
        <v>Sorghum: kg produced</v>
      </c>
      <c r="B1108" s="613"/>
      <c r="C1108" s="1018">
        <f t="shared" si="175"/>
        <v>0</v>
      </c>
      <c r="D1108" s="1018">
        <f t="shared" si="176"/>
        <v>0</v>
      </c>
      <c r="E1108" s="1018">
        <f t="shared" si="177"/>
        <v>0</v>
      </c>
      <c r="F1108" s="1018">
        <f t="shared" si="178"/>
        <v>0</v>
      </c>
      <c r="G1108" s="613"/>
      <c r="H1108" s="1019">
        <f t="shared" si="179"/>
        <v>0</v>
      </c>
      <c r="I1108" s="1019">
        <f t="shared" si="180"/>
        <v>0</v>
      </c>
      <c r="J1108" s="1019">
        <f t="shared" si="181"/>
        <v>0</v>
      </c>
      <c r="K1108" s="1019">
        <f t="shared" si="182"/>
        <v>0</v>
      </c>
      <c r="L1108" s="27"/>
      <c r="M1108" s="1009" t="str">
        <f t="shared" si="174"/>
        <v/>
      </c>
      <c r="N1108" s="1023" t="str">
        <f t="shared" si="183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7" t="str">
        <f t="shared" si="172"/>
        <v>High value cereal: kg produced</v>
      </c>
      <c r="B1109" s="613"/>
      <c r="C1109" s="1018">
        <f t="shared" si="175"/>
        <v>0</v>
      </c>
      <c r="D1109" s="1018">
        <f t="shared" si="176"/>
        <v>0</v>
      </c>
      <c r="E1109" s="1018">
        <f t="shared" si="177"/>
        <v>0</v>
      </c>
      <c r="F1109" s="1018">
        <f t="shared" si="178"/>
        <v>0</v>
      </c>
      <c r="G1109" s="613"/>
      <c r="H1109" s="1019">
        <f t="shared" si="179"/>
        <v>0</v>
      </c>
      <c r="I1109" s="1019">
        <f t="shared" si="180"/>
        <v>0</v>
      </c>
      <c r="J1109" s="1019">
        <f t="shared" si="181"/>
        <v>0</v>
      </c>
      <c r="K1109" s="1019">
        <f t="shared" si="182"/>
        <v>0</v>
      </c>
      <c r="L1109" s="27"/>
      <c r="M1109" s="1009" t="str">
        <f t="shared" si="174"/>
        <v/>
      </c>
      <c r="N1109" s="1023" t="str">
        <f t="shared" si="183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7" t="str">
        <f t="shared" si="172"/>
        <v>High value cereal: kg produced</v>
      </c>
      <c r="B1110" s="613"/>
      <c r="C1110" s="1018">
        <f t="shared" si="175"/>
        <v>0</v>
      </c>
      <c r="D1110" s="1018">
        <f t="shared" si="176"/>
        <v>0</v>
      </c>
      <c r="E1110" s="1018">
        <f t="shared" si="177"/>
        <v>0</v>
      </c>
      <c r="F1110" s="1018">
        <f t="shared" si="178"/>
        <v>0</v>
      </c>
      <c r="G1110" s="613"/>
      <c r="H1110" s="1019">
        <f t="shared" si="179"/>
        <v>0</v>
      </c>
      <c r="I1110" s="1019">
        <f t="shared" si="180"/>
        <v>0</v>
      </c>
      <c r="J1110" s="1019">
        <f t="shared" si="181"/>
        <v>0</v>
      </c>
      <c r="K1110" s="1019">
        <f t="shared" si="182"/>
        <v>0</v>
      </c>
      <c r="L1110" s="27"/>
      <c r="M1110" s="1009" t="str">
        <f t="shared" si="174"/>
        <v/>
      </c>
      <c r="N1110" s="1023" t="str">
        <f t="shared" si="183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7" t="str">
        <f t="shared" si="172"/>
        <v>Soya Beans: kg produced</v>
      </c>
      <c r="B1111" s="613"/>
      <c r="C1111" s="1018">
        <f t="shared" si="175"/>
        <v>0</v>
      </c>
      <c r="D1111" s="1018">
        <f t="shared" si="176"/>
        <v>0</v>
      </c>
      <c r="E1111" s="1018">
        <f t="shared" si="177"/>
        <v>0</v>
      </c>
      <c r="F1111" s="1018">
        <f t="shared" si="178"/>
        <v>0</v>
      </c>
      <c r="G1111" s="613"/>
      <c r="H1111" s="1019">
        <f t="shared" si="179"/>
        <v>0</v>
      </c>
      <c r="I1111" s="1019">
        <f t="shared" si="180"/>
        <v>0</v>
      </c>
      <c r="J1111" s="1019">
        <f t="shared" si="181"/>
        <v>0</v>
      </c>
      <c r="K1111" s="1019">
        <f t="shared" si="182"/>
        <v>0</v>
      </c>
      <c r="L1111" s="27"/>
      <c r="M1111" s="1009" t="str">
        <f t="shared" si="174"/>
        <v/>
      </c>
      <c r="N1111" s="1023" t="str">
        <f t="shared" si="183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7" t="str">
        <f t="shared" si="172"/>
        <v>Beans: kg produced</v>
      </c>
      <c r="B1112" s="613"/>
      <c r="C1112" s="1018">
        <f t="shared" si="175"/>
        <v>0</v>
      </c>
      <c r="D1112" s="1018">
        <f t="shared" si="176"/>
        <v>0</v>
      </c>
      <c r="E1112" s="1018">
        <f t="shared" si="177"/>
        <v>0</v>
      </c>
      <c r="F1112" s="1018">
        <f t="shared" si="178"/>
        <v>0</v>
      </c>
      <c r="G1112" s="613"/>
      <c r="H1112" s="1019">
        <f t="shared" si="179"/>
        <v>0</v>
      </c>
      <c r="I1112" s="1019">
        <f t="shared" si="180"/>
        <v>0</v>
      </c>
      <c r="J1112" s="1019">
        <f t="shared" si="181"/>
        <v>0</v>
      </c>
      <c r="K1112" s="1019">
        <f t="shared" si="182"/>
        <v>0</v>
      </c>
      <c r="L1112" s="27"/>
      <c r="M1112" s="1009" t="str">
        <f t="shared" si="174"/>
        <v/>
      </c>
      <c r="N1112" s="1023" t="str">
        <f t="shared" si="183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7" t="str">
        <f t="shared" si="172"/>
        <v>Light Green Vegetables: kg produced</v>
      </c>
      <c r="B1113" s="613"/>
      <c r="C1113" s="1018">
        <f t="shared" si="175"/>
        <v>0</v>
      </c>
      <c r="D1113" s="1018">
        <f t="shared" si="176"/>
        <v>0</v>
      </c>
      <c r="E1113" s="1018">
        <f t="shared" si="177"/>
        <v>0</v>
      </c>
      <c r="F1113" s="1018">
        <f t="shared" si="178"/>
        <v>0</v>
      </c>
      <c r="G1113" s="613"/>
      <c r="H1113" s="1019">
        <f t="shared" si="179"/>
        <v>0</v>
      </c>
      <c r="I1113" s="1019">
        <f t="shared" si="180"/>
        <v>0</v>
      </c>
      <c r="J1113" s="1019">
        <f t="shared" si="181"/>
        <v>0</v>
      </c>
      <c r="K1113" s="1019">
        <f t="shared" si="182"/>
        <v>0</v>
      </c>
      <c r="L1113" s="27"/>
      <c r="M1113" s="1009" t="str">
        <f t="shared" si="174"/>
        <v/>
      </c>
      <c r="N1113" s="1023" t="str">
        <f t="shared" si="183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7" t="str">
        <f t="shared" si="172"/>
        <v>Finger millet: kg produced</v>
      </c>
      <c r="B1114" s="613"/>
      <c r="C1114" s="1018">
        <f t="shared" si="175"/>
        <v>0</v>
      </c>
      <c r="D1114" s="1018">
        <f t="shared" si="176"/>
        <v>0</v>
      </c>
      <c r="E1114" s="1018">
        <f t="shared" si="177"/>
        <v>0</v>
      </c>
      <c r="F1114" s="1018">
        <f t="shared" si="178"/>
        <v>0</v>
      </c>
      <c r="G1114" s="613"/>
      <c r="H1114" s="1019">
        <f t="shared" si="179"/>
        <v>0</v>
      </c>
      <c r="I1114" s="1019">
        <f t="shared" si="180"/>
        <v>0</v>
      </c>
      <c r="J1114" s="1019">
        <f t="shared" si="181"/>
        <v>0</v>
      </c>
      <c r="K1114" s="1019">
        <f t="shared" si="182"/>
        <v>0</v>
      </c>
      <c r="L1114" s="27"/>
      <c r="M1114" s="1009" t="str">
        <f t="shared" si="174"/>
        <v/>
      </c>
      <c r="N1114" s="1023" t="str">
        <f t="shared" si="183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7" t="str">
        <f t="shared" si="172"/>
        <v>Wheat: kg produced</v>
      </c>
      <c r="B1115" s="613"/>
      <c r="C1115" s="1018">
        <f t="shared" si="175"/>
        <v>0</v>
      </c>
      <c r="D1115" s="1018">
        <f t="shared" si="176"/>
        <v>0</v>
      </c>
      <c r="E1115" s="1018">
        <f t="shared" si="177"/>
        <v>0</v>
      </c>
      <c r="F1115" s="1018">
        <f t="shared" si="178"/>
        <v>0</v>
      </c>
      <c r="G1115" s="613"/>
      <c r="H1115" s="1019">
        <f t="shared" si="179"/>
        <v>0</v>
      </c>
      <c r="I1115" s="1019">
        <f t="shared" si="180"/>
        <v>0</v>
      </c>
      <c r="J1115" s="1019">
        <f t="shared" si="181"/>
        <v>0</v>
      </c>
      <c r="K1115" s="1019">
        <f t="shared" si="182"/>
        <v>0</v>
      </c>
      <c r="L1115" s="27"/>
      <c r="M1115" s="1009" t="str">
        <f t="shared" si="174"/>
        <v/>
      </c>
      <c r="N1115" s="1023" t="str">
        <f t="shared" si="183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7" t="str">
        <f t="shared" si="172"/>
        <v>Cassava (fresh): no. local meas.</v>
      </c>
      <c r="B1116" s="613"/>
      <c r="C1116" s="1018">
        <f t="shared" si="175"/>
        <v>0</v>
      </c>
      <c r="D1116" s="1018">
        <f t="shared" si="176"/>
        <v>0</v>
      </c>
      <c r="E1116" s="1018">
        <f t="shared" si="177"/>
        <v>0</v>
      </c>
      <c r="F1116" s="1018">
        <f t="shared" si="178"/>
        <v>0</v>
      </c>
      <c r="G1116" s="613"/>
      <c r="H1116" s="1019">
        <f t="shared" si="179"/>
        <v>0</v>
      </c>
      <c r="I1116" s="1019">
        <f t="shared" si="180"/>
        <v>0</v>
      </c>
      <c r="J1116" s="1019">
        <f t="shared" si="181"/>
        <v>0</v>
      </c>
      <c r="K1116" s="1019">
        <f t="shared" si="182"/>
        <v>0</v>
      </c>
      <c r="L1116" s="27"/>
      <c r="M1116" s="1009" t="str">
        <f t="shared" si="174"/>
        <v/>
      </c>
      <c r="N1116" s="1023" t="str">
        <f t="shared" si="183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7" t="str">
        <f t="shared" si="172"/>
        <v>Sunflower: no. local meas</v>
      </c>
      <c r="B1117" s="613"/>
      <c r="C1117" s="1018">
        <f t="shared" si="175"/>
        <v>0</v>
      </c>
      <c r="D1117" s="1018">
        <f t="shared" si="176"/>
        <v>0</v>
      </c>
      <c r="E1117" s="1018">
        <f t="shared" si="177"/>
        <v>0</v>
      </c>
      <c r="F1117" s="1018">
        <f t="shared" si="178"/>
        <v>0</v>
      </c>
      <c r="G1117" s="613"/>
      <c r="H1117" s="1019">
        <f t="shared" si="179"/>
        <v>0</v>
      </c>
      <c r="I1117" s="1019">
        <f t="shared" si="180"/>
        <v>0</v>
      </c>
      <c r="J1117" s="1019">
        <f t="shared" si="181"/>
        <v>0</v>
      </c>
      <c r="K1117" s="1019">
        <f t="shared" si="182"/>
        <v>0</v>
      </c>
      <c r="L1117" s="27"/>
      <c r="M1117" s="1009" t="str">
        <f t="shared" si="174"/>
        <v/>
      </c>
      <c r="N1117" s="1023" t="str">
        <f t="shared" si="183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7" t="str">
        <f t="shared" si="172"/>
        <v>Other melons: no. local meas</v>
      </c>
      <c r="B1118" s="613"/>
      <c r="C1118" s="1018">
        <f t="shared" si="175"/>
        <v>0</v>
      </c>
      <c r="D1118" s="1018">
        <f t="shared" si="176"/>
        <v>0</v>
      </c>
      <c r="E1118" s="1018">
        <f t="shared" si="177"/>
        <v>0</v>
      </c>
      <c r="F1118" s="1018">
        <f t="shared" si="178"/>
        <v>0</v>
      </c>
      <c r="G1118" s="613"/>
      <c r="H1118" s="1019">
        <f t="shared" si="179"/>
        <v>0</v>
      </c>
      <c r="I1118" s="1019">
        <f t="shared" si="180"/>
        <v>0</v>
      </c>
      <c r="J1118" s="1019">
        <f t="shared" si="181"/>
        <v>0</v>
      </c>
      <c r="K1118" s="1019">
        <f t="shared" si="182"/>
        <v>0</v>
      </c>
      <c r="L1118" s="27"/>
      <c r="M1118" s="1009" t="str">
        <f t="shared" si="174"/>
        <v/>
      </c>
      <c r="N1118" s="1023" t="str">
        <f t="shared" si="183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7" t="str">
        <f t="shared" si="172"/>
        <v>Sweet potatoes: no. local meas</v>
      </c>
      <c r="B1119" s="613"/>
      <c r="C1119" s="1018">
        <f t="shared" si="175"/>
        <v>0</v>
      </c>
      <c r="D1119" s="1018">
        <f t="shared" si="176"/>
        <v>0</v>
      </c>
      <c r="E1119" s="1018">
        <f t="shared" si="177"/>
        <v>0</v>
      </c>
      <c r="F1119" s="1018">
        <f t="shared" si="178"/>
        <v>0</v>
      </c>
      <c r="G1119" s="613"/>
      <c r="H1119" s="1019">
        <f t="shared" si="179"/>
        <v>0</v>
      </c>
      <c r="I1119" s="1019">
        <f t="shared" si="180"/>
        <v>0</v>
      </c>
      <c r="J1119" s="1019">
        <f t="shared" si="181"/>
        <v>0</v>
      </c>
      <c r="K1119" s="1019">
        <f t="shared" si="182"/>
        <v>0</v>
      </c>
      <c r="L1119" s="27"/>
      <c r="M1119" s="1009" t="str">
        <f t="shared" si="174"/>
        <v/>
      </c>
      <c r="N1119" s="1023" t="str">
        <f t="shared" si="183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7" t="str">
        <f t="shared" si="172"/>
        <v>Groundnuts (dry): no. local meas</v>
      </c>
      <c r="B1120" s="613"/>
      <c r="C1120" s="1018">
        <f t="shared" si="175"/>
        <v>0</v>
      </c>
      <c r="D1120" s="1018">
        <f t="shared" si="176"/>
        <v>0</v>
      </c>
      <c r="E1120" s="1018">
        <f t="shared" si="177"/>
        <v>0</v>
      </c>
      <c r="F1120" s="1018">
        <f t="shared" si="178"/>
        <v>0</v>
      </c>
      <c r="G1120" s="613"/>
      <c r="H1120" s="1019">
        <f t="shared" si="179"/>
        <v>0</v>
      </c>
      <c r="I1120" s="1019">
        <f t="shared" si="180"/>
        <v>0</v>
      </c>
      <c r="J1120" s="1019">
        <f t="shared" si="181"/>
        <v>0</v>
      </c>
      <c r="K1120" s="1019">
        <f t="shared" si="182"/>
        <v>0</v>
      </c>
      <c r="L1120" s="27"/>
      <c r="M1120" s="1009" t="str">
        <f t="shared" si="174"/>
        <v/>
      </c>
      <c r="N1120" s="1023" t="str">
        <f t="shared" si="183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7" t="str">
        <f t="shared" si="172"/>
        <v>Onion: no. local meas</v>
      </c>
      <c r="B1121" s="613"/>
      <c r="C1121" s="1018">
        <f t="shared" si="175"/>
        <v>0</v>
      </c>
      <c r="D1121" s="1018">
        <f t="shared" si="176"/>
        <v>0</v>
      </c>
      <c r="E1121" s="1018">
        <f t="shared" si="177"/>
        <v>0</v>
      </c>
      <c r="F1121" s="1018">
        <f t="shared" si="178"/>
        <v>0</v>
      </c>
      <c r="G1121" s="613"/>
      <c r="H1121" s="1019">
        <f t="shared" si="179"/>
        <v>0</v>
      </c>
      <c r="I1121" s="1019">
        <f t="shared" si="180"/>
        <v>0</v>
      </c>
      <c r="J1121" s="1019">
        <f t="shared" si="181"/>
        <v>0</v>
      </c>
      <c r="K1121" s="1019">
        <f t="shared" si="182"/>
        <v>0</v>
      </c>
      <c r="L1121" s="27"/>
      <c r="M1121" s="1009" t="str">
        <f t="shared" si="174"/>
        <v/>
      </c>
      <c r="N1121" s="1023" t="str">
        <f t="shared" si="183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7" t="str">
        <f t="shared" si="172"/>
        <v>Cassava (flour): local measure</v>
      </c>
      <c r="B1122" s="613"/>
      <c r="C1122" s="1018">
        <f t="shared" si="175"/>
        <v>0</v>
      </c>
      <c r="D1122" s="1018">
        <f t="shared" si="176"/>
        <v>0</v>
      </c>
      <c r="E1122" s="1018">
        <f t="shared" si="177"/>
        <v>0</v>
      </c>
      <c r="F1122" s="1018">
        <f t="shared" si="178"/>
        <v>0</v>
      </c>
      <c r="G1122" s="613"/>
      <c r="H1122" s="1019">
        <f t="shared" si="179"/>
        <v>0</v>
      </c>
      <c r="I1122" s="1019">
        <f t="shared" si="180"/>
        <v>0</v>
      </c>
      <c r="J1122" s="1019">
        <f t="shared" si="181"/>
        <v>0</v>
      </c>
      <c r="K1122" s="1019">
        <f t="shared" si="182"/>
        <v>0</v>
      </c>
      <c r="L1122" s="27"/>
      <c r="M1122" s="1009" t="str">
        <f t="shared" si="174"/>
        <v/>
      </c>
      <c r="N1122" s="1023" t="str">
        <f t="shared" si="183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7" t="str">
        <f t="shared" si="172"/>
        <v>Tomato: Produce qty</v>
      </c>
      <c r="B1123" s="613"/>
      <c r="C1123" s="1018">
        <f t="shared" si="175"/>
        <v>0</v>
      </c>
      <c r="D1123" s="1018">
        <f t="shared" si="176"/>
        <v>0</v>
      </c>
      <c r="E1123" s="1018">
        <f t="shared" si="177"/>
        <v>0</v>
      </c>
      <c r="F1123" s="1018">
        <f t="shared" si="178"/>
        <v>0</v>
      </c>
      <c r="G1123" s="613"/>
      <c r="H1123" s="1019">
        <f t="shared" si="179"/>
        <v>0</v>
      </c>
      <c r="I1123" s="1019">
        <f t="shared" si="180"/>
        <v>0</v>
      </c>
      <c r="J1123" s="1019">
        <f t="shared" si="181"/>
        <v>0</v>
      </c>
      <c r="K1123" s="1019">
        <f t="shared" si="182"/>
        <v>0</v>
      </c>
      <c r="L1123" s="27"/>
      <c r="M1123" s="1009" t="str">
        <f t="shared" si="174"/>
        <v/>
      </c>
      <c r="N1123" s="1023" t="str">
        <f t="shared" si="183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7" t="str">
        <f t="shared" si="172"/>
        <v>melons:qty</v>
      </c>
      <c r="B1124" s="613"/>
      <c r="C1124" s="1018">
        <f t="shared" si="175"/>
        <v>0</v>
      </c>
      <c r="D1124" s="1018">
        <f t="shared" si="176"/>
        <v>0</v>
      </c>
      <c r="E1124" s="1018">
        <f t="shared" si="177"/>
        <v>0</v>
      </c>
      <c r="F1124" s="1018">
        <f t="shared" si="178"/>
        <v>0</v>
      </c>
      <c r="G1124" s="613"/>
      <c r="H1124" s="1019">
        <f t="shared" si="179"/>
        <v>0</v>
      </c>
      <c r="I1124" s="1019">
        <f t="shared" si="180"/>
        <v>0</v>
      </c>
      <c r="J1124" s="1019">
        <f t="shared" si="181"/>
        <v>0</v>
      </c>
      <c r="K1124" s="1019">
        <f t="shared" si="182"/>
        <v>0</v>
      </c>
      <c r="L1124" s="27"/>
      <c r="M1124" s="1009" t="str">
        <f t="shared" si="174"/>
        <v/>
      </c>
      <c r="N1124" s="1023" t="str">
        <f t="shared" si="183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7" t="str">
        <f>A850</f>
        <v>FISHING -- see worksheet Data 3</v>
      </c>
      <c r="B1125" s="613"/>
      <c r="C1125" s="1018">
        <f t="shared" ref="C1125:F1126" si="184">IF(C$1102=0,0,MAX((SUM(C850,M850)+SUM(C961,M961)/C$1102),(SUM(C850)+SUM(C961)/C$1102)))</f>
        <v>0</v>
      </c>
      <c r="D1125" s="1018">
        <f t="shared" si="184"/>
        <v>0</v>
      </c>
      <c r="E1125" s="1018">
        <f t="shared" si="184"/>
        <v>0</v>
      </c>
      <c r="F1125" s="1018">
        <f t="shared" si="184"/>
        <v>0</v>
      </c>
      <c r="G1125" s="613"/>
      <c r="H1125" s="1019">
        <f t="shared" ref="H1125:K1126" si="185">IF(C$1102=0,0,MAX(SUM(C961,M961)/C$1102,SUM(C961)/C$1102))</f>
        <v>0</v>
      </c>
      <c r="I1125" s="1019">
        <f t="shared" si="185"/>
        <v>0</v>
      </c>
      <c r="J1125" s="1019">
        <f t="shared" si="185"/>
        <v>0</v>
      </c>
      <c r="K1125" s="1019">
        <f t="shared" si="185"/>
        <v>0</v>
      </c>
      <c r="L1125" s="27"/>
      <c r="M1125" s="1009" t="str">
        <f t="shared" si="174"/>
        <v/>
      </c>
      <c r="N1125" s="1023" t="str">
        <f t="shared" si="183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7" t="str">
        <f>A851</f>
        <v>WILD FOODS -- see worksheet Data 3</v>
      </c>
      <c r="B1126" s="613"/>
      <c r="C1126" s="1018">
        <f t="shared" si="184"/>
        <v>0</v>
      </c>
      <c r="D1126" s="1018">
        <f t="shared" si="184"/>
        <v>0</v>
      </c>
      <c r="E1126" s="1018">
        <f t="shared" si="184"/>
        <v>0</v>
      </c>
      <c r="F1126" s="1018">
        <f t="shared" si="184"/>
        <v>0</v>
      </c>
      <c r="G1126" s="613"/>
      <c r="H1126" s="1019">
        <f t="shared" si="185"/>
        <v>0</v>
      </c>
      <c r="I1126" s="1019">
        <f t="shared" si="185"/>
        <v>0</v>
      </c>
      <c r="J1126" s="1019">
        <f t="shared" si="185"/>
        <v>0</v>
      </c>
      <c r="K1126" s="1019">
        <f t="shared" si="185"/>
        <v>0</v>
      </c>
      <c r="L1126" s="27"/>
      <c r="M1126" s="1009" t="str">
        <f t="shared" si="174"/>
        <v/>
      </c>
      <c r="N1126" s="1023" t="str">
        <f t="shared" si="183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18">
        <f>IF(C$1102=0,0,MAX(SUM(C930,M930)/C$1102,SUM(C930)/C$1102))</f>
        <v>0</v>
      </c>
      <c r="D1127" s="1018">
        <f>IF(D$1102=0,0,MAX(SUM(D930,N930)/D$1102,SUM(D930)/D$1102))</f>
        <v>0</v>
      </c>
      <c r="E1127" s="1018">
        <f>IF(E$1102=0,0,MAX(SUM(E930,O930)/E$1102,SUM(E930)/E$1102))</f>
        <v>0</v>
      </c>
      <c r="F1127" s="1018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09" t="str">
        <f t="shared" si="174"/>
        <v/>
      </c>
      <c r="N1127" s="1009" t="str">
        <f t="shared" ref="N1127:N1138" si="186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3"/>
      <c r="C1128" s="1018">
        <f t="shared" ref="C1128:C1138" si="188">IF(C$1102=0,0,MAX(SUM(C949,M949)/C$1102,SUM(C949)/C$1102))</f>
        <v>0</v>
      </c>
      <c r="D1128" s="1018">
        <f t="shared" ref="D1128:D1138" si="189">IF(D$1102=0,0,MAX(SUM(D949,N949)/D$1102,SUM(D949)/D$1102))</f>
        <v>0</v>
      </c>
      <c r="E1128" s="1018">
        <f t="shared" ref="E1128:E1138" si="190">IF(E$1102=0,0,MAX(SUM(E949,O949)/E$1102,SUM(E949)/E$1102))</f>
        <v>0</v>
      </c>
      <c r="F1128" s="1018">
        <f t="shared" ref="F1128:F1138" si="191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09" t="str">
        <f t="shared" si="174"/>
        <v/>
      </c>
      <c r="N1128" s="1009" t="str">
        <f t="shared" si="186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187"/>
        <v>Other cashcrop: kg produced</v>
      </c>
      <c r="B1129" s="613"/>
      <c r="C1129" s="1018">
        <f t="shared" si="188"/>
        <v>0</v>
      </c>
      <c r="D1129" s="1018">
        <f t="shared" si="189"/>
        <v>0</v>
      </c>
      <c r="E1129" s="1018">
        <f t="shared" si="190"/>
        <v>0</v>
      </c>
      <c r="F1129" s="1018">
        <f t="shared" si="191"/>
        <v>0</v>
      </c>
      <c r="G1129" s="613"/>
      <c r="H1129" s="29"/>
      <c r="I1129" s="29"/>
      <c r="J1129" s="29"/>
      <c r="K1129" s="612"/>
      <c r="L1129" s="613"/>
      <c r="M1129" s="1009" t="str">
        <f t="shared" si="174"/>
        <v/>
      </c>
      <c r="N1129" s="1009" t="str">
        <f t="shared" si="186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187"/>
        <v>Other cashcrop: kg produced</v>
      </c>
      <c r="B1130" s="613"/>
      <c r="C1130" s="1018">
        <f t="shared" si="188"/>
        <v>0</v>
      </c>
      <c r="D1130" s="1018">
        <f t="shared" si="189"/>
        <v>0</v>
      </c>
      <c r="E1130" s="1018">
        <f t="shared" si="190"/>
        <v>0</v>
      </c>
      <c r="F1130" s="1018">
        <f t="shared" si="191"/>
        <v>0</v>
      </c>
      <c r="G1130" s="613"/>
      <c r="H1130" s="29"/>
      <c r="I1130" s="29"/>
      <c r="J1130" s="29"/>
      <c r="K1130" s="612"/>
      <c r="L1130" s="613"/>
      <c r="M1130" s="1009" t="str">
        <f t="shared" si="174"/>
        <v/>
      </c>
      <c r="N1130" s="1009" t="str">
        <f t="shared" si="186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187"/>
        <v>Other cashcrop: kg produced</v>
      </c>
      <c r="B1131" s="613"/>
      <c r="C1131" s="1018">
        <f t="shared" si="188"/>
        <v>0</v>
      </c>
      <c r="D1131" s="1018">
        <f t="shared" si="189"/>
        <v>0</v>
      </c>
      <c r="E1131" s="1018">
        <f t="shared" si="190"/>
        <v>0</v>
      </c>
      <c r="F1131" s="1018">
        <f t="shared" si="191"/>
        <v>0</v>
      </c>
      <c r="G1131" s="613"/>
      <c r="H1131" s="29"/>
      <c r="I1131" s="29"/>
      <c r="J1131" s="29"/>
      <c r="K1131" s="612"/>
      <c r="L1131" s="613"/>
      <c r="M1131" s="1009" t="str">
        <f t="shared" si="174"/>
        <v/>
      </c>
      <c r="N1131" s="1009" t="str">
        <f t="shared" si="186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187"/>
        <v>Other cashcrop: kg produced</v>
      </c>
      <c r="B1132" s="613"/>
      <c r="C1132" s="1018">
        <f t="shared" si="188"/>
        <v>0</v>
      </c>
      <c r="D1132" s="1018">
        <f t="shared" si="189"/>
        <v>0</v>
      </c>
      <c r="E1132" s="1018">
        <f t="shared" si="190"/>
        <v>0</v>
      </c>
      <c r="F1132" s="1018">
        <f t="shared" si="191"/>
        <v>0</v>
      </c>
      <c r="G1132" s="613"/>
      <c r="H1132" s="29"/>
      <c r="I1132" s="29"/>
      <c r="J1132" s="29"/>
      <c r="K1132" s="612"/>
      <c r="L1132" s="613"/>
      <c r="M1132" s="1009" t="str">
        <f t="shared" si="174"/>
        <v/>
      </c>
      <c r="N1132" s="1009" t="str">
        <f t="shared" si="186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187"/>
        <v>Other cashcrop: kg produced</v>
      </c>
      <c r="B1133" s="613"/>
      <c r="C1133" s="1018">
        <f t="shared" si="188"/>
        <v>0</v>
      </c>
      <c r="D1133" s="1018">
        <f t="shared" si="189"/>
        <v>0</v>
      </c>
      <c r="E1133" s="1018">
        <f t="shared" si="190"/>
        <v>0</v>
      </c>
      <c r="F1133" s="1018">
        <f t="shared" si="191"/>
        <v>0</v>
      </c>
      <c r="G1133" s="613"/>
      <c r="H1133" s="29"/>
      <c r="I1133" s="29"/>
      <c r="J1133" s="29"/>
      <c r="K1133" s="612"/>
      <c r="L1133" s="613"/>
      <c r="M1133" s="1009" t="str">
        <f t="shared" si="174"/>
        <v/>
      </c>
      <c r="N1133" s="1009" t="str">
        <f t="shared" si="186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187"/>
        <v>Other cashcrop: kg produced</v>
      </c>
      <c r="B1134" s="613"/>
      <c r="C1134" s="1018">
        <f t="shared" si="188"/>
        <v>0</v>
      </c>
      <c r="D1134" s="1018">
        <f t="shared" si="189"/>
        <v>0</v>
      </c>
      <c r="E1134" s="1018">
        <f t="shared" si="190"/>
        <v>0</v>
      </c>
      <c r="F1134" s="1018">
        <f t="shared" si="191"/>
        <v>0</v>
      </c>
      <c r="G1134" s="613"/>
      <c r="H1134" s="29"/>
      <c r="I1134" s="29"/>
      <c r="J1134" s="29"/>
      <c r="K1134" s="612"/>
      <c r="L1134" s="613"/>
      <c r="M1134" s="1009" t="str">
        <f t="shared" si="174"/>
        <v/>
      </c>
      <c r="N1134" s="1009" t="str">
        <f t="shared" si="186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187"/>
        <v>Straw: quantity sold</v>
      </c>
      <c r="B1135" s="613"/>
      <c r="C1135" s="1018">
        <f t="shared" si="188"/>
        <v>0</v>
      </c>
      <c r="D1135" s="1018">
        <f t="shared" si="189"/>
        <v>0</v>
      </c>
      <c r="E1135" s="1018">
        <f t="shared" si="190"/>
        <v>0</v>
      </c>
      <c r="F1135" s="1018">
        <f t="shared" si="191"/>
        <v>0</v>
      </c>
      <c r="G1135" s="613"/>
      <c r="H1135" s="29"/>
      <c r="I1135" s="29"/>
      <c r="J1135" s="29"/>
      <c r="K1135" s="612"/>
      <c r="L1135" s="613"/>
      <c r="M1135" s="1009" t="str">
        <f t="shared" si="174"/>
        <v/>
      </c>
      <c r="N1135" s="1009" t="str">
        <f t="shared" si="186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187"/>
        <v>Trees: quantity sold</v>
      </c>
      <c r="B1136" s="613"/>
      <c r="C1136" s="1018">
        <f t="shared" si="188"/>
        <v>0</v>
      </c>
      <c r="D1136" s="1018">
        <f t="shared" si="189"/>
        <v>0</v>
      </c>
      <c r="E1136" s="1018">
        <f t="shared" si="190"/>
        <v>0</v>
      </c>
      <c r="F1136" s="1018">
        <f t="shared" si="191"/>
        <v>0</v>
      </c>
      <c r="G1136" s="613"/>
      <c r="H1136" s="29"/>
      <c r="I1136" s="29"/>
      <c r="J1136" s="29"/>
      <c r="K1136" s="612"/>
      <c r="L1136" s="613"/>
      <c r="M1136" s="1009" t="str">
        <f t="shared" si="174"/>
        <v/>
      </c>
      <c r="N1136" s="1009" t="str">
        <f t="shared" si="186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187"/>
        <v>Other cash crop: type</v>
      </c>
      <c r="B1137" s="613"/>
      <c r="C1137" s="1018">
        <f t="shared" si="188"/>
        <v>0</v>
      </c>
      <c r="D1137" s="1018">
        <f t="shared" si="189"/>
        <v>0</v>
      </c>
      <c r="E1137" s="1018">
        <f t="shared" si="190"/>
        <v>0</v>
      </c>
      <c r="F1137" s="1018">
        <f t="shared" si="191"/>
        <v>0</v>
      </c>
      <c r="G1137" s="613"/>
      <c r="H1137" s="29"/>
      <c r="I1137" s="29"/>
      <c r="J1137" s="29"/>
      <c r="K1137" s="612"/>
      <c r="L1137" s="613"/>
      <c r="M1137" s="1009" t="str">
        <f t="shared" si="174"/>
        <v/>
      </c>
      <c r="N1137" s="1009" t="str">
        <f t="shared" si="186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187"/>
        <v>Other cash crop: type</v>
      </c>
      <c r="B1138" s="613"/>
      <c r="C1138" s="1018">
        <f t="shared" si="188"/>
        <v>0</v>
      </c>
      <c r="D1138" s="1018">
        <f t="shared" si="189"/>
        <v>0</v>
      </c>
      <c r="E1138" s="1018">
        <f t="shared" si="190"/>
        <v>0</v>
      </c>
      <c r="F1138" s="1018">
        <f t="shared" si="191"/>
        <v>0</v>
      </c>
      <c r="G1138" s="613"/>
      <c r="H1138" s="29"/>
      <c r="I1138" s="29"/>
      <c r="J1138" s="29"/>
      <c r="K1138" s="612"/>
      <c r="L1138" s="613"/>
      <c r="M1138" s="1009" t="str">
        <f t="shared" si="174"/>
        <v/>
      </c>
      <c r="N1138" s="1009" t="str">
        <f t="shared" si="186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6"/>
      <c r="C1139" s="1018"/>
      <c r="D1139" s="1018"/>
      <c r="E1139" s="1018"/>
      <c r="F1139" s="1018"/>
      <c r="G1139" s="613"/>
      <c r="H1139" s="612"/>
      <c r="I1139" s="29"/>
      <c r="J1139" s="29"/>
      <c r="K1139" s="612"/>
      <c r="L1139" s="613"/>
      <c r="M1139" s="1028" t="s">
        <v>499</v>
      </c>
      <c r="N1139" s="1025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6"/>
      <c r="C1140" s="1018">
        <f>IF(C$1102=0,0,MAX((SUM(C819,M819)+SUM(C903,M903,C905,M905)/C$1102),(SUM(C819)+SUM(C903,C905)/C$1102)))</f>
        <v>0</v>
      </c>
      <c r="D1140" s="1018">
        <f>IF(D$1102=0,0,MAX((SUM(D819,N819)+SUM(D903,N903,D905,N905)/D$1102),(SUM(D819)+SUM(D903,D905)/D$1102)))</f>
        <v>0</v>
      </c>
      <c r="E1140" s="1018">
        <f>IF(E$1102=0,0,MAX((SUM(E819,O819)+SUM(E903,O903,E905,O905)/E$1102),(SUM(E819)+SUM(E903,E905)/E$1102)))</f>
        <v>0</v>
      </c>
      <c r="F1140" s="1018">
        <f>IF(F$1102=0,0,MAX((SUM(F819,P819)+SUM(F903,P903,F905,P905)/F$1102),(SUM(F819)+SUM(F903,F905)/F$1102)))</f>
        <v>0</v>
      </c>
      <c r="G1140" s="613"/>
      <c r="H1140" s="1019"/>
      <c r="I1140" s="1019"/>
      <c r="J1140" s="1019"/>
      <c r="K1140" s="1019"/>
      <c r="L1140" s="27"/>
      <c r="M1140" s="1009" t="str">
        <f>IF(OR(SUM((C1140&gt;C$1100),(E1140&gt;C$1100),(D1140&gt;C$1100),(F1140&gt;C$1100))&gt;1,C1140&gt;C$1100*2,E1140&gt;C$1100*2,D1140&gt;C$1100*2,F1140&gt;C$1100*2),"yes","")</f>
        <v/>
      </c>
      <c r="N1140" s="1023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29" t="str">
        <f>A903</f>
        <v>Camels' milk sales - season 1</v>
      </c>
      <c r="B1141" s="986"/>
      <c r="C1141" s="1018"/>
      <c r="D1141" s="1018"/>
      <c r="E1141" s="1018"/>
      <c r="F1141" s="1018"/>
      <c r="G1141" s="613"/>
      <c r="H1141" s="1019">
        <f>IF(C$1102=0,0,MAX(SUM(C903,M903)/C$1102,SUM(C903)/C$1102))</f>
        <v>0</v>
      </c>
      <c r="I1141" s="1019">
        <f>IF(D$1102=0,0,MAX(SUM(D903,N903)/D$1102,SUM(D903)/D$1102))</f>
        <v>0</v>
      </c>
      <c r="J1141" s="1019">
        <f>IF(E$1102=0,0,MAX(SUM(E903,O903)/E$1102,SUM(E903)/E$1102))</f>
        <v>0</v>
      </c>
      <c r="K1141" s="1019">
        <f>IF(F$1102=0,0,MAX(SUM(F903,P903)/F$1102,SUM(F903)/F$1102))</f>
        <v>0</v>
      </c>
      <c r="L1141" s="27"/>
      <c r="M1141" s="27"/>
      <c r="N1141" s="1023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29" t="str">
        <f>A905</f>
        <v>Camels' ghee/butter sales</v>
      </c>
      <c r="B1142" s="986"/>
      <c r="C1142" s="1018"/>
      <c r="D1142" s="1018"/>
      <c r="E1142" s="1018"/>
      <c r="F1142" s="1018"/>
      <c r="G1142" s="613"/>
      <c r="H1142" s="1019">
        <f>IF(C$1102=0,0,MAX(SUM(C905,M905)/C$1102,SUM(C905)/C$1102))</f>
        <v>0</v>
      </c>
      <c r="I1142" s="1019">
        <f>IF(D$1102=0,0,MAX(SUM(D905,N905)/D$1102,SUM(D905)/D$1102))</f>
        <v>0</v>
      </c>
      <c r="J1142" s="1019">
        <f>IF(E$1102=0,0,MAX(SUM(E905,O905)/E$1102,SUM(E905)/E$1102))</f>
        <v>0</v>
      </c>
      <c r="K1142" s="1019">
        <f>IF(F$1102=0,0,MAX(SUM(F905,P905)/F$1102,SUM(F905)/F$1102))</f>
        <v>0</v>
      </c>
      <c r="L1142" s="27"/>
      <c r="M1142" s="1009"/>
      <c r="N1142" s="1023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6"/>
      <c r="C1143" s="1018">
        <f>IF(C$1102=0,0,MAX((SUM(C820,M820)+SUM(C904,M904)/C$1102),(SUM(C820)+SUM(C904)/C$1102)))</f>
        <v>0</v>
      </c>
      <c r="D1143" s="1018">
        <f>IF(D$1102=0,0,MAX((SUM(D820,N820)+SUM(D904,N904)/D$1102),(SUM(D820)+SUM(D904)/D$1102)))</f>
        <v>0</v>
      </c>
      <c r="E1143" s="1018">
        <f>IF(E$1102=0,0,MAX((SUM(E820,O820)+SUM(E904,O904)/E$1102),(SUM(E820)+SUM(E904)/E$1102)))</f>
        <v>0</v>
      </c>
      <c r="F1143" s="1018">
        <f>IF(F$1102=0,0,MAX((SUM(F820,P820)+SUM(F904,P904)/F$1102),(SUM(F820)+SUM(F904)/F$1102)))</f>
        <v>0</v>
      </c>
      <c r="G1143" s="613"/>
      <c r="H1143" s="1019"/>
      <c r="I1143" s="1019"/>
      <c r="J1143" s="1019"/>
      <c r="K1143" s="1019"/>
      <c r="L1143" s="27"/>
      <c r="M1143" s="1009" t="str">
        <f>IF(OR(SUM((C1143&gt;C$1100),(E1143&gt;C$1100),(D1143&gt;C$1100),(F1143&gt;C$1100))&gt;1,C1143&gt;C$1100*2,E1143&gt;C$1100*2,D1143&gt;C$1100*2,F1143&gt;C$1100*2),"yes","")</f>
        <v/>
      </c>
      <c r="N1143" s="1023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29" t="str">
        <f>A904</f>
        <v>Camels' milk sales - season 2</v>
      </c>
      <c r="B1144" s="986"/>
      <c r="C1144" s="1018"/>
      <c r="D1144" s="1018"/>
      <c r="E1144" s="1018"/>
      <c r="F1144" s="1018"/>
      <c r="G1144" s="613"/>
      <c r="H1144" s="1019">
        <f>IF(C$1102=0,0,MAX(SUM(C904,M904)/C$1102,SUM(C904)/C$1102))</f>
        <v>0</v>
      </c>
      <c r="I1144" s="1019">
        <f>IF(D$1102=0,0,MAX(SUM(D904,N904)/D$1102,SUM(D904)/D$1102))</f>
        <v>0</v>
      </c>
      <c r="J1144" s="1019">
        <f>IF(E$1102=0,0,MAX(SUM(E904,O904)/E$1102,SUM(E904)/E$1102))</f>
        <v>0</v>
      </c>
      <c r="K1144" s="1019">
        <f>IF(F$1102=0,0,MAX(SUM(F904,P904)/F$1102,SUM(F904)/F$1102))</f>
        <v>0</v>
      </c>
      <c r="L1144" s="27"/>
      <c r="M1144" s="27"/>
      <c r="N1144" s="1023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6"/>
      <c r="C1145" s="1018">
        <f>IF(C$1102=0,0,MAX((SUM(C821,M821)+SUM(C906,M906,C908,M908)/C$1102),(SUM(C821)+SUM(C906,C908)/C$1102)))</f>
        <v>0</v>
      </c>
      <c r="D1145" s="1018">
        <f>IF(D$1102=0,0,MAX((SUM(D821,N821)+SUM(D906,N906,D908,N908)/D$1102),(SUM(D821)+SUM(D906,D908)/D$1102)))</f>
        <v>0</v>
      </c>
      <c r="E1145" s="1018">
        <f>IF(E$1102=0,0,MAX((SUM(E821,O821)+SUM(E906,O906,E908,O908)/E$1102),(SUM(E821)+SUM(E906,E908)/E$1102)))</f>
        <v>0</v>
      </c>
      <c r="F1145" s="1018">
        <f>IF(F$1102=0,0,MAX((SUM(F821,P821)+SUM(F906,P906,F908,P908)/F$1102),(SUM(F821)+SUM(F906,F908)/F$1102)))</f>
        <v>0</v>
      </c>
      <c r="G1145" s="613"/>
      <c r="H1145" s="1019"/>
      <c r="I1145" s="1019"/>
      <c r="J1145" s="1019"/>
      <c r="K1145" s="1019"/>
      <c r="L1145" s="27"/>
      <c r="M1145" s="1009" t="str">
        <f>IF(OR(SUM((C1145&gt;C$1100),(E1145&gt;C$1100),(D1145&gt;C$1100),(F1145&gt;C$1100))&gt;1,C1145&gt;C$1100*2,E1145&gt;C$1100*2,D1145&gt;C$1100*2,F1145&gt;C$1100*2),"yes","")</f>
        <v/>
      </c>
      <c r="N1145" s="1023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6"/>
      <c r="C1146" s="1018"/>
      <c r="D1146" s="1018"/>
      <c r="E1146" s="1018"/>
      <c r="F1146" s="1018"/>
      <c r="G1146" s="613"/>
      <c r="H1146" s="1019">
        <f>IF(C$1102=0,0,MAX(SUM(C906,M906)/C$1102,SUM(C906)/C$1102))</f>
        <v>0</v>
      </c>
      <c r="I1146" s="1019">
        <f>IF(D$1102=0,0,MAX(SUM(D906,N906)/D$1102,SUM(D906)/D$1102))</f>
        <v>0</v>
      </c>
      <c r="J1146" s="1019">
        <f>IF(E$1102=0,0,MAX(SUM(E906,O906)/E$1102,SUM(E906)/E$1102))</f>
        <v>0</v>
      </c>
      <c r="K1146" s="1019">
        <f>IF(F$1102=0,0,MAX(SUM(F906,P906)/F$1102,SUM(F906)/F$1102))</f>
        <v>0</v>
      </c>
      <c r="L1146" s="27"/>
      <c r="M1146" s="27"/>
      <c r="N1146" s="1023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6"/>
      <c r="C1147" s="1018"/>
      <c r="D1147" s="1018"/>
      <c r="E1147" s="1018"/>
      <c r="F1147" s="1018"/>
      <c r="G1147" s="613"/>
      <c r="H1147" s="1019">
        <f>IF(C$1102=0,0,MAX(SUM(C908,M908)/C$1102,SUM(C908)/C$1102))</f>
        <v>0</v>
      </c>
      <c r="I1147" s="1019">
        <f>IF(D$1102=0,0,MAX(SUM(D908,N908)/D$1102,SUM(D908)/D$1102))</f>
        <v>0</v>
      </c>
      <c r="J1147" s="1019">
        <f>IF(E$1102=0,0,MAX(SUM(E908,O908)/E$1102,SUM(E908)/E$1102))</f>
        <v>0</v>
      </c>
      <c r="K1147" s="1019">
        <f>IF(F$1102=0,0,MAX(SUM(F908,P908)/F$1102,SUM(F908)/F$1102))</f>
        <v>0</v>
      </c>
      <c r="L1147" s="27"/>
      <c r="M1147" s="1009"/>
      <c r="N1147" s="1023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6"/>
      <c r="C1148" s="1018">
        <f>IF(C$1102=0,0,MAX((SUM(C822,M822)+SUM(C907,M907)/C$1102),(SUM(C822)+SUM(C907)/C$1102)))</f>
        <v>0</v>
      </c>
      <c r="D1148" s="1018">
        <f>IF(D$1102=0,0,MAX((SUM(D822,N822)+SUM(D907,N907)/D$1102),(SUM(D822)+SUM(D907)/D$1102)))</f>
        <v>0</v>
      </c>
      <c r="E1148" s="1018">
        <f>IF(E$1102=0,0,MAX((SUM(E822,O822)+SUM(E907,O907)/E$1102),(SUM(E822)+SUM(E907)/E$1102)))</f>
        <v>0</v>
      </c>
      <c r="F1148" s="1018">
        <f>IF(F$1102=0,0,MAX((SUM(F822,P822)+SUM(F907,P907)/F$1102),(SUM(F822)+SUM(F907)/F$1102)))</f>
        <v>0</v>
      </c>
      <c r="G1148" s="613"/>
      <c r="H1148" s="1019"/>
      <c r="I1148" s="1019"/>
      <c r="J1148" s="1019"/>
      <c r="K1148" s="1019"/>
      <c r="L1148" s="27"/>
      <c r="M1148" s="1009" t="str">
        <f>IF(OR(SUM((C1148&gt;C$1100),(E1148&gt;C$1100),(D1148&gt;C$1100),(F1148&gt;C$1100))&gt;1,C1148&gt;C$1100*2,E1148&gt;C$1100*2,D1148&gt;C$1100*2,F1148&gt;C$1100*2),"yes","")</f>
        <v/>
      </c>
      <c r="N1148" s="1023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6"/>
      <c r="C1149" s="1018"/>
      <c r="D1149" s="1018"/>
      <c r="E1149" s="1018"/>
      <c r="F1149" s="1018"/>
      <c r="G1149" s="613"/>
      <c r="H1149" s="1019">
        <f>IF(C$1102=0,0,MAX(SUM(C907,M907)/C$1102,SUM(C907)/C$1102))</f>
        <v>0</v>
      </c>
      <c r="I1149" s="1019">
        <f>IF(D$1102=0,0,MAX(SUM(D907,N907)/D$1102,SUM(D907)/D$1102))</f>
        <v>0</v>
      </c>
      <c r="J1149" s="1019">
        <f>IF(E$1102=0,0,MAX(SUM(E907,O907)/E$1102,SUM(E907)/E$1102))</f>
        <v>0</v>
      </c>
      <c r="K1149" s="1019">
        <f>IF(F$1102=0,0,MAX(SUM(F907,P907)/F$1102,SUM(F907)/F$1102))</f>
        <v>0</v>
      </c>
      <c r="L1149" s="27"/>
      <c r="M1149" s="27"/>
      <c r="N1149" s="1023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6"/>
      <c r="C1150" s="1018">
        <f>IF(C$1102=0,0,MAX((SUM(C823,M823)+SUM(C909,M909,C911,M911)/C$1102),(SUM(C823)+SUM(C909,C911)/C$1102)))</f>
        <v>0</v>
      </c>
      <c r="D1150" s="1018">
        <f>IF(D$1102=0,0,MAX((SUM(D823,N823)+SUM(D909,N909,D911,N911)/D$1102),(SUM(D823)+SUM(D909,D911)/D$1102)))</f>
        <v>0</v>
      </c>
      <c r="E1150" s="1018">
        <f>IF(E$1102=0,0,MAX((SUM(E823,O823)+SUM(E909,O909,E911,O911)/E$1102),(SUM(E823)+SUM(E909,E911)/E$1102)))</f>
        <v>0</v>
      </c>
      <c r="F1150" s="1018">
        <f>IF(F$1102=0,0,MAX((SUM(F823,P823)+SUM(F909,P909,F911,P911)/F$1102),(SUM(F823)+SUM(F909,F911)/F$1102)))</f>
        <v>0</v>
      </c>
      <c r="G1150" s="613"/>
      <c r="H1150" s="1019"/>
      <c r="I1150" s="1019"/>
      <c r="J1150" s="1019"/>
      <c r="K1150" s="1019"/>
      <c r="L1150" s="27"/>
      <c r="M1150" s="1009" t="str">
        <f>IF(OR(SUM((C1150&gt;C$1100),(E1150&gt;C$1100),(D1150&gt;C$1100),(F1150&gt;C$1100))&gt;1,C1150&gt;C$1100*2,E1150&gt;C$1100*2,D1150&gt;C$1100*2,F1150&gt;C$1100*2),"yes","")</f>
        <v/>
      </c>
      <c r="N1150" s="1023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6"/>
      <c r="C1151" s="1018"/>
      <c r="D1151" s="1018"/>
      <c r="E1151" s="1018"/>
      <c r="F1151" s="1018"/>
      <c r="G1151" s="613"/>
      <c r="H1151" s="1019">
        <f>IF(C$1102=0,0,MAX(SUM(C909,M909)/C$1102,SUM(C909)/C$1102))</f>
        <v>0</v>
      </c>
      <c r="I1151" s="1019">
        <f>IF(D$1102=0,0,MAX(SUM(D909,N909)/D$1102,SUM(D909)/D$1102))</f>
        <v>0</v>
      </c>
      <c r="J1151" s="1019">
        <f>IF(E$1102=0,0,MAX(SUM(E909,O909)/E$1102,SUM(E909)/E$1102))</f>
        <v>0</v>
      </c>
      <c r="K1151" s="1019">
        <f>IF(F$1102=0,0,MAX(SUM(F909,P909)/F$1102,SUM(F909)/F$1102))</f>
        <v>0</v>
      </c>
      <c r="L1151" s="27"/>
      <c r="M1151" s="27"/>
      <c r="N1151" s="1023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6"/>
      <c r="C1152" s="1018"/>
      <c r="D1152" s="1018"/>
      <c r="E1152" s="1018"/>
      <c r="F1152" s="1018"/>
      <c r="G1152" s="613"/>
      <c r="H1152" s="1019">
        <f>IF(C$1102=0,0,MAX(SUM(C911,M911)/C$1102,SUM(C911)/C$1102))</f>
        <v>0</v>
      </c>
      <c r="I1152" s="1019">
        <f>IF(D$1102=0,0,MAX(SUM(D911,N911)/D$1102,SUM(D911)/D$1102))</f>
        <v>0</v>
      </c>
      <c r="J1152" s="1019">
        <f>IF(E$1102=0,0,MAX(SUM(E911,O911)/E$1102,SUM(E911)/E$1102))</f>
        <v>0</v>
      </c>
      <c r="K1152" s="1019">
        <f>IF(F$1102=0,0,MAX(SUM(F911,P911)/F$1102,SUM(F911)/F$1102))</f>
        <v>0</v>
      </c>
      <c r="L1152" s="27"/>
      <c r="M1152" s="1009"/>
      <c r="N1152" s="1023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6"/>
      <c r="C1153" s="1018">
        <f>IF(C$1102=0,0,MAX((SUM(C824,M824)+SUM(C910,M910)/C$1102),(SUM(C824)+SUM(C910)/C$1102)))</f>
        <v>0</v>
      </c>
      <c r="D1153" s="1018">
        <f>IF(D$1102=0,0,MAX((SUM(D824,N824)+SUM(D910,N910)/D$1102),(SUM(D824)+SUM(D910)/D$1102)))</f>
        <v>0</v>
      </c>
      <c r="E1153" s="1018">
        <f>IF(E$1102=0,0,MAX((SUM(E824,O824)+SUM(E910,O910)/E$1102),(SUM(E824)+SUM(E910)/E$1102)))</f>
        <v>0</v>
      </c>
      <c r="F1153" s="1018">
        <f>IF(F$1102=0,0,MAX((SUM(F824,P824)+SUM(F910,P910)/F$1102),(SUM(F824)+SUM(F910)/F$1102)))</f>
        <v>0</v>
      </c>
      <c r="G1153" s="613"/>
      <c r="H1153" s="1019"/>
      <c r="I1153" s="1019"/>
      <c r="J1153" s="1019"/>
      <c r="K1153" s="1019"/>
      <c r="L1153" s="27"/>
      <c r="M1153" s="1009" t="str">
        <f>IF(OR(SUM((C1153&gt;C$1100),(E1153&gt;C$1100),(D1153&gt;C$1100),(F1153&gt;C$1100))&gt;1,C1153&gt;C$1100*2,E1153&gt;C$1100*2,D1153&gt;C$1100*2,F1153&gt;C$1100*2),"yes","")</f>
        <v/>
      </c>
      <c r="N1153" s="1023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6"/>
      <c r="C1154" s="1018"/>
      <c r="D1154" s="1018"/>
      <c r="E1154" s="1018"/>
      <c r="F1154" s="1018"/>
      <c r="G1154" s="613"/>
      <c r="H1154" s="1019">
        <f>IF(C$1102=0,0,MAX(SUM(C910,M910)/C$1102,SUM(C910)/C$1102))</f>
        <v>0</v>
      </c>
      <c r="I1154" s="1019">
        <f>IF(D$1102=0,0,MAX(SUM(D910,N910)/D$1102,SUM(D910)/D$1102))</f>
        <v>0</v>
      </c>
      <c r="J1154" s="1019">
        <f>IF(E$1102=0,0,MAX(SUM(E910,O910)/E$1102,SUM(E910)/E$1102))</f>
        <v>0</v>
      </c>
      <c r="K1154" s="1019">
        <f>IF(F$1102=0,0,MAX(SUM(F910,P910)/F$1102,SUM(F910)/F$1102))</f>
        <v>0</v>
      </c>
      <c r="L1154" s="27"/>
      <c r="M1154" s="27"/>
      <c r="N1154" s="1023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6"/>
      <c r="C1155" s="1018">
        <f>IF(C$1102=0,0,MAX((SUM(C825,M825)+SUM(C912,M912,C914,M914)/C$1102),(SUM(C825)+SUM(C912,C914)/C$1102)))</f>
        <v>0</v>
      </c>
      <c r="D1155" s="1018">
        <f>IF(D$1102=0,0,MAX((SUM(D825,N825)+SUM(D912,N912,D914,N914)/D$1102),(SUM(D825)+SUM(D912,D914)/D$1102)))</f>
        <v>0</v>
      </c>
      <c r="E1155" s="1018">
        <f>IF(E$1102=0,0,MAX((SUM(E825,O825)+SUM(E912,O912,E914,O914)/E$1102),(SUM(E825)+SUM(E912,E914)/E$1102)))</f>
        <v>0</v>
      </c>
      <c r="F1155" s="1018">
        <f>IF(F$1102=0,0,MAX((SUM(F825,P825)+SUM(F912,P912,F914,P914)/F$1102),(SUM(F825)+SUM(F912,F914)/F$1102)))</f>
        <v>0</v>
      </c>
      <c r="G1155" s="613"/>
      <c r="H1155" s="1019"/>
      <c r="I1155" s="1019"/>
      <c r="J1155" s="1019"/>
      <c r="K1155" s="1019"/>
      <c r="L1155" s="27"/>
      <c r="M1155" s="1009" t="str">
        <f>IF(OR(SUM((C1155&gt;C$1100),(E1155&gt;C$1100),(D1155&gt;C$1100),(F1155&gt;C$1100))&gt;1,C1155&gt;C$1100*2,E1155&gt;C$1100*2,D1155&gt;C$1100*2,F1155&gt;C$1100*2),"yes","")</f>
        <v/>
      </c>
      <c r="N1155" s="1023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6"/>
      <c r="C1156" s="1018"/>
      <c r="D1156" s="1018"/>
      <c r="E1156" s="1018"/>
      <c r="F1156" s="1018"/>
      <c r="G1156" s="613"/>
      <c r="H1156" s="1019">
        <f>IF(C$1102=0,0,MAX(SUM(C912,M912)/C$1102,SUM(C912)/C$1102))</f>
        <v>0</v>
      </c>
      <c r="I1156" s="1019">
        <f>IF(D$1102=0,0,MAX(SUM(D912,N912)/D$1102,SUM(D912)/D$1102))</f>
        <v>0</v>
      </c>
      <c r="J1156" s="1019">
        <f>IF(E$1102=0,0,MAX(SUM(E912,O912)/E$1102,SUM(E912)/E$1102))</f>
        <v>0</v>
      </c>
      <c r="K1156" s="1019">
        <f>IF(F$1102=0,0,MAX(SUM(F912,P912)/F$1102,SUM(F912)/F$1102))</f>
        <v>0</v>
      </c>
      <c r="L1156" s="27"/>
      <c r="M1156" s="27"/>
      <c r="N1156" s="1023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6"/>
      <c r="C1157" s="1018"/>
      <c r="D1157" s="1018"/>
      <c r="E1157" s="1018"/>
      <c r="F1157" s="1018"/>
      <c r="G1157" s="613"/>
      <c r="H1157" s="1019">
        <f>IF(C$1102=0,0,MAX(SUM(C914,M914)/C$1102,SUM(C914)/C$1102))</f>
        <v>0</v>
      </c>
      <c r="I1157" s="1019">
        <f>IF(D$1102=0,0,MAX(SUM(D914,N914)/D$1102,SUM(D914)/D$1102))</f>
        <v>0</v>
      </c>
      <c r="J1157" s="1019">
        <f>IF(E$1102=0,0,MAX(SUM(E914,O914)/E$1102,SUM(E914)/E$1102))</f>
        <v>0</v>
      </c>
      <c r="K1157" s="1019">
        <f>IF(F$1102=0,0,MAX(SUM(F914,P914)/F$1102,SUM(F914)/F$1102))</f>
        <v>0</v>
      </c>
      <c r="L1157" s="27"/>
      <c r="M1157" s="1009"/>
      <c r="N1157" s="1023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6"/>
      <c r="C1158" s="1018">
        <f>IF(C$1102=0,0,MAX((SUM(C826,M826)+SUM(C913,M913)/C$1102),(SUM(C826)+SUM(C913)/C$1102)))</f>
        <v>0</v>
      </c>
      <c r="D1158" s="1018">
        <f>IF(D$1102=0,0,MAX((SUM(D826,N826)+SUM(D913,N913)/D$1102),(SUM(D826)+SUM(D913)/D$1102)))</f>
        <v>0</v>
      </c>
      <c r="E1158" s="1018">
        <f>IF(E$1102=0,0,MAX((SUM(E826,O826)+SUM(E913,O913)/E$1102),(SUM(E826)+SUM(E913)/E$1102)))</f>
        <v>0</v>
      </c>
      <c r="F1158" s="1018">
        <f>IF(F$1102=0,0,MAX((SUM(F826,P826)+SUM(F913,P913)/F$1102),(SUM(F826)+SUM(F913)/F$1102)))</f>
        <v>0</v>
      </c>
      <c r="G1158" s="613"/>
      <c r="H1158" s="1019"/>
      <c r="I1158" s="1019"/>
      <c r="J1158" s="1019"/>
      <c r="K1158" s="1019"/>
      <c r="L1158" s="27"/>
      <c r="M1158" s="1009" t="str">
        <f>IF(OR(SUM((C1158&gt;C$1100),(E1158&gt;C$1100),(D1158&gt;C$1100),(F1158&gt;C$1100))&gt;1,C1158&gt;C$1100*2,E1158&gt;C$1100*2,D1158&gt;C$1100*2,F1158&gt;C$1100*2),"yes","")</f>
        <v/>
      </c>
      <c r="N1158" s="1023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6"/>
      <c r="C1159" s="1018"/>
      <c r="D1159" s="1018"/>
      <c r="E1159" s="1018"/>
      <c r="F1159" s="1018"/>
      <c r="G1159" s="613"/>
      <c r="H1159" s="1019">
        <f>IF(C$1102=0,0,MAX(SUM(C913,M913)/C$1102,SUM(C913)/C$1102))</f>
        <v>0</v>
      </c>
      <c r="I1159" s="1019">
        <f>IF(D$1102=0,0,MAX(SUM(D913,N913)/D$1102,SUM(D913)/D$1102))</f>
        <v>0</v>
      </c>
      <c r="J1159" s="1019">
        <f>IF(E$1102=0,0,MAX(SUM(E913,O913)/E$1102,SUM(E913)/E$1102))</f>
        <v>0</v>
      </c>
      <c r="K1159" s="1019">
        <f>IF(F$1102=0,0,MAX(SUM(F913,P913)/F$1102,SUM(F913)/F$1102))</f>
        <v>0</v>
      </c>
      <c r="L1159" s="27"/>
      <c r="M1159" s="27"/>
      <c r="N1159" s="1023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0" t="str">
        <f>A827</f>
        <v>Own meat</v>
      </c>
      <c r="B1160" s="613"/>
      <c r="C1160" s="1018">
        <f>MAX(SUM(C827,M827),SUM(C827))</f>
        <v>0</v>
      </c>
      <c r="D1160" s="1018">
        <f>MAX(SUM(D827,N827),SUM(D827))</f>
        <v>0</v>
      </c>
      <c r="E1160" s="1018">
        <f>MAX(SUM(E827,O827),SUM(E827))</f>
        <v>0</v>
      </c>
      <c r="F1160" s="1018">
        <f>MAX(SUM(F827,P827),SUM(F827))</f>
        <v>0</v>
      </c>
      <c r="G1160" s="613"/>
      <c r="H1160" s="29"/>
      <c r="I1160" s="29"/>
      <c r="J1160" s="29"/>
      <c r="K1160" s="29"/>
      <c r="L1160" s="27"/>
      <c r="M1160" s="1009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6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0" t="str">
        <f>A853</f>
        <v>Labour: Land clearing, construction, herding, slaughtering</v>
      </c>
      <c r="B1161" s="613"/>
      <c r="C1161" s="1018">
        <f t="shared" ref="C1161:F1163" si="193">MAX(SUM(C853,M853),SUM(C853))</f>
        <v>0</v>
      </c>
      <c r="D1161" s="1018">
        <f t="shared" si="193"/>
        <v>0</v>
      </c>
      <c r="E1161" s="1018">
        <f t="shared" si="193"/>
        <v>0</v>
      </c>
      <c r="F1161" s="1018">
        <f t="shared" si="193"/>
        <v>0</v>
      </c>
      <c r="G1161" s="613"/>
      <c r="H1161" s="29"/>
      <c r="I1161" s="29"/>
      <c r="J1161" s="29"/>
      <c r="K1161" s="29"/>
      <c r="L1161" s="27"/>
      <c r="M1161" s="1009" t="str">
        <f t="shared" si="192"/>
        <v/>
      </c>
      <c r="N1161" s="1026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0" t="str">
        <f>A854</f>
        <v>Labour: Weeding</v>
      </c>
      <c r="B1162" s="613"/>
      <c r="C1162" s="1018">
        <f t="shared" si="193"/>
        <v>0</v>
      </c>
      <c r="D1162" s="1018">
        <f t="shared" si="193"/>
        <v>0</v>
      </c>
      <c r="E1162" s="1018">
        <f t="shared" si="193"/>
        <v>0</v>
      </c>
      <c r="F1162" s="1018">
        <f t="shared" si="193"/>
        <v>0</v>
      </c>
      <c r="G1162" s="613"/>
      <c r="H1162" s="29"/>
      <c r="I1162" s="29"/>
      <c r="J1162" s="29"/>
      <c r="K1162" s="29"/>
      <c r="L1162" s="27"/>
      <c r="M1162" s="1009" t="str">
        <f t="shared" si="192"/>
        <v/>
      </c>
      <c r="N1162" s="1026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0" t="str">
        <f>A855</f>
        <v>Labour: Harvesting</v>
      </c>
      <c r="B1163" s="613"/>
      <c r="C1163" s="1018">
        <f t="shared" si="193"/>
        <v>0</v>
      </c>
      <c r="D1163" s="1018">
        <f t="shared" si="193"/>
        <v>0</v>
      </c>
      <c r="E1163" s="1018">
        <f t="shared" si="193"/>
        <v>0</v>
      </c>
      <c r="F1163" s="1018">
        <f t="shared" si="193"/>
        <v>0</v>
      </c>
      <c r="G1163" s="613"/>
      <c r="H1163" s="29"/>
      <c r="I1163" s="29"/>
      <c r="J1163" s="29"/>
      <c r="K1163" s="29"/>
      <c r="L1163" s="27"/>
      <c r="M1163" s="1009" t="str">
        <f t="shared" si="192"/>
        <v/>
      </c>
      <c r="N1163" s="1026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0" t="str">
        <f>A895</f>
        <v>Gifts/remittances: cereal</v>
      </c>
      <c r="B1164" s="613"/>
      <c r="C1164" s="1018">
        <f t="shared" ref="C1164:F1166" si="194">MAX(SUM(C895,M895),SUM(C895))</f>
        <v>0</v>
      </c>
      <c r="D1164" s="1018">
        <f t="shared" si="194"/>
        <v>0</v>
      </c>
      <c r="E1164" s="1018">
        <f t="shared" si="194"/>
        <v>0</v>
      </c>
      <c r="F1164" s="1018">
        <f t="shared" si="194"/>
        <v>0</v>
      </c>
      <c r="G1164" s="613"/>
      <c r="H1164" s="29"/>
      <c r="I1164" s="29"/>
      <c r="J1164" s="29"/>
      <c r="K1164" s="29"/>
      <c r="L1164" s="27"/>
      <c r="M1164" s="1009" t="str">
        <f t="shared" si="192"/>
        <v/>
      </c>
      <c r="N1164" s="1026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0" t="str">
        <f>A896</f>
        <v>Gifts/remittances: sugar</v>
      </c>
      <c r="B1165" s="613"/>
      <c r="C1165" s="1018">
        <f t="shared" si="194"/>
        <v>0</v>
      </c>
      <c r="D1165" s="1018">
        <f t="shared" si="194"/>
        <v>0</v>
      </c>
      <c r="E1165" s="1018">
        <f t="shared" si="194"/>
        <v>0</v>
      </c>
      <c r="F1165" s="1018">
        <f t="shared" si="194"/>
        <v>0</v>
      </c>
      <c r="G1165" s="613"/>
      <c r="H1165" s="29"/>
      <c r="I1165" s="29"/>
      <c r="J1165" s="29"/>
      <c r="K1165" s="29"/>
      <c r="L1165" s="27"/>
      <c r="M1165" s="1009" t="str">
        <f t="shared" si="192"/>
        <v/>
      </c>
      <c r="N1165" s="1026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0" t="str">
        <f>A897</f>
        <v>Gifts/remittances: Other</v>
      </c>
      <c r="B1166" s="613"/>
      <c r="C1166" s="1018">
        <f t="shared" si="194"/>
        <v>0</v>
      </c>
      <c r="D1166" s="1018">
        <f t="shared" si="194"/>
        <v>0</v>
      </c>
      <c r="E1166" s="1018">
        <f t="shared" si="194"/>
        <v>0</v>
      </c>
      <c r="F1166" s="1018">
        <f t="shared" si="194"/>
        <v>0</v>
      </c>
      <c r="G1166" s="613"/>
      <c r="H1166" s="29"/>
      <c r="I1166" s="29"/>
      <c r="J1166" s="29"/>
      <c r="K1166" s="29"/>
      <c r="L1166" s="27"/>
      <c r="M1166" s="1009" t="str">
        <f t="shared" si="192"/>
        <v/>
      </c>
      <c r="N1166" s="1026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18"/>
      <c r="D1167" s="1018"/>
      <c r="E1167" s="1018"/>
      <c r="F1167" s="1018"/>
      <c r="G1167" s="613"/>
      <c r="H1167" s="612"/>
      <c r="I1167" s="29"/>
      <c r="J1167" s="29"/>
      <c r="K1167" s="612"/>
      <c r="L1167" s="613"/>
      <c r="M1167" s="1028" t="s">
        <v>499</v>
      </c>
      <c r="N1167" s="1025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18">
        <f t="shared" ref="C1168:F1170" si="195">IF(C$1102=0,0,MAX(SUM(C915,M915)/C$1102,SUM(C915)/C$1102))</f>
        <v>0</v>
      </c>
      <c r="D1168" s="1018">
        <f t="shared" si="195"/>
        <v>0</v>
      </c>
      <c r="E1168" s="1018">
        <f t="shared" si="195"/>
        <v>0</v>
      </c>
      <c r="F1168" s="1018">
        <f t="shared" si="195"/>
        <v>0</v>
      </c>
      <c r="G1168" s="613"/>
      <c r="H1168" s="29"/>
      <c r="I1168" s="29"/>
      <c r="J1168" s="29"/>
      <c r="K1168" s="612"/>
      <c r="L1168" s="613"/>
      <c r="M1168" s="1009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9" t="str">
        <f t="shared" ref="N1168:N1192" si="197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18">
        <f t="shared" si="195"/>
        <v>0</v>
      </c>
      <c r="D1169" s="1018">
        <f t="shared" si="195"/>
        <v>0</v>
      </c>
      <c r="E1169" s="1018">
        <f t="shared" si="195"/>
        <v>0</v>
      </c>
      <c r="F1169" s="1018">
        <f t="shared" si="195"/>
        <v>0</v>
      </c>
      <c r="G1169" s="613"/>
      <c r="H1169" s="29"/>
      <c r="I1169" s="29"/>
      <c r="J1169" s="29"/>
      <c r="K1169" s="612"/>
      <c r="L1169" s="613"/>
      <c r="M1169" s="1009" t="str">
        <f t="shared" si="196"/>
        <v/>
      </c>
      <c r="N1169" s="1009" t="str">
        <f t="shared" si="197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18">
        <f t="shared" si="195"/>
        <v>0</v>
      </c>
      <c r="D1170" s="1018">
        <f t="shared" si="195"/>
        <v>0</v>
      </c>
      <c r="E1170" s="1018">
        <f t="shared" si="195"/>
        <v>0</v>
      </c>
      <c r="F1170" s="1018">
        <f t="shared" si="195"/>
        <v>0</v>
      </c>
      <c r="G1170" s="613"/>
      <c r="H1170" s="29"/>
      <c r="I1170" s="29"/>
      <c r="J1170" s="29"/>
      <c r="K1170" s="612"/>
      <c r="L1170" s="613"/>
      <c r="M1170" s="1009" t="str">
        <f t="shared" si="196"/>
        <v/>
      </c>
      <c r="N1170" s="1009" t="str">
        <f t="shared" si="197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3"/>
      <c r="C1171" s="1018">
        <f t="shared" ref="C1171:C1180" si="199">IF(C$1102=0,0,MAX(SUM(C919,M919)/C$1102,SUM(C919)/C$1102))</f>
        <v>0</v>
      </c>
      <c r="D1171" s="1018">
        <f t="shared" ref="D1171:D1180" si="200">IF(D$1102=0,0,MAX(SUM(D919,N919)/D$1102,SUM(D919)/D$1102))</f>
        <v>0</v>
      </c>
      <c r="E1171" s="1018">
        <f t="shared" ref="E1171:E1180" si="201">IF(E$1102=0,0,MAX(SUM(E919,O919)/E$1102,SUM(E919)/E$1102))</f>
        <v>0</v>
      </c>
      <c r="F1171" s="1018">
        <f t="shared" ref="F1171:F1180" si="202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09" t="str">
        <f t="shared" si="196"/>
        <v/>
      </c>
      <c r="N1171" s="1009" t="str">
        <f t="shared" si="197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198"/>
        <v>Duck sales: no. Sold</v>
      </c>
      <c r="B1172" s="613"/>
      <c r="C1172" s="1018">
        <f t="shared" si="199"/>
        <v>0</v>
      </c>
      <c r="D1172" s="1018">
        <f t="shared" si="200"/>
        <v>0</v>
      </c>
      <c r="E1172" s="1018">
        <f t="shared" si="201"/>
        <v>0</v>
      </c>
      <c r="F1172" s="1018">
        <f t="shared" si="202"/>
        <v>0</v>
      </c>
      <c r="G1172" s="613"/>
      <c r="H1172" s="29"/>
      <c r="I1172" s="29"/>
      <c r="J1172" s="29"/>
      <c r="K1172" s="612"/>
      <c r="L1172" s="613"/>
      <c r="M1172" s="1009" t="str">
        <f t="shared" si="196"/>
        <v/>
      </c>
      <c r="N1172" s="1009" t="str">
        <f t="shared" si="197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198"/>
        <v>Fattened Ox sales: no. sold</v>
      </c>
      <c r="B1173" s="613"/>
      <c r="C1173" s="1018">
        <f t="shared" si="199"/>
        <v>0</v>
      </c>
      <c r="D1173" s="1018">
        <f t="shared" si="200"/>
        <v>0</v>
      </c>
      <c r="E1173" s="1018">
        <f t="shared" si="201"/>
        <v>0</v>
      </c>
      <c r="F1173" s="1018">
        <f t="shared" si="202"/>
        <v>0</v>
      </c>
      <c r="G1173" s="613"/>
      <c r="H1173" s="29"/>
      <c r="I1173" s="29"/>
      <c r="J1173" s="29"/>
      <c r="K1173" s="612"/>
      <c r="L1173" s="613"/>
      <c r="M1173" s="1009" t="str">
        <f t="shared" si="196"/>
        <v/>
      </c>
      <c r="N1173" s="1009" t="str">
        <f t="shared" si="197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3"/>
      <c r="C1174" s="1018">
        <f t="shared" si="199"/>
        <v>0</v>
      </c>
      <c r="D1174" s="1018">
        <f t="shared" si="200"/>
        <v>0</v>
      </c>
      <c r="E1174" s="1018">
        <f t="shared" si="201"/>
        <v>0</v>
      </c>
      <c r="F1174" s="1018">
        <f t="shared" si="202"/>
        <v>0</v>
      </c>
      <c r="G1174" s="613"/>
      <c r="H1174" s="29"/>
      <c r="I1174" s="29"/>
      <c r="J1174" s="29"/>
      <c r="K1174" s="612"/>
      <c r="L1174" s="613"/>
      <c r="M1174" s="1009" t="str">
        <f t="shared" si="196"/>
        <v/>
      </c>
      <c r="N1174" s="1009" t="str">
        <f t="shared" si="197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3"/>
      <c r="C1175" s="1018">
        <f t="shared" si="199"/>
        <v>0</v>
      </c>
      <c r="D1175" s="1018">
        <f t="shared" si="200"/>
        <v>0</v>
      </c>
      <c r="E1175" s="1018">
        <f t="shared" si="201"/>
        <v>0</v>
      </c>
      <c r="F1175" s="1018">
        <f t="shared" si="202"/>
        <v>0</v>
      </c>
      <c r="G1175" s="613"/>
      <c r="H1175" s="29"/>
      <c r="I1175" s="29"/>
      <c r="J1175" s="29"/>
      <c r="K1175" s="612"/>
      <c r="L1175" s="613"/>
      <c r="M1175" s="1009" t="str">
        <f t="shared" si="196"/>
        <v/>
      </c>
      <c r="N1175" s="1009" t="str">
        <f t="shared" si="197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3"/>
      <c r="C1176" s="1018">
        <f t="shared" si="199"/>
        <v>0</v>
      </c>
      <c r="D1176" s="1018">
        <f t="shared" si="200"/>
        <v>0</v>
      </c>
      <c r="E1176" s="1018">
        <f t="shared" si="201"/>
        <v>0</v>
      </c>
      <c r="F1176" s="1018">
        <f t="shared" si="202"/>
        <v>0</v>
      </c>
      <c r="G1176" s="613"/>
      <c r="H1176" s="29"/>
      <c r="I1176" s="29"/>
      <c r="J1176" s="29"/>
      <c r="K1176" s="612"/>
      <c r="L1176" s="613"/>
      <c r="M1176" s="1009" t="str">
        <f t="shared" si="196"/>
        <v/>
      </c>
      <c r="N1176" s="1009" t="str">
        <f t="shared" si="197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3"/>
      <c r="C1177" s="1018">
        <f t="shared" si="199"/>
        <v>0</v>
      </c>
      <c r="D1177" s="1018">
        <f t="shared" si="200"/>
        <v>0</v>
      </c>
      <c r="E1177" s="1018">
        <f t="shared" si="201"/>
        <v>0</v>
      </c>
      <c r="F1177" s="1018">
        <f t="shared" si="202"/>
        <v>0</v>
      </c>
      <c r="G1177" s="613"/>
      <c r="H1177" s="29"/>
      <c r="I1177" s="29"/>
      <c r="J1177" s="29"/>
      <c r="K1177" s="612"/>
      <c r="L1177" s="613"/>
      <c r="M1177" s="1009" t="str">
        <f t="shared" si="196"/>
        <v/>
      </c>
      <c r="N1177" s="1009" t="str">
        <f t="shared" si="197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3"/>
      <c r="C1178" s="1018">
        <f t="shared" si="199"/>
        <v>0</v>
      </c>
      <c r="D1178" s="1018">
        <f t="shared" si="200"/>
        <v>0</v>
      </c>
      <c r="E1178" s="1018">
        <f t="shared" si="201"/>
        <v>0</v>
      </c>
      <c r="F1178" s="1018">
        <f t="shared" si="202"/>
        <v>0</v>
      </c>
      <c r="G1178" s="613"/>
      <c r="H1178" s="29"/>
      <c r="I1178" s="29"/>
      <c r="J1178" s="29"/>
      <c r="K1178" s="612"/>
      <c r="L1178" s="613"/>
      <c r="M1178" s="1009" t="str">
        <f t="shared" si="196"/>
        <v/>
      </c>
      <c r="N1178" s="1009" t="str">
        <f t="shared" si="197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198"/>
        <v>Sheep sales: no sold</v>
      </c>
      <c r="B1179" s="613"/>
      <c r="C1179" s="1018">
        <f t="shared" si="199"/>
        <v>0</v>
      </c>
      <c r="D1179" s="1018">
        <f t="shared" si="200"/>
        <v>0</v>
      </c>
      <c r="E1179" s="1018">
        <f t="shared" si="201"/>
        <v>0</v>
      </c>
      <c r="F1179" s="1018">
        <f t="shared" si="202"/>
        <v>0</v>
      </c>
      <c r="G1179" s="613"/>
      <c r="H1179" s="29"/>
      <c r="I1179" s="29"/>
      <c r="J1179" s="29"/>
      <c r="K1179" s="612"/>
      <c r="L1179" s="613"/>
      <c r="M1179" s="1009" t="str">
        <f t="shared" si="196"/>
        <v/>
      </c>
      <c r="N1179" s="1009" t="str">
        <f t="shared" si="197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198"/>
        <v>Chicken sales: no. sold</v>
      </c>
      <c r="B1180" s="613"/>
      <c r="C1180" s="1018">
        <f t="shared" si="199"/>
        <v>0</v>
      </c>
      <c r="D1180" s="1018">
        <f t="shared" si="200"/>
        <v>0</v>
      </c>
      <c r="E1180" s="1018">
        <f t="shared" si="201"/>
        <v>0</v>
      </c>
      <c r="F1180" s="1018">
        <f t="shared" si="202"/>
        <v>0</v>
      </c>
      <c r="G1180" s="613"/>
      <c r="H1180" s="29"/>
      <c r="I1180" s="29"/>
      <c r="J1180" s="29"/>
      <c r="K1180" s="612"/>
      <c r="L1180" s="613"/>
      <c r="M1180" s="1009" t="str">
        <f t="shared" si="196"/>
        <v/>
      </c>
      <c r="N1180" s="1009" t="str">
        <f t="shared" si="197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18">
        <f t="shared" ref="C1181:F1183" si="203">IF(C$1102=0,0,MAX(SUM(C964,M964)/C$1102,SUM(C964)/C$1102))</f>
        <v>0</v>
      </c>
      <c r="D1181" s="1018">
        <f t="shared" si="203"/>
        <v>0</v>
      </c>
      <c r="E1181" s="1018">
        <f t="shared" si="203"/>
        <v>0</v>
      </c>
      <c r="F1181" s="1018">
        <f t="shared" si="203"/>
        <v>0</v>
      </c>
      <c r="G1181" s="613"/>
      <c r="H1181" s="29"/>
      <c r="I1181" s="29"/>
      <c r="J1181" s="29"/>
      <c r="K1181" s="612"/>
      <c r="L1181" s="613"/>
      <c r="M1181" s="1009" t="str">
        <f t="shared" si="196"/>
        <v/>
      </c>
      <c r="N1181" s="1009" t="str">
        <f t="shared" si="197"/>
        <v/>
      </c>
      <c r="O1181" s="613"/>
      <c r="P1181" s="613"/>
      <c r="Q1181" s="1030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18">
        <f t="shared" si="203"/>
        <v>0</v>
      </c>
      <c r="D1182" s="1018">
        <f t="shared" si="203"/>
        <v>0</v>
      </c>
      <c r="E1182" s="1018">
        <f t="shared" si="203"/>
        <v>0</v>
      </c>
      <c r="F1182" s="1018">
        <f t="shared" si="203"/>
        <v>0</v>
      </c>
      <c r="G1182" s="613"/>
      <c r="H1182" s="29"/>
      <c r="I1182" s="29"/>
      <c r="J1182" s="29"/>
      <c r="K1182" s="612"/>
      <c r="L1182" s="613"/>
      <c r="M1182" s="1009" t="str">
        <f t="shared" si="196"/>
        <v/>
      </c>
      <c r="N1182" s="1009" t="str">
        <f t="shared" si="197"/>
        <v/>
      </c>
      <c r="O1182" s="613"/>
      <c r="P1182" s="613"/>
      <c r="Q1182" s="1030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18">
        <f t="shared" si="203"/>
        <v>0</v>
      </c>
      <c r="D1183" s="1018">
        <f t="shared" si="203"/>
        <v>0</v>
      </c>
      <c r="E1183" s="1018">
        <f t="shared" si="203"/>
        <v>0</v>
      </c>
      <c r="F1183" s="1018">
        <f t="shared" si="203"/>
        <v>0</v>
      </c>
      <c r="G1183" s="613"/>
      <c r="H1183" s="29"/>
      <c r="I1183" s="29"/>
      <c r="J1183" s="29"/>
      <c r="K1183" s="612"/>
      <c r="L1183" s="613"/>
      <c r="M1183" s="1009" t="str">
        <f t="shared" si="196"/>
        <v/>
      </c>
      <c r="N1183" s="1009" t="str">
        <f t="shared" si="197"/>
        <v/>
      </c>
      <c r="O1183" s="613"/>
      <c r="P1183" s="613"/>
      <c r="Q1183" s="1030"/>
      <c r="R1183" s="236"/>
      <c r="S1183" s="29"/>
      <c r="T1183" s="29"/>
      <c r="U1183" s="829">
        <v>1184</v>
      </c>
      <c r="V1183" s="29"/>
    </row>
    <row r="1184" spans="1:22" ht="15.75" customHeight="1">
      <c r="A1184" s="1027" t="str">
        <f>A856</f>
        <v>Labour migration: no. people per HH</v>
      </c>
      <c r="B1184" s="613"/>
      <c r="C1184" s="1018">
        <f>IF(C$1102=0,0,MAX((SUM(C856,M856)+SUM(C968,M968)/C$1102),(SUM(C856)+SUM(C968)/C$1102)))</f>
        <v>0</v>
      </c>
      <c r="D1184" s="1018">
        <f>IF(D$1102=0,0,MAX((SUM(D856,N856)+SUM(D968,N968)/D$1102),(SUM(D856)+SUM(D968)/D$1102)))</f>
        <v>0</v>
      </c>
      <c r="E1184" s="1018">
        <f>IF(E$1102=0,0,MAX((SUM(E856,O856)+SUM(E968,O968)/E$1102),(SUM(E856)+SUM(E968)/E$1102)))</f>
        <v>0</v>
      </c>
      <c r="F1184" s="1018">
        <f>IF(F$1102=0,0,MAX((SUM(F856,P856)+SUM(F968,P968)/F$1102),(SUM(F856)+SUM(F968)/F$1102)))</f>
        <v>0</v>
      </c>
      <c r="G1184" s="613"/>
      <c r="H1184" s="1019">
        <f>IF(C$1102=0,0,MAX(SUM(C968,M968)/C$1102,SUM(C968)/C$1102))</f>
        <v>0</v>
      </c>
      <c r="I1184" s="1019">
        <f>IF(D$1102=0,0,MAX(SUM(D968,N968)/D$1102,SUM(D968)/D$1102))</f>
        <v>0</v>
      </c>
      <c r="J1184" s="1019">
        <f>IF(E$1102=0,0,MAX(SUM(E968,O968)/E$1102,SUM(E968)/E$1102))</f>
        <v>0</v>
      </c>
      <c r="K1184" s="1019">
        <f>IF(F$1102=0,0,MAX(SUM(F968,P968)/F$1102,SUM(F968)/F$1102))</f>
        <v>0</v>
      </c>
      <c r="L1184" s="27"/>
      <c r="M1184" s="1009" t="str">
        <f t="shared" si="196"/>
        <v/>
      </c>
      <c r="N1184" s="1009" t="str">
        <f t="shared" si="197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18">
        <f>IF(C$1102=0,0,MAX(SUM(C969,M969)/C$1102,SUM(C969)/C$1102))</f>
        <v>0</v>
      </c>
      <c r="D1185" s="1018">
        <f>IF(D$1102=0,0,MAX(SUM(D969,N969)/D$1102,SUM(D969)/D$1102))</f>
        <v>0</v>
      </c>
      <c r="E1185" s="1018">
        <f>IF(E$1102=0,0,MAX(SUM(E969,O969)/E$1102,SUM(E969)/E$1102))</f>
        <v>0</v>
      </c>
      <c r="F1185" s="1018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09" t="str">
        <f t="shared" si="196"/>
        <v/>
      </c>
      <c r="N1185" s="1009" t="str">
        <f t="shared" si="197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18">
        <f t="shared" ref="C1186:F1187" si="204">IF(C$1102=0,0,MAX(SUM(C971,M971)/C$1102,SUM(C971)/C$1102))</f>
        <v>0</v>
      </c>
      <c r="D1186" s="1018">
        <f t="shared" si="204"/>
        <v>0</v>
      </c>
      <c r="E1186" s="1018">
        <f t="shared" si="204"/>
        <v>0</v>
      </c>
      <c r="F1186" s="1018">
        <f t="shared" si="204"/>
        <v>0</v>
      </c>
      <c r="G1186" s="613"/>
      <c r="H1186" s="29"/>
      <c r="I1186" s="29"/>
      <c r="J1186" s="29"/>
      <c r="K1186" s="612"/>
      <c r="L1186" s="613"/>
      <c r="M1186" s="1009" t="str">
        <f t="shared" si="196"/>
        <v/>
      </c>
      <c r="N1186" s="1009" t="str">
        <f t="shared" si="197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18">
        <f t="shared" si="204"/>
        <v>0</v>
      </c>
      <c r="D1187" s="1018">
        <f t="shared" si="204"/>
        <v>0</v>
      </c>
      <c r="E1187" s="1018">
        <f t="shared" si="204"/>
        <v>0</v>
      </c>
      <c r="F1187" s="1018">
        <f t="shared" si="204"/>
        <v>0</v>
      </c>
      <c r="G1187" s="613"/>
      <c r="H1187" s="29"/>
      <c r="I1187" s="29"/>
      <c r="J1187" s="29"/>
      <c r="K1187" s="612"/>
      <c r="L1187" s="613"/>
      <c r="M1187" s="1009" t="str">
        <f t="shared" si="196"/>
        <v/>
      </c>
      <c r="N1187" s="1009" t="str">
        <f t="shared" si="197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18">
        <f>IF(C$1102=0,0,MAX(SUM(C974,M974)/C$1102,SUM(C974)/C$1102))</f>
        <v>0</v>
      </c>
      <c r="D1188" s="1018">
        <f>IF(D$1102=0,0,MAX(SUM(D974,N974)/D$1102,SUM(D974)/D$1102))</f>
        <v>0</v>
      </c>
      <c r="E1188" s="1018">
        <f>IF(E$1102=0,0,MAX(SUM(E974,O974)/E$1102,SUM(E974)/E$1102))</f>
        <v>0</v>
      </c>
      <c r="F1188" s="1018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09" t="str">
        <f t="shared" si="196"/>
        <v/>
      </c>
      <c r="N1188" s="1009" t="str">
        <f t="shared" si="197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18">
        <f>IF(C$1102=0,0,MAX(SUM(C976,M976)/C$1102,SUM(C976)/C$1102))</f>
        <v>0</v>
      </c>
      <c r="D1189" s="1018">
        <f>IF(D$1102=0,0,MAX(SUM(D976,N976)/D$1102,SUM(D976)/D$1102))</f>
        <v>0</v>
      </c>
      <c r="E1189" s="1018">
        <f>IF(E$1102=0,0,MAX(SUM(E976,O976)/E$1102,SUM(E976)/E$1102))</f>
        <v>0</v>
      </c>
      <c r="F1189" s="1018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09" t="str">
        <f t="shared" si="196"/>
        <v/>
      </c>
      <c r="N1189" s="1009" t="str">
        <f t="shared" si="197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18">
        <f>IF(C$1102=0,0,MAX(SUM(C978,M978)/C$1102,SUM(C978)/C$1102))</f>
        <v>0</v>
      </c>
      <c r="D1190" s="1018">
        <f>IF(D$1102=0,0,MAX(SUM(D978,N978)/D$1102,SUM(D978)/D$1102))</f>
        <v>0</v>
      </c>
      <c r="E1190" s="1018">
        <f>IF(E$1102=0,0,MAX(SUM(E978,O978)/E$1102,SUM(E978)/E$1102))</f>
        <v>0</v>
      </c>
      <c r="F1190" s="1018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09" t="str">
        <f t="shared" si="196"/>
        <v/>
      </c>
      <c r="N1190" s="1009" t="str">
        <f t="shared" si="197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18">
        <f>IF(C$1102=0,0,MAX(SUM(C980,M980)/C$1102,SUM(C980)/C$1102))</f>
        <v>0</v>
      </c>
      <c r="D1191" s="1018">
        <f>IF(D$1102=0,0,MAX(SUM(D980,N980)/D$1102,SUM(D980)/D$1102))</f>
        <v>0</v>
      </c>
      <c r="E1191" s="1018">
        <f>IF(E$1102=0,0,MAX(SUM(E980,O980)/E$1102,SUM(E980)/E$1102))</f>
        <v>0</v>
      </c>
      <c r="F1191" s="1018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09" t="str">
        <f t="shared" si="196"/>
        <v/>
      </c>
      <c r="N1191" s="1009" t="str">
        <f t="shared" si="197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18">
        <f>IF(C$1102=0,0,MAX(SUM(C982,M982)/C$1102,SUM(C982)/C$1102))</f>
        <v>0</v>
      </c>
      <c r="D1192" s="1018">
        <f>IF(D$1102=0,0,MAX(SUM(D982,N982)/D$1102,SUM(D982)/D$1102))</f>
        <v>0</v>
      </c>
      <c r="E1192" s="1018">
        <f>IF(E$1102=0,0,MAX(SUM(E982,O982)/E$1102,SUM(E982)/E$1102))</f>
        <v>0</v>
      </c>
      <c r="F1192" s="1018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09" t="str">
        <f t="shared" si="196"/>
        <v/>
      </c>
      <c r="N1192" s="1009" t="str">
        <f t="shared" si="197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1" customWidth="1"/>
    <col min="8" max="10" width="6.5" style="1032" customWidth="1"/>
    <col min="11" max="16384" width="11.5" style="15"/>
  </cols>
  <sheetData>
    <row r="1" spans="1:13" ht="12.75" customHeight="1">
      <c r="A1" s="1033"/>
      <c r="B1" s="1034"/>
      <c r="C1" s="630"/>
      <c r="D1" s="630"/>
      <c r="E1" s="630"/>
      <c r="F1" s="630"/>
      <c r="G1" s="1035"/>
      <c r="H1" s="1035"/>
      <c r="I1" s="236"/>
      <c r="J1" s="236"/>
      <c r="K1" s="236"/>
      <c r="L1" s="236"/>
      <c r="M1" s="236"/>
    </row>
    <row r="2" spans="1:13" ht="14" customHeight="1" thickBot="1">
      <c r="A2" s="1036" t="s">
        <v>500</v>
      </c>
      <c r="B2" s="1037"/>
      <c r="C2" s="1038"/>
      <c r="D2" s="1038"/>
      <c r="E2" s="1038"/>
      <c r="F2" s="1038"/>
      <c r="G2" s="1035"/>
      <c r="H2" s="1035"/>
      <c r="I2" s="236"/>
      <c r="J2" s="236"/>
      <c r="K2" s="236"/>
      <c r="L2" s="236"/>
      <c r="M2" s="236"/>
    </row>
    <row r="3" spans="1:13" ht="14" customHeight="1" thickBot="1">
      <c r="A3" s="1039"/>
      <c r="B3" s="808"/>
      <c r="C3" s="808" t="s">
        <v>445</v>
      </c>
      <c r="D3" s="809"/>
      <c r="E3" s="809"/>
      <c r="F3" s="809"/>
      <c r="G3" s="1035"/>
      <c r="H3" s="1035"/>
      <c r="I3" s="236"/>
      <c r="J3" s="236"/>
      <c r="K3" s="236"/>
      <c r="L3" s="236"/>
      <c r="M3" s="236"/>
    </row>
    <row r="4" spans="1:13" ht="12.75" customHeight="1">
      <c r="A4" s="1040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5"/>
      <c r="H4" s="1035"/>
      <c r="I4" s="236"/>
      <c r="J4" s="236"/>
      <c r="K4" s="236"/>
      <c r="L4" s="236"/>
      <c r="M4" s="236"/>
    </row>
    <row r="5" spans="1:13" ht="12.75" customHeight="1">
      <c r="A5" s="1041" t="s">
        <v>501</v>
      </c>
      <c r="B5" s="1042"/>
      <c r="C5" s="925"/>
      <c r="D5" s="925"/>
      <c r="E5" s="925"/>
      <c r="F5" s="925"/>
      <c r="G5" s="1035"/>
      <c r="H5" s="1035"/>
      <c r="I5" s="236"/>
      <c r="J5" s="236"/>
      <c r="K5" s="236"/>
      <c r="L5" s="236"/>
      <c r="M5" s="236"/>
    </row>
    <row r="6" spans="1:13" ht="12.75" customHeight="1">
      <c r="A6" s="1043" t="s">
        <v>502</v>
      </c>
      <c r="B6" s="1037"/>
      <c r="C6" s="1038"/>
      <c r="D6" s="1038"/>
      <c r="E6" s="1038"/>
      <c r="F6" s="1038"/>
      <c r="G6" s="1035"/>
      <c r="H6" s="1035"/>
      <c r="I6" s="236"/>
      <c r="J6" s="236"/>
      <c r="K6" s="236"/>
      <c r="L6" s="236"/>
      <c r="M6" s="236"/>
    </row>
    <row r="7" spans="1:13" ht="12.75" customHeight="1">
      <c r="A7" s="1044" t="s">
        <v>503</v>
      </c>
      <c r="B7" s="1045"/>
      <c r="C7" s="1014"/>
      <c r="D7" s="1014"/>
      <c r="E7" s="1014"/>
      <c r="F7" s="1014"/>
      <c r="G7" s="1035"/>
      <c r="H7" s="1035"/>
      <c r="I7" s="236"/>
      <c r="J7" s="236"/>
      <c r="K7" s="236"/>
      <c r="L7" s="236"/>
      <c r="M7" s="236"/>
    </row>
    <row r="8" spans="1:13" ht="12.75" customHeight="1">
      <c r="A8" s="1041" t="s">
        <v>504</v>
      </c>
      <c r="B8" s="1042"/>
      <c r="C8" s="1046">
        <f>[1]ExpFactors!$C$8</f>
        <v>1.5</v>
      </c>
      <c r="D8" s="1046">
        <f>[1]ExpFactors!$D$8</f>
        <v>1.5</v>
      </c>
      <c r="E8" s="1046">
        <f>[1]ExpFactors!$E$8</f>
        <v>1.5</v>
      </c>
      <c r="F8" s="1046">
        <f>[1]ExpFactors!$F$8</f>
        <v>1.5</v>
      </c>
      <c r="G8" s="1035"/>
      <c r="H8" s="1035"/>
      <c r="I8" s="236"/>
      <c r="J8" s="236"/>
      <c r="K8" s="236"/>
      <c r="L8" s="236"/>
      <c r="M8" s="236"/>
    </row>
    <row r="9" spans="1:13" ht="12.75" customHeight="1">
      <c r="A9" s="1043" t="s">
        <v>505</v>
      </c>
      <c r="B9" s="1037"/>
      <c r="C9" s="1038"/>
      <c r="D9" s="1038"/>
      <c r="E9" s="1038"/>
      <c r="F9" s="1038"/>
      <c r="G9" s="1035"/>
      <c r="H9" s="1035"/>
      <c r="I9" s="236"/>
      <c r="J9" s="236"/>
      <c r="K9" s="236"/>
      <c r="L9" s="236"/>
      <c r="M9" s="236"/>
    </row>
    <row r="10" spans="1:13" ht="12.75" customHeight="1">
      <c r="A10" s="1044" t="s">
        <v>506</v>
      </c>
      <c r="B10" s="1045"/>
      <c r="C10" s="1014"/>
      <c r="D10" s="1014"/>
      <c r="E10" s="1014"/>
      <c r="F10" s="1014"/>
      <c r="G10" s="1035"/>
      <c r="H10" s="1035"/>
      <c r="I10" s="236"/>
      <c r="J10" s="236"/>
      <c r="K10" s="236"/>
      <c r="L10" s="236"/>
      <c r="M10" s="236"/>
    </row>
    <row r="11" spans="1:13" ht="12.75" customHeight="1">
      <c r="A11" s="1041" t="s">
        <v>507</v>
      </c>
      <c r="B11" s="1042"/>
      <c r="C11" s="1046">
        <f>[1]ExpFactors!$C$11</f>
        <v>0.1</v>
      </c>
      <c r="D11" s="1046">
        <f>[1]ExpFactors!$D$11</f>
        <v>0.1</v>
      </c>
      <c r="E11" s="1046">
        <f>[1]ExpFactors!$E$11</f>
        <v>0.2</v>
      </c>
      <c r="F11" s="1046">
        <f>[1]ExpFactors!$F$11</f>
        <v>0.2</v>
      </c>
      <c r="G11" s="1035"/>
      <c r="H11" s="1035"/>
      <c r="I11" s="236"/>
      <c r="J11" s="236"/>
      <c r="K11" s="236"/>
      <c r="L11" s="236"/>
      <c r="M11" s="236"/>
    </row>
    <row r="12" spans="1:13" ht="12.75" customHeight="1">
      <c r="A12" s="1041" t="s">
        <v>504</v>
      </c>
      <c r="B12" s="1042"/>
      <c r="C12" s="1046">
        <f>[1]ExpFactors!$C$12</f>
        <v>2</v>
      </c>
      <c r="D12" s="1046">
        <f>[1]ExpFactors!$D$12</f>
        <v>2</v>
      </c>
      <c r="E12" s="1046">
        <f>[1]ExpFactors!$E$12</f>
        <v>2</v>
      </c>
      <c r="F12" s="1046">
        <f>[1]ExpFactors!$F$12</f>
        <v>2</v>
      </c>
      <c r="G12" s="1035"/>
      <c r="H12" s="1035"/>
      <c r="I12" s="236"/>
      <c r="J12" s="236"/>
      <c r="K12" s="236"/>
      <c r="L12" s="236"/>
      <c r="M12" s="236"/>
    </row>
    <row r="13" spans="1:13" ht="12.75" customHeight="1">
      <c r="A13" s="1044" t="s">
        <v>508</v>
      </c>
      <c r="B13" s="1045"/>
      <c r="C13" s="1014"/>
      <c r="D13" s="1014"/>
      <c r="E13" s="1014"/>
      <c r="F13" s="1014"/>
      <c r="G13" s="1035"/>
      <c r="H13" s="1035"/>
      <c r="I13" s="236"/>
      <c r="J13" s="236"/>
      <c r="K13" s="236"/>
      <c r="L13" s="236"/>
      <c r="M13" s="236"/>
    </row>
    <row r="14" spans="1:13" ht="12.75" customHeight="1">
      <c r="A14" s="1041" t="s">
        <v>507</v>
      </c>
      <c r="B14" s="1042"/>
      <c r="C14" s="1046">
        <f>[1]ExpFactors!$C$14</f>
        <v>0</v>
      </c>
      <c r="D14" s="1046">
        <f>[1]ExpFactors!$D$14</f>
        <v>0.33</v>
      </c>
      <c r="E14" s="1046">
        <f>[1]ExpFactors!$E$14</f>
        <v>0.15</v>
      </c>
      <c r="F14" s="1046">
        <f>[1]ExpFactors!$F$14</f>
        <v>0.17</v>
      </c>
      <c r="G14" s="1035"/>
      <c r="H14" s="1035"/>
      <c r="I14" s="236"/>
      <c r="J14" s="236"/>
      <c r="K14" s="236"/>
      <c r="L14" s="236"/>
      <c r="M14" s="236"/>
    </row>
    <row r="15" spans="1:13" ht="12.75" customHeight="1">
      <c r="A15" s="1041" t="s">
        <v>504</v>
      </c>
      <c r="B15" s="1042"/>
      <c r="C15" s="1046">
        <f>[1]ExpFactors!$C$15</f>
        <v>1</v>
      </c>
      <c r="D15" s="1046">
        <f>[1]ExpFactors!$D$15</f>
        <v>1</v>
      </c>
      <c r="E15" s="1046">
        <f>[1]ExpFactors!$E$15</f>
        <v>1.5</v>
      </c>
      <c r="F15" s="1046">
        <f>[1]ExpFactors!$F$15</f>
        <v>1.5</v>
      </c>
      <c r="G15" s="1035"/>
      <c r="H15" s="1035"/>
      <c r="I15" s="236"/>
      <c r="J15" s="236"/>
      <c r="K15" s="236"/>
      <c r="L15" s="236"/>
      <c r="M15" s="236"/>
    </row>
    <row r="16" spans="1:13" ht="12.75" customHeight="1">
      <c r="A16" s="1044" t="s">
        <v>509</v>
      </c>
      <c r="B16" s="1045"/>
      <c r="C16" s="1014"/>
      <c r="D16" s="1014"/>
      <c r="E16" s="1014"/>
      <c r="F16" s="1014"/>
      <c r="G16" s="1035"/>
      <c r="H16" s="1035"/>
      <c r="I16" s="236"/>
      <c r="J16" s="236"/>
      <c r="K16" s="236"/>
      <c r="L16" s="236"/>
      <c r="M16" s="236"/>
    </row>
    <row r="17" spans="1:13" ht="12.75" customHeight="1">
      <c r="A17" s="1041" t="s">
        <v>507</v>
      </c>
      <c r="B17" s="1042"/>
      <c r="C17" s="1046">
        <f>[1]ExpFactors!$C$17</f>
        <v>0.5</v>
      </c>
      <c r="D17" s="1046">
        <f>[1]ExpFactors!$D$17</f>
        <v>0.33</v>
      </c>
      <c r="E17" s="1046">
        <f>[1]ExpFactors!$E$17</f>
        <v>0.375</v>
      </c>
      <c r="F17" s="1046">
        <f>[1]ExpFactors!$E$17</f>
        <v>0.375</v>
      </c>
      <c r="G17" s="1035"/>
      <c r="H17" s="1035"/>
      <c r="I17" s="236"/>
      <c r="J17" s="236"/>
      <c r="K17" s="236"/>
      <c r="L17" s="236"/>
      <c r="M17" s="236"/>
    </row>
    <row r="18" spans="1:13" ht="12.75" customHeight="1">
      <c r="A18" s="1041" t="s">
        <v>504</v>
      </c>
      <c r="B18" s="1042"/>
      <c r="C18" s="1046">
        <f>[1]ExpFactors!$C$18</f>
        <v>1</v>
      </c>
      <c r="D18" s="1046">
        <f>[1]ExpFactors!$D$18</f>
        <v>1</v>
      </c>
      <c r="E18" s="1046">
        <f>[1]ExpFactors!$E$18</f>
        <v>1.5</v>
      </c>
      <c r="F18" s="1046">
        <f>[1]ExpFactors!$F$18</f>
        <v>1.25</v>
      </c>
      <c r="G18" s="1035"/>
      <c r="H18" s="1035"/>
      <c r="I18" s="236"/>
      <c r="J18" s="236"/>
      <c r="K18" s="236"/>
      <c r="L18" s="236"/>
      <c r="M18" s="236"/>
    </row>
    <row r="19" spans="1:13" ht="12.75" customHeight="1">
      <c r="A19" s="1043" t="s">
        <v>20</v>
      </c>
      <c r="B19" s="1037"/>
      <c r="C19" s="1038"/>
      <c r="D19" s="1038"/>
      <c r="E19" s="1038"/>
      <c r="F19" s="1038"/>
      <c r="G19" s="1035"/>
      <c r="H19" s="1035"/>
      <c r="I19" s="236"/>
      <c r="J19" s="236"/>
      <c r="K19" s="236"/>
      <c r="L19" s="236"/>
      <c r="M19" s="236"/>
    </row>
    <row r="20" spans="1:13" ht="12.75" customHeight="1">
      <c r="A20" s="1044" t="s">
        <v>510</v>
      </c>
      <c r="B20" s="1047"/>
      <c r="C20" s="1012"/>
      <c r="D20" s="1012"/>
      <c r="E20" s="1012"/>
      <c r="F20" s="1012"/>
      <c r="G20" s="1035"/>
      <c r="H20" s="1035"/>
      <c r="I20" s="236"/>
      <c r="J20" s="236"/>
      <c r="K20" s="236"/>
      <c r="L20" s="236"/>
      <c r="M20" s="236"/>
    </row>
    <row r="21" spans="1:13" ht="12.75" customHeight="1">
      <c r="A21" s="1041" t="s">
        <v>511</v>
      </c>
      <c r="B21" s="1042"/>
      <c r="C21" s="1046">
        <f>[1]ExpFactors!$C$21</f>
        <v>1.25</v>
      </c>
      <c r="D21" s="1046">
        <f>[1]ExpFactors!$D$21</f>
        <v>1.25</v>
      </c>
      <c r="E21" s="1046">
        <f>[1]ExpFactors!$E$21</f>
        <v>1.25</v>
      </c>
      <c r="F21" s="1046">
        <f>[1]ExpFactors!$F$21</f>
        <v>1.25</v>
      </c>
      <c r="G21" s="1035"/>
      <c r="H21" s="1035"/>
      <c r="I21" s="236"/>
      <c r="J21" s="236"/>
      <c r="K21" s="236"/>
      <c r="L21" s="236"/>
      <c r="M21" s="236"/>
    </row>
    <row r="22" spans="1:13" ht="12.75" customHeight="1">
      <c r="A22" s="1044" t="s">
        <v>512</v>
      </c>
      <c r="B22" s="1047"/>
      <c r="C22" s="1012"/>
      <c r="D22" s="1012"/>
      <c r="E22" s="1012"/>
      <c r="F22" s="1012"/>
      <c r="G22" s="1035"/>
      <c r="H22" s="1035"/>
      <c r="I22" s="236"/>
      <c r="J22" s="236"/>
      <c r="K22" s="236"/>
      <c r="L22" s="236"/>
      <c r="M22" s="236"/>
    </row>
    <row r="23" spans="1:13" ht="12.75" customHeight="1">
      <c r="A23" s="1041" t="s">
        <v>513</v>
      </c>
      <c r="B23" s="1042"/>
      <c r="C23" s="1046">
        <f>[1]ExpFactors!C23</f>
        <v>0</v>
      </c>
      <c r="D23" s="1046">
        <f>[1]ExpFactors!D23</f>
        <v>0</v>
      </c>
      <c r="E23" s="1046">
        <f>[1]ExpFactors!E23</f>
        <v>0</v>
      </c>
      <c r="F23" s="1046">
        <f>[1]ExpFactors!F23</f>
        <v>0</v>
      </c>
      <c r="G23" s="1035"/>
      <c r="H23" s="1035"/>
      <c r="I23" s="236"/>
      <c r="J23" s="236"/>
      <c r="K23" s="236"/>
      <c r="L23" s="236"/>
      <c r="M23" s="236"/>
    </row>
    <row r="24" spans="1:13" ht="12.75" customHeight="1">
      <c r="A24" s="1041" t="s">
        <v>514</v>
      </c>
      <c r="B24" s="1042"/>
      <c r="C24" s="1046">
        <f>[1]ExpFactors!C24</f>
        <v>1</v>
      </c>
      <c r="D24" s="1046">
        <f>[1]ExpFactors!D24</f>
        <v>1</v>
      </c>
      <c r="E24" s="1046">
        <f>[1]ExpFactors!E24</f>
        <v>1</v>
      </c>
      <c r="F24" s="1046">
        <f>[1]ExpFactors!F24</f>
        <v>1</v>
      </c>
      <c r="G24" s="1035"/>
      <c r="H24" s="1035"/>
      <c r="I24" s="236"/>
      <c r="J24" s="236"/>
      <c r="K24" s="236"/>
      <c r="L24" s="236"/>
      <c r="M24" s="236"/>
    </row>
    <row r="25" spans="1:13" ht="12.75" customHeight="1">
      <c r="A25" s="1041" t="s">
        <v>515</v>
      </c>
      <c r="B25" s="1042"/>
      <c r="C25" s="1046">
        <f>[1]ExpFactors!C25</f>
        <v>0.5</v>
      </c>
      <c r="D25" s="1046">
        <f>[1]ExpFactors!D25</f>
        <v>0.5</v>
      </c>
      <c r="E25" s="1046">
        <f>[1]ExpFactors!E25</f>
        <v>0.5</v>
      </c>
      <c r="F25" s="1046">
        <f>[1]ExpFactors!F25</f>
        <v>0.5</v>
      </c>
      <c r="G25" s="1035"/>
      <c r="H25" s="1035"/>
      <c r="I25" s="236"/>
      <c r="J25" s="236"/>
      <c r="K25" s="236"/>
      <c r="L25" s="236"/>
      <c r="M25" s="236"/>
    </row>
    <row r="26" spans="1:13" ht="12.75" customHeight="1">
      <c r="A26" s="1043" t="s">
        <v>516</v>
      </c>
      <c r="B26" s="1048"/>
      <c r="C26" s="1049"/>
      <c r="D26" s="1049"/>
      <c r="E26" s="1049"/>
      <c r="F26" s="1049"/>
      <c r="G26" s="1035"/>
      <c r="H26" s="1035"/>
      <c r="I26" s="236"/>
      <c r="J26" s="236"/>
      <c r="K26" s="236"/>
      <c r="L26" s="236"/>
      <c r="M26" s="236"/>
    </row>
    <row r="27" spans="1:13" ht="12.75" customHeight="1">
      <c r="A27" s="1044" t="s">
        <v>517</v>
      </c>
      <c r="B27" s="1047"/>
      <c r="C27" s="1012"/>
      <c r="D27" s="1012"/>
      <c r="E27" s="1012"/>
      <c r="F27" s="1012"/>
      <c r="G27" s="1035"/>
      <c r="H27" s="1035"/>
      <c r="I27" s="236"/>
      <c r="J27" s="236"/>
      <c r="K27" s="236"/>
      <c r="L27" s="236"/>
      <c r="M27" s="236"/>
    </row>
    <row r="28" spans="1:13" ht="12.75" customHeight="1">
      <c r="A28" s="1041" t="s">
        <v>518</v>
      </c>
      <c r="B28" s="1042"/>
      <c r="C28" s="1046">
        <f>[1]ExpFactors!C28</f>
        <v>1.2</v>
      </c>
      <c r="D28" s="1046">
        <f>[1]ExpFactors!D28</f>
        <v>1.2</v>
      </c>
      <c r="E28" s="1046">
        <f>[1]ExpFactors!E28</f>
        <v>1.2</v>
      </c>
      <c r="F28" s="1046">
        <f>[1]ExpFactors!F28</f>
        <v>1.2</v>
      </c>
      <c r="G28" s="1035"/>
      <c r="H28" s="1035"/>
      <c r="I28" s="236"/>
      <c r="J28" s="236"/>
      <c r="K28" s="236"/>
      <c r="L28" s="236"/>
      <c r="M28" s="236"/>
    </row>
    <row r="29" spans="1:13" ht="12.75" customHeight="1">
      <c r="A29" s="1044" t="s">
        <v>519</v>
      </c>
      <c r="B29" s="1045"/>
      <c r="C29" s="1014"/>
      <c r="D29" s="1014"/>
      <c r="E29" s="1014"/>
      <c r="F29" s="1014"/>
      <c r="G29" s="1035"/>
      <c r="H29" s="1035"/>
      <c r="I29" s="236"/>
      <c r="J29" s="236"/>
      <c r="K29" s="236"/>
      <c r="L29" s="236"/>
      <c r="M29" s="236"/>
    </row>
    <row r="30" spans="1:13" ht="12.75" customHeight="1">
      <c r="A30" s="1041" t="s">
        <v>518</v>
      </c>
      <c r="B30" s="1042"/>
      <c r="C30" s="1046">
        <f>[1]ExpFactors!C30</f>
        <v>1.2</v>
      </c>
      <c r="D30" s="1046">
        <f>[1]ExpFactors!D30</f>
        <v>1.2</v>
      </c>
      <c r="E30" s="1046">
        <f>[1]ExpFactors!E30</f>
        <v>1.2</v>
      </c>
      <c r="F30" s="1046">
        <f>[1]ExpFactors!F30</f>
        <v>1.2</v>
      </c>
      <c r="G30" s="1035"/>
      <c r="H30" s="1035"/>
      <c r="I30" s="236"/>
      <c r="J30" s="236"/>
      <c r="K30" s="236"/>
      <c r="L30" s="236"/>
      <c r="M30" s="236"/>
    </row>
    <row r="31" spans="1:13" ht="12.75" customHeight="1">
      <c r="A31" s="1044" t="s">
        <v>520</v>
      </c>
      <c r="B31" s="1045"/>
      <c r="C31" s="1014"/>
      <c r="D31" s="1014"/>
      <c r="E31" s="1014"/>
      <c r="F31" s="1014"/>
      <c r="G31" s="1035"/>
      <c r="H31" s="1035"/>
      <c r="I31" s="236"/>
      <c r="J31" s="236"/>
      <c r="K31" s="236"/>
      <c r="L31" s="236"/>
      <c r="M31" s="236"/>
    </row>
    <row r="32" spans="1:13" ht="12.75" customHeight="1">
      <c r="A32" s="1041" t="s">
        <v>518</v>
      </c>
      <c r="B32" s="1042"/>
      <c r="C32" s="1046">
        <f>[1]ExpFactors!C32</f>
        <v>2</v>
      </c>
      <c r="D32" s="1046">
        <f>[1]ExpFactors!D32</f>
        <v>2</v>
      </c>
      <c r="E32" s="1046">
        <f>[1]ExpFactors!E32</f>
        <v>2</v>
      </c>
      <c r="F32" s="1046">
        <f>[1]ExpFactors!F32</f>
        <v>2</v>
      </c>
      <c r="G32" s="1035"/>
      <c r="H32" s="1035"/>
      <c r="I32" s="236"/>
      <c r="J32" s="236"/>
      <c r="K32" s="236"/>
      <c r="L32" s="236"/>
      <c r="M32" s="236"/>
    </row>
    <row r="33" spans="1:13" ht="12.75" customHeight="1">
      <c r="A33" s="1044" t="s">
        <v>521</v>
      </c>
      <c r="B33" s="1047"/>
      <c r="C33" s="1012"/>
      <c r="D33" s="1012"/>
      <c r="E33" s="1012"/>
      <c r="F33" s="1012"/>
      <c r="G33" s="1035"/>
      <c r="H33" s="1035"/>
      <c r="I33" s="236"/>
      <c r="J33" s="236"/>
      <c r="K33" s="236"/>
      <c r="L33" s="236"/>
      <c r="M33" s="236"/>
    </row>
    <row r="34" spans="1:13" ht="12.75" customHeight="1">
      <c r="A34" s="1041" t="s">
        <v>518</v>
      </c>
      <c r="B34" s="1042"/>
      <c r="C34" s="1046">
        <f>[1]ExpFactors!C34</f>
        <v>1</v>
      </c>
      <c r="D34" s="1046">
        <f>[1]ExpFactors!D34</f>
        <v>1</v>
      </c>
      <c r="E34" s="1046">
        <f>[1]ExpFactors!E34</f>
        <v>1</v>
      </c>
      <c r="F34" s="1046">
        <f>[1]ExpFactors!F34</f>
        <v>1</v>
      </c>
      <c r="G34" s="1035"/>
      <c r="H34" s="1035"/>
      <c r="I34" s="236"/>
      <c r="J34" s="236"/>
      <c r="K34" s="236"/>
      <c r="L34" s="236"/>
      <c r="M34" s="236"/>
    </row>
    <row r="35" spans="1:13" ht="12.75" customHeight="1">
      <c r="A35" s="1044" t="s">
        <v>522</v>
      </c>
      <c r="B35" s="1047"/>
      <c r="C35" s="1012"/>
      <c r="D35" s="1012"/>
      <c r="E35" s="1012"/>
      <c r="F35" s="1012"/>
      <c r="G35" s="1035"/>
      <c r="H35" s="1035"/>
      <c r="I35" s="236"/>
      <c r="J35" s="236"/>
      <c r="K35" s="236"/>
      <c r="L35" s="236"/>
      <c r="M35" s="236"/>
    </row>
    <row r="36" spans="1:13" ht="12.75" customHeight="1">
      <c r="A36" s="1050" t="s">
        <v>518</v>
      </c>
      <c r="B36" s="1042"/>
      <c r="C36" s="1046">
        <f>[1]ExpFactors!C36</f>
        <v>1.2</v>
      </c>
      <c r="D36" s="1046">
        <f>[1]ExpFactors!D36</f>
        <v>1.2</v>
      </c>
      <c r="E36" s="1046">
        <f>[1]ExpFactors!E36</f>
        <v>1.2</v>
      </c>
      <c r="F36" s="1046">
        <f>[1]ExpFactors!F36</f>
        <v>1.2</v>
      </c>
      <c r="G36" s="1035"/>
      <c r="H36" s="1035"/>
      <c r="I36" s="236"/>
      <c r="J36" s="236"/>
      <c r="K36" s="236"/>
      <c r="L36" s="236"/>
      <c r="M36" s="236"/>
    </row>
    <row r="37" spans="1:13" ht="12.75" customHeight="1">
      <c r="A37" s="1044" t="s">
        <v>523</v>
      </c>
      <c r="B37" s="1045"/>
      <c r="C37" s="1014"/>
      <c r="D37" s="1014"/>
      <c r="E37" s="1014"/>
      <c r="F37" s="1014"/>
      <c r="G37" s="1035"/>
      <c r="H37" s="1035"/>
      <c r="I37" s="236"/>
      <c r="J37" s="236"/>
      <c r="K37" s="236"/>
      <c r="L37" s="236"/>
      <c r="M37" s="236"/>
    </row>
    <row r="38" spans="1:13" ht="12.75" customHeight="1">
      <c r="A38" s="1041" t="s">
        <v>518</v>
      </c>
      <c r="B38" s="1042"/>
      <c r="C38" s="1046">
        <f>[1]ExpFactors!C38</f>
        <v>1</v>
      </c>
      <c r="D38" s="1046">
        <f>[1]ExpFactors!D38</f>
        <v>1</v>
      </c>
      <c r="E38" s="1046">
        <f>[1]ExpFactors!E38</f>
        <v>1</v>
      </c>
      <c r="F38" s="1046">
        <f>[1]ExpFactors!F38</f>
        <v>1</v>
      </c>
      <c r="G38" s="1035"/>
      <c r="H38" s="1035"/>
      <c r="I38" s="236"/>
      <c r="J38" s="236"/>
      <c r="K38" s="236"/>
      <c r="L38" s="236"/>
      <c r="M38" s="236"/>
    </row>
    <row r="39" spans="1:13" ht="12.75" customHeight="1">
      <c r="A39" s="1051" t="s">
        <v>17</v>
      </c>
      <c r="B39" s="1052"/>
      <c r="C39" s="1053"/>
      <c r="D39" s="1053"/>
      <c r="E39" s="1053"/>
      <c r="F39" s="1053"/>
      <c r="G39" s="1035"/>
      <c r="H39" s="1035"/>
      <c r="I39" s="236"/>
      <c r="J39" s="236"/>
      <c r="K39" s="236"/>
      <c r="L39" s="236"/>
      <c r="M39" s="236"/>
    </row>
    <row r="40" spans="1:13" ht="12.75" customHeight="1">
      <c r="A40" s="1054" t="s">
        <v>524</v>
      </c>
      <c r="B40" s="1055"/>
      <c r="C40" s="1056"/>
      <c r="D40" s="1056"/>
      <c r="E40" s="1056"/>
      <c r="F40" s="1056"/>
      <c r="G40" s="1035"/>
      <c r="H40" s="1035"/>
      <c r="I40" s="236"/>
      <c r="J40" s="236"/>
      <c r="K40" s="236"/>
      <c r="L40" s="236"/>
      <c r="M40" s="236"/>
    </row>
    <row r="41" spans="1:13" ht="12.75" customHeight="1">
      <c r="A41" s="1041" t="s">
        <v>525</v>
      </c>
      <c r="B41" s="1057"/>
      <c r="C41" s="1058"/>
      <c r="D41" s="1046" t="str">
        <f>[1]ExpFactors!D41</f>
        <v>yes</v>
      </c>
      <c r="E41" s="1058"/>
      <c r="F41" s="1058"/>
      <c r="G41" s="1035"/>
      <c r="H41" s="1035"/>
      <c r="I41" s="236"/>
      <c r="J41" s="236"/>
      <c r="K41" s="236"/>
      <c r="L41" s="236"/>
      <c r="M41" s="236"/>
    </row>
    <row r="42" spans="1:13" ht="12.75" customHeight="1">
      <c r="A42" s="1054" t="s">
        <v>526</v>
      </c>
      <c r="B42" s="1055"/>
      <c r="C42" s="1842" t="s">
        <v>527</v>
      </c>
      <c r="D42" s="1842"/>
      <c r="E42" s="1842"/>
      <c r="F42" s="1842"/>
      <c r="G42" s="1187" t="s">
        <v>528</v>
      </c>
      <c r="H42" s="1188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89" t="str">
        <f>[1]ExpFactors!A43</f>
        <v>rice</v>
      </c>
      <c r="B43" s="1189" t="str">
        <f>[1]ExpFactors!B43</f>
        <v>poor</v>
      </c>
      <c r="C43" s="1059">
        <f>[1]ExpFactors!C43</f>
        <v>0</v>
      </c>
      <c r="D43" s="1059">
        <f>[1]ExpFactors!D43</f>
        <v>0</v>
      </c>
      <c r="E43" s="1059">
        <f>[1]ExpFactors!E43</f>
        <v>0</v>
      </c>
      <c r="F43" s="1059">
        <f>[1]ExpFactors!F43</f>
        <v>0</v>
      </c>
      <c r="G43" s="1189">
        <f>[1]ExpFactors!G43</f>
        <v>0</v>
      </c>
      <c r="H43" s="1189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89" t="str">
        <f>[1]ExpFactors!A44</f>
        <v>sorghum</v>
      </c>
      <c r="B44" s="1189" t="str">
        <f>[1]ExpFactors!B44</f>
        <v>poor</v>
      </c>
      <c r="C44" s="1059">
        <f>[1]ExpFactors!C44</f>
        <v>0</v>
      </c>
      <c r="D44" s="1059">
        <f>[1]ExpFactors!D44</f>
        <v>0</v>
      </c>
      <c r="E44" s="1059">
        <f>[1]ExpFactors!E44</f>
        <v>0</v>
      </c>
      <c r="F44" s="1059">
        <f>[1]ExpFactors!F44</f>
        <v>0</v>
      </c>
      <c r="G44" s="1189">
        <f>[1]ExpFactors!G44</f>
        <v>0</v>
      </c>
      <c r="H44" s="1189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89" t="str">
        <f>[1]ExpFactors!A45</f>
        <v>millet</v>
      </c>
      <c r="B45" s="1189" t="str">
        <f>[1]ExpFactors!B45</f>
        <v>poor</v>
      </c>
      <c r="C45" s="1059">
        <f>[1]ExpFactors!C45</f>
        <v>0</v>
      </c>
      <c r="D45" s="1059">
        <f>[1]ExpFactors!D45</f>
        <v>0</v>
      </c>
      <c r="E45" s="1059">
        <f>[1]ExpFactors!E45</f>
        <v>0</v>
      </c>
      <c r="F45" s="1059">
        <f>[1]ExpFactors!F45</f>
        <v>0</v>
      </c>
      <c r="G45" s="1189">
        <f>[1]ExpFactors!G45</f>
        <v>0</v>
      </c>
      <c r="H45" s="1189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89" t="str">
        <f>[1]ExpFactors!A46</f>
        <v>bread</v>
      </c>
      <c r="B46" s="1189" t="str">
        <f>[1]ExpFactors!B46</f>
        <v>poor</v>
      </c>
      <c r="C46" s="1059">
        <f>[1]ExpFactors!C46</f>
        <v>0</v>
      </c>
      <c r="D46" s="1059">
        <f>[1]ExpFactors!D46</f>
        <v>0</v>
      </c>
      <c r="E46" s="1059">
        <f>[1]ExpFactors!E46</f>
        <v>0</v>
      </c>
      <c r="F46" s="1059">
        <f>[1]ExpFactors!F46</f>
        <v>0</v>
      </c>
      <c r="G46" s="1189">
        <f>[1]ExpFactors!G46</f>
        <v>0</v>
      </c>
      <c r="H46" s="1189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89" t="str">
        <f>[1]ExpFactors!A47</f>
        <v>sweet potatoes</v>
      </c>
      <c r="B47" s="1189" t="str">
        <f>[1]ExpFactors!B47</f>
        <v>poor</v>
      </c>
      <c r="C47" s="1059">
        <f>[1]ExpFactors!C47</f>
        <v>0</v>
      </c>
      <c r="D47" s="1059">
        <f>[1]ExpFactors!D47</f>
        <v>0</v>
      </c>
      <c r="E47" s="1059">
        <f>[1]ExpFactors!E47</f>
        <v>0</v>
      </c>
      <c r="F47" s="1059">
        <f>[1]ExpFactors!F47</f>
        <v>0</v>
      </c>
      <c r="G47" s="1189">
        <f>[1]ExpFactors!G47</f>
        <v>0</v>
      </c>
      <c r="H47" s="1189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89" t="str">
        <f>[1]ExpFactors!A48</f>
        <v>sugar</v>
      </c>
      <c r="B48" s="1189" t="str">
        <f>[1]ExpFactors!B48</f>
        <v>poor</v>
      </c>
      <c r="C48" s="1059">
        <f>[1]ExpFactors!C48</f>
        <v>0</v>
      </c>
      <c r="D48" s="1059">
        <f>[1]ExpFactors!D48</f>
        <v>0</v>
      </c>
      <c r="E48" s="1059">
        <f>[1]ExpFactors!E48</f>
        <v>0</v>
      </c>
      <c r="F48" s="1059">
        <f>[1]ExpFactors!F48</f>
        <v>0</v>
      </c>
      <c r="G48" s="1189">
        <f>[1]ExpFactors!G48</f>
        <v>0</v>
      </c>
      <c r="H48" s="1189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89" t="str">
        <f>[1]ExpFactors!A49</f>
        <v>oil</v>
      </c>
      <c r="B49" s="1189" t="str">
        <f>[1]ExpFactors!B49</f>
        <v>poor</v>
      </c>
      <c r="C49" s="1059">
        <f>[1]ExpFactors!C49</f>
        <v>0</v>
      </c>
      <c r="D49" s="1059">
        <f>[1]ExpFactors!D49</f>
        <v>0</v>
      </c>
      <c r="E49" s="1059">
        <f>[1]ExpFactors!E49</f>
        <v>0</v>
      </c>
      <c r="F49" s="1059">
        <f>[1]ExpFactors!F49</f>
        <v>0</v>
      </c>
      <c r="G49" s="1189">
        <f>[1]ExpFactors!G49</f>
        <v>0</v>
      </c>
      <c r="H49" s="1189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89" t="str">
        <f>[1]ExpFactors!A50</f>
        <v>milk</v>
      </c>
      <c r="B50" s="1189" t="str">
        <f>[1]ExpFactors!B50</f>
        <v>poor</v>
      </c>
      <c r="C50" s="1059">
        <f>[1]ExpFactors!C50</f>
        <v>0</v>
      </c>
      <c r="D50" s="1059">
        <f>[1]ExpFactors!D50</f>
        <v>0</v>
      </c>
      <c r="E50" s="1059">
        <f>[1]ExpFactors!E50</f>
        <v>0</v>
      </c>
      <c r="F50" s="1059">
        <f>[1]ExpFactors!F50</f>
        <v>0</v>
      </c>
      <c r="G50" s="1189">
        <f>[1]ExpFactors!G50</f>
        <v>0</v>
      </c>
      <c r="H50" s="1189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89" t="str">
        <f>[1]ExpFactors!A51</f>
        <v>eggs</v>
      </c>
      <c r="B51" s="1189" t="str">
        <f>[1]ExpFactors!B51</f>
        <v>poor</v>
      </c>
      <c r="C51" s="1059">
        <f>[1]ExpFactors!C51</f>
        <v>0</v>
      </c>
      <c r="D51" s="1059">
        <f>[1]ExpFactors!D51</f>
        <v>0</v>
      </c>
      <c r="E51" s="1059">
        <f>[1]ExpFactors!E51</f>
        <v>0</v>
      </c>
      <c r="F51" s="1059">
        <f>[1]ExpFactors!F51</f>
        <v>0</v>
      </c>
      <c r="G51" s="1189">
        <f>[1]ExpFactors!G51</f>
        <v>0</v>
      </c>
      <c r="H51" s="1189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89" t="str">
        <f>[1]ExpFactors!A52</f>
        <v>poultry</v>
      </c>
      <c r="B52" s="1189" t="str">
        <f>[1]ExpFactors!B52</f>
        <v>poor</v>
      </c>
      <c r="C52" s="1059">
        <f>[1]ExpFactors!C52</f>
        <v>0</v>
      </c>
      <c r="D52" s="1059">
        <f>[1]ExpFactors!D52</f>
        <v>0</v>
      </c>
      <c r="E52" s="1059">
        <f>[1]ExpFactors!E52</f>
        <v>0</v>
      </c>
      <c r="F52" s="1059">
        <f>[1]ExpFactors!F52</f>
        <v>0</v>
      </c>
      <c r="G52" s="1189">
        <f>[1]ExpFactors!G52</f>
        <v>0</v>
      </c>
      <c r="H52" s="1189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89" t="str">
        <f>[1]ExpFactors!A53</f>
        <v>beef</v>
      </c>
      <c r="B53" s="1189" t="str">
        <f>[1]ExpFactors!B53</f>
        <v>poor</v>
      </c>
      <c r="C53" s="1059">
        <f>[1]ExpFactors!C53</f>
        <v>0</v>
      </c>
      <c r="D53" s="1059">
        <f>[1]ExpFactors!D53</f>
        <v>0</v>
      </c>
      <c r="E53" s="1059">
        <f>[1]ExpFactors!E53</f>
        <v>0</v>
      </c>
      <c r="F53" s="1059">
        <f>[1]ExpFactors!F53</f>
        <v>0</v>
      </c>
      <c r="G53" s="1189">
        <f>[1]ExpFactors!G53</f>
        <v>0</v>
      </c>
      <c r="H53" s="1189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89" t="str">
        <f>[1]ExpFactors!A54</f>
        <v>game meat</v>
      </c>
      <c r="B54" s="1189" t="str">
        <f>[1]ExpFactors!B54</f>
        <v>poor</v>
      </c>
      <c r="C54" s="1059">
        <f>[1]ExpFactors!C54</f>
        <v>0</v>
      </c>
      <c r="D54" s="1059">
        <f>[1]ExpFactors!D54</f>
        <v>0</v>
      </c>
      <c r="E54" s="1059">
        <f>[1]ExpFactors!E54</f>
        <v>0</v>
      </c>
      <c r="F54" s="1059">
        <f>[1]ExpFactors!F54</f>
        <v>0</v>
      </c>
      <c r="G54" s="1189">
        <f>[1]ExpFactors!G54</f>
        <v>0</v>
      </c>
      <c r="H54" s="1189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89" t="str">
        <f>[1]ExpFactors!A55</f>
        <v>mango</v>
      </c>
      <c r="B55" s="1189" t="str">
        <f>[1]ExpFactors!B55</f>
        <v>poor</v>
      </c>
      <c r="C55" s="1059">
        <f>[1]ExpFactors!C55</f>
        <v>0</v>
      </c>
      <c r="D55" s="1059">
        <f>[1]ExpFactors!D55</f>
        <v>0</v>
      </c>
      <c r="E55" s="1059">
        <f>[1]ExpFactors!E55</f>
        <v>0</v>
      </c>
      <c r="F55" s="1059">
        <f>[1]ExpFactors!F55</f>
        <v>0</v>
      </c>
      <c r="G55" s="1189">
        <f>[1]ExpFactors!G55</f>
        <v>0</v>
      </c>
      <c r="H55" s="1189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89" t="str">
        <f>[1]ExpFactors!A56</f>
        <v>tomato</v>
      </c>
      <c r="B56" s="1189" t="str">
        <f>[1]ExpFactors!B56</f>
        <v>poor</v>
      </c>
      <c r="C56" s="1059">
        <f>[1]ExpFactors!C56</f>
        <v>0</v>
      </c>
      <c r="D56" s="1059">
        <f>[1]ExpFactors!D56</f>
        <v>0</v>
      </c>
      <c r="E56" s="1059">
        <f>[1]ExpFactors!E56</f>
        <v>0</v>
      </c>
      <c r="F56" s="1059">
        <f>[1]ExpFactors!F56</f>
        <v>0</v>
      </c>
      <c r="G56" s="1189">
        <f>[1]ExpFactors!G56</f>
        <v>0</v>
      </c>
      <c r="H56" s="1189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89" t="str">
        <f>[1]ExpFactors!A57</f>
        <v>onions</v>
      </c>
      <c r="B57" s="1189" t="str">
        <f>[1]ExpFactors!B57</f>
        <v>poor</v>
      </c>
      <c r="C57" s="1059">
        <f>[1]ExpFactors!C57</f>
        <v>0</v>
      </c>
      <c r="D57" s="1059">
        <f>[1]ExpFactors!D57</f>
        <v>0</v>
      </c>
      <c r="E57" s="1059">
        <f>[1]ExpFactors!E57</f>
        <v>0</v>
      </c>
      <c r="F57" s="1059">
        <f>[1]ExpFactors!F57</f>
        <v>0</v>
      </c>
      <c r="G57" s="1189">
        <f>[1]ExpFactors!G57</f>
        <v>0</v>
      </c>
      <c r="H57" s="1189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89" t="str">
        <f>[1]ExpFactors!A58</f>
        <v>banana</v>
      </c>
      <c r="B58" s="1189" t="str">
        <f>[1]ExpFactors!B58</f>
        <v>poor</v>
      </c>
      <c r="C58" s="1059">
        <f>[1]ExpFactors!C58</f>
        <v>0</v>
      </c>
      <c r="D58" s="1059">
        <f>[1]ExpFactors!D58</f>
        <v>0</v>
      </c>
      <c r="E58" s="1059">
        <f>[1]ExpFactors!E58</f>
        <v>0</v>
      </c>
      <c r="F58" s="1059">
        <f>[1]ExpFactors!F58</f>
        <v>0</v>
      </c>
      <c r="G58" s="1189">
        <f>[1]ExpFactors!G58</f>
        <v>0</v>
      </c>
      <c r="H58" s="1189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89" t="str">
        <f>[1]ExpFactors!A59</f>
        <v>pumpkin</v>
      </c>
      <c r="B59" s="1189" t="str">
        <f>[1]ExpFactors!B59</f>
        <v>poor</v>
      </c>
      <c r="C59" s="1059">
        <f>[1]ExpFactors!C59</f>
        <v>0</v>
      </c>
      <c r="D59" s="1059">
        <f>[1]ExpFactors!D59</f>
        <v>0</v>
      </c>
      <c r="E59" s="1059">
        <f>[1]ExpFactors!E59</f>
        <v>0</v>
      </c>
      <c r="F59" s="1059">
        <f>[1]ExpFactors!F59</f>
        <v>0</v>
      </c>
      <c r="G59" s="1189">
        <f>[1]ExpFactors!G59</f>
        <v>0</v>
      </c>
      <c r="H59" s="1189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89" t="str">
        <f>[1]ExpFactors!A60</f>
        <v>cassava (fresh)</v>
      </c>
      <c r="B60" s="1189" t="str">
        <f>[1]ExpFactors!B60</f>
        <v>poor</v>
      </c>
      <c r="C60" s="1059">
        <f>[1]ExpFactors!C60</f>
        <v>0</v>
      </c>
      <c r="D60" s="1059">
        <f>[1]ExpFactors!D60</f>
        <v>0</v>
      </c>
      <c r="E60" s="1059">
        <f>[1]ExpFactors!E60</f>
        <v>0</v>
      </c>
      <c r="F60" s="1059">
        <f>[1]ExpFactors!F60</f>
        <v>0</v>
      </c>
      <c r="G60" s="1189">
        <f>[1]ExpFactors!G60</f>
        <v>0</v>
      </c>
      <c r="H60" s="1189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89" t="str">
        <f>[1]ExpFactors!A61</f>
        <v>cassava (flour)</v>
      </c>
      <c r="B61" s="1189" t="str">
        <f>[1]ExpFactors!B61</f>
        <v>poor</v>
      </c>
      <c r="C61" s="1059">
        <f>[1]ExpFactors!C61</f>
        <v>0</v>
      </c>
      <c r="D61" s="1059">
        <f>[1]ExpFactors!D61</f>
        <v>0</v>
      </c>
      <c r="E61" s="1059">
        <f>[1]ExpFactors!E61</f>
        <v>0</v>
      </c>
      <c r="F61" s="1059">
        <f>[1]ExpFactors!F61</f>
        <v>0</v>
      </c>
      <c r="G61" s="1189">
        <f>[1]ExpFactors!G61</f>
        <v>0</v>
      </c>
      <c r="H61" s="1189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89" t="str">
        <f>[1]ExpFactors!A62</f>
        <v>dark green veg</v>
      </c>
      <c r="B62" s="1189" t="str">
        <f>[1]ExpFactors!B62</f>
        <v>poor</v>
      </c>
      <c r="C62" s="1059">
        <f>[1]ExpFactors!C62</f>
        <v>0</v>
      </c>
      <c r="D62" s="1059">
        <f>[1]ExpFactors!D62</f>
        <v>0</v>
      </c>
      <c r="E62" s="1059">
        <f>[1]ExpFactors!E62</f>
        <v>0</v>
      </c>
      <c r="F62" s="1059">
        <f>[1]ExpFactors!F62</f>
        <v>0</v>
      </c>
      <c r="G62" s="1189">
        <f>[1]ExpFactors!G62</f>
        <v>0</v>
      </c>
      <c r="H62" s="1189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89" t="str">
        <f>[1]ExpFactors!A63</f>
        <v>fresh fish</v>
      </c>
      <c r="B63" s="1189" t="str">
        <f>[1]ExpFactors!B63</f>
        <v>poor</v>
      </c>
      <c r="C63" s="1059">
        <f>[1]ExpFactors!C63</f>
        <v>0</v>
      </c>
      <c r="D63" s="1059">
        <f>[1]ExpFactors!D63</f>
        <v>0</v>
      </c>
      <c r="E63" s="1059">
        <f>[1]ExpFactors!E63</f>
        <v>0</v>
      </c>
      <c r="F63" s="1059">
        <f>[1]ExpFactors!F63</f>
        <v>0</v>
      </c>
      <c r="G63" s="1189">
        <f>[1]ExpFactors!G63</f>
        <v>0</v>
      </c>
      <c r="H63" s="1189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89" t="str">
        <f>[1]ExpFactors!A64</f>
        <v>dried fish</v>
      </c>
      <c r="B64" s="1189" t="str">
        <f>[1]ExpFactors!B64</f>
        <v>poor</v>
      </c>
      <c r="C64" s="1059">
        <f>[1]ExpFactors!C64</f>
        <v>0</v>
      </c>
      <c r="D64" s="1059">
        <f>[1]ExpFactors!D64</f>
        <v>0</v>
      </c>
      <c r="E64" s="1059">
        <f>[1]ExpFactors!E64</f>
        <v>0</v>
      </c>
      <c r="F64" s="1059">
        <f>[1]ExpFactors!F64</f>
        <v>0</v>
      </c>
      <c r="G64" s="1189">
        <f>[1]ExpFactors!G64</f>
        <v>0</v>
      </c>
      <c r="H64" s="1189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89" t="str">
        <f>[1]ExpFactors!A65</f>
        <v>kapenta</v>
      </c>
      <c r="B65" s="1189" t="str">
        <f>[1]ExpFactors!B65</f>
        <v>poor</v>
      </c>
      <c r="C65" s="1059">
        <f>[1]ExpFactors!C65</f>
        <v>0</v>
      </c>
      <c r="D65" s="1059">
        <f>[1]ExpFactors!D65</f>
        <v>0</v>
      </c>
      <c r="E65" s="1059">
        <f>[1]ExpFactors!E65</f>
        <v>0</v>
      </c>
      <c r="F65" s="1059">
        <f>[1]ExpFactors!F65</f>
        <v>0</v>
      </c>
      <c r="G65" s="1189">
        <f>[1]ExpFactors!G65</f>
        <v>0</v>
      </c>
      <c r="H65" s="1189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89" t="str">
        <f>[1]ExpFactors!A66</f>
        <v>groundnuts</v>
      </c>
      <c r="B66" s="1189" t="str">
        <f>[1]ExpFactors!B66</f>
        <v>poor</v>
      </c>
      <c r="C66" s="1059">
        <f>[1]ExpFactors!C66</f>
        <v>0</v>
      </c>
      <c r="D66" s="1059">
        <f>[1]ExpFactors!D66</f>
        <v>0</v>
      </c>
      <c r="E66" s="1059">
        <f>[1]ExpFactors!E66</f>
        <v>0</v>
      </c>
      <c r="F66" s="1059">
        <f>[1]ExpFactors!F66</f>
        <v>0</v>
      </c>
      <c r="G66" s="1189">
        <f>[1]ExpFactors!G66</f>
        <v>0</v>
      </c>
      <c r="H66" s="1189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89" t="str">
        <f>[1]ExpFactors!A67</f>
        <v>beans</v>
      </c>
      <c r="B67" s="1189" t="str">
        <f>[1]ExpFactors!B67</f>
        <v>poor</v>
      </c>
      <c r="C67" s="1059">
        <f>[1]ExpFactors!C67</f>
        <v>0</v>
      </c>
      <c r="D67" s="1059">
        <f>[1]ExpFactors!D67</f>
        <v>0</v>
      </c>
      <c r="E67" s="1059">
        <f>[1]ExpFactors!E67</f>
        <v>0</v>
      </c>
      <c r="F67" s="1059">
        <f>[1]ExpFactors!F67</f>
        <v>0</v>
      </c>
      <c r="G67" s="1189">
        <f>[1]ExpFactors!G67</f>
        <v>0</v>
      </c>
      <c r="H67" s="1189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89" t="str">
        <f>[1]ExpFactors!A68</f>
        <v>loquats</v>
      </c>
      <c r="B68" s="1189" t="str">
        <f>[1]ExpFactors!B68</f>
        <v>poor</v>
      </c>
      <c r="C68" s="1059">
        <f>[1]ExpFactors!C68</f>
        <v>0</v>
      </c>
      <c r="D68" s="1059">
        <f>[1]ExpFactors!D68</f>
        <v>0</v>
      </c>
      <c r="E68" s="1059">
        <f>[1]ExpFactors!E68</f>
        <v>0</v>
      </c>
      <c r="F68" s="1059">
        <f>[1]ExpFactors!F68</f>
        <v>0</v>
      </c>
      <c r="G68" s="1189">
        <f>[1]ExpFactors!G68</f>
        <v>0</v>
      </c>
      <c r="H68" s="1189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89" t="str">
        <f>[1]ExpFactors!A69</f>
        <v>other items</v>
      </c>
      <c r="B69" s="1189" t="str">
        <f>[1]ExpFactors!B69</f>
        <v>WG specific</v>
      </c>
      <c r="C69" s="1059">
        <f>[1]ExpFactors!C69</f>
        <v>0</v>
      </c>
      <c r="D69" s="1059">
        <f>[1]ExpFactors!D69</f>
        <v>0</v>
      </c>
      <c r="E69" s="1059">
        <f>[1]ExpFactors!E69</f>
        <v>0</v>
      </c>
      <c r="F69" s="1059">
        <f>[1]ExpFactors!F69</f>
        <v>0</v>
      </c>
      <c r="G69" s="1189">
        <f>[1]ExpFactors!G69</f>
        <v>0</v>
      </c>
      <c r="H69" s="1189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1" t="s">
        <v>341</v>
      </c>
      <c r="B70" s="1062"/>
      <c r="C70" s="1842" t="s">
        <v>527</v>
      </c>
      <c r="D70" s="1842"/>
      <c r="E70" s="1842"/>
      <c r="F70" s="1842"/>
      <c r="G70" s="1187" t="s">
        <v>528</v>
      </c>
      <c r="H70" s="1188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89" t="str">
        <f>[1]ExpFactors!A71</f>
        <v>tea/coffee</v>
      </c>
      <c r="B71" s="1189" t="str">
        <f>[1]ExpFactors!B71</f>
        <v>poor</v>
      </c>
      <c r="C71" s="1059">
        <f>[1]ExpFactors!C71</f>
        <v>1</v>
      </c>
      <c r="D71" s="1059">
        <f>[1]ExpFactors!D71</f>
        <v>1</v>
      </c>
      <c r="E71" s="1059">
        <f>[1]ExpFactors!E71</f>
        <v>1</v>
      </c>
      <c r="F71" s="1059">
        <f>[1]ExpFactors!F71</f>
        <v>1</v>
      </c>
      <c r="G71" s="1060">
        <f>[1]ExpFactors!G71</f>
        <v>0</v>
      </c>
      <c r="H71" s="1189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89" t="str">
        <f>[1]ExpFactors!A72</f>
        <v>salt</v>
      </c>
      <c r="B72" s="1189" t="str">
        <f>[1]ExpFactors!B72</f>
        <v>poor</v>
      </c>
      <c r="C72" s="1059">
        <f>[1]ExpFactors!C72</f>
        <v>0.75</v>
      </c>
      <c r="D72" s="1059">
        <f>[1]ExpFactors!D72</f>
        <v>0.75</v>
      </c>
      <c r="E72" s="1059">
        <f>[1]ExpFactors!E72</f>
        <v>0.75</v>
      </c>
      <c r="F72" s="1059">
        <f>[1]ExpFactors!F72</f>
        <v>0.75</v>
      </c>
      <c r="G72" s="1060">
        <f>[1]ExpFactors!G72</f>
        <v>0</v>
      </c>
      <c r="H72" s="1189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89" t="str">
        <f>[1]ExpFactors!A73</f>
        <v>soap</v>
      </c>
      <c r="B73" s="1189" t="str">
        <f>[1]ExpFactors!B73</f>
        <v>poor</v>
      </c>
      <c r="C73" s="1059">
        <f>[1]ExpFactors!C73</f>
        <v>0.61904761904761907</v>
      </c>
      <c r="D73" s="1059">
        <f>[1]ExpFactors!D73</f>
        <v>0.61904761904761907</v>
      </c>
      <c r="E73" s="1059">
        <f>[1]ExpFactors!E73</f>
        <v>0.61904761904761907</v>
      </c>
      <c r="F73" s="1059">
        <f>[1]ExpFactors!F73</f>
        <v>0.61904761904761907</v>
      </c>
      <c r="G73" s="1060">
        <f>[1]ExpFactors!G73</f>
        <v>0</v>
      </c>
      <c r="H73" s="1189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89" t="str">
        <f>[1]ExpFactors!A74</f>
        <v>kerosene</v>
      </c>
      <c r="B74" s="1189" t="str">
        <f>[1]ExpFactors!B74</f>
        <v>poor</v>
      </c>
      <c r="C74" s="1059">
        <f>[1]ExpFactors!C74</f>
        <v>0.5</v>
      </c>
      <c r="D74" s="1059">
        <f>[1]ExpFactors!D74</f>
        <v>0.5</v>
      </c>
      <c r="E74" s="1059">
        <f>[1]ExpFactors!E74</f>
        <v>0.5</v>
      </c>
      <c r="F74" s="1059">
        <f>[1]ExpFactors!F74</f>
        <v>0.5</v>
      </c>
      <c r="G74" s="1060">
        <f>[1]ExpFactors!G74</f>
        <v>0</v>
      </c>
      <c r="H74" s="1189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89" t="str">
        <f>[1]ExpFactors!A75</f>
        <v>grinding</v>
      </c>
      <c r="B75" s="1189" t="str">
        <f>[1]ExpFactors!B75</f>
        <v>WG specific</v>
      </c>
      <c r="C75" s="1059">
        <f>[1]ExpFactors!C75</f>
        <v>1</v>
      </c>
      <c r="D75" s="1059">
        <f>[1]ExpFactors!D75</f>
        <v>1</v>
      </c>
      <c r="E75" s="1059">
        <f>[1]ExpFactors!E75</f>
        <v>1</v>
      </c>
      <c r="F75" s="1059">
        <f>[1]ExpFactors!F75</f>
        <v>1</v>
      </c>
      <c r="G75" s="1060">
        <f>[1]ExpFactors!G75</f>
        <v>0</v>
      </c>
      <c r="H75" s="1189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89" t="str">
        <f>[1]ExpFactors!A76</f>
        <v>firewood</v>
      </c>
      <c r="B76" s="1189" t="str">
        <f>[1]ExpFactors!B76</f>
        <v>poor</v>
      </c>
      <c r="C76" s="1059">
        <f>[1]ExpFactors!C76</f>
        <v>1</v>
      </c>
      <c r="D76" s="1059">
        <f>[1]ExpFactors!D76</f>
        <v>1</v>
      </c>
      <c r="E76" s="1059">
        <f>[1]ExpFactors!E76</f>
        <v>1</v>
      </c>
      <c r="F76" s="1059">
        <f>[1]ExpFactors!F76</f>
        <v>1</v>
      </c>
      <c r="G76" s="1060">
        <f>[1]ExpFactors!G76</f>
        <v>0</v>
      </c>
      <c r="H76" s="1189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89" t="str">
        <f>[1]ExpFactors!A77</f>
        <v>utensils</v>
      </c>
      <c r="B77" s="1189" t="str">
        <f>[1]ExpFactors!B77</f>
        <v>WG specific</v>
      </c>
      <c r="C77" s="1059">
        <f>[1]ExpFactors!C77</f>
        <v>1</v>
      </c>
      <c r="D77" s="1059">
        <f>[1]ExpFactors!D77</f>
        <v>1</v>
      </c>
      <c r="E77" s="1059">
        <f>[1]ExpFactors!E77</f>
        <v>1</v>
      </c>
      <c r="F77" s="1059">
        <f>[1]ExpFactors!F77</f>
        <v>1</v>
      </c>
      <c r="G77" s="1060">
        <f>[1]ExpFactors!G77</f>
        <v>0</v>
      </c>
      <c r="H77" s="1189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89" t="str">
        <f>[1]ExpFactors!A78</f>
        <v>clothes</v>
      </c>
      <c r="B78" s="1189" t="str">
        <f>[1]ExpFactors!B78</f>
        <v>poor</v>
      </c>
      <c r="C78" s="1059">
        <f>[1]ExpFactors!C78</f>
        <v>1</v>
      </c>
      <c r="D78" s="1059">
        <f>[1]ExpFactors!D78</f>
        <v>0.4</v>
      </c>
      <c r="E78" s="1059">
        <f>[1]ExpFactors!E78</f>
        <v>0.1</v>
      </c>
      <c r="F78" s="1059">
        <f>[1]ExpFactors!F78</f>
        <v>6.6666666666666666E-2</v>
      </c>
      <c r="G78" s="1060">
        <f>[1]ExpFactors!G78</f>
        <v>0</v>
      </c>
      <c r="H78" s="1189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89" t="str">
        <f>[1]ExpFactors!A79</f>
        <v>transport</v>
      </c>
      <c r="B79" s="1189" t="str">
        <f>[1]ExpFactors!B79</f>
        <v>poor</v>
      </c>
      <c r="C79" s="1059">
        <f>[1]ExpFactors!C79</f>
        <v>1</v>
      </c>
      <c r="D79" s="1059">
        <f>[1]ExpFactors!D79</f>
        <v>1</v>
      </c>
      <c r="E79" s="1059">
        <f>[1]ExpFactors!E79</f>
        <v>0.75</v>
      </c>
      <c r="F79" s="1059">
        <f>[1]ExpFactors!F79</f>
        <v>0.25714285714285712</v>
      </c>
      <c r="G79" s="1060">
        <f>[1]ExpFactors!G79</f>
        <v>0</v>
      </c>
      <c r="H79" s="1189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89" t="str">
        <f>[1]ExpFactors!A80</f>
        <v>Communication</v>
      </c>
      <c r="B80" s="1189" t="str">
        <f>[1]ExpFactors!B80</f>
        <v>poor</v>
      </c>
      <c r="C80" s="1059">
        <f>[1]ExpFactors!C80</f>
        <v>1</v>
      </c>
      <c r="D80" s="1059">
        <f>[1]ExpFactors!D80</f>
        <v>1</v>
      </c>
      <c r="E80" s="1059">
        <f>[1]ExpFactors!E80</f>
        <v>1</v>
      </c>
      <c r="F80" s="1059">
        <f>[1]ExpFactors!F80</f>
        <v>1</v>
      </c>
      <c r="G80" s="1060">
        <f>[1]ExpFactors!G80</f>
        <v>0</v>
      </c>
      <c r="H80" s="1189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89" t="str">
        <f>[1]ExpFactors!A81</f>
        <v>gifts</v>
      </c>
      <c r="B81" s="1189" t="str">
        <f>[1]ExpFactors!B81</f>
        <v>WG specific</v>
      </c>
      <c r="C81" s="1059">
        <f>[1]ExpFactors!C81</f>
        <v>1</v>
      </c>
      <c r="D81" s="1059">
        <f>[1]ExpFactors!D81</f>
        <v>1</v>
      </c>
      <c r="E81" s="1059">
        <f>[1]ExpFactors!E81</f>
        <v>1</v>
      </c>
      <c r="F81" s="1059">
        <f>[1]ExpFactors!F81</f>
        <v>1</v>
      </c>
      <c r="G81" s="1060">
        <f>[1]ExpFactors!G81</f>
        <v>0</v>
      </c>
      <c r="H81" s="1189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89" t="str">
        <f>[1]ExpFactors!A82</f>
        <v>Matches</v>
      </c>
      <c r="B82" s="1189" t="str">
        <f>[1]ExpFactors!B82</f>
        <v>poor</v>
      </c>
      <c r="C82" s="1058"/>
      <c r="D82" s="1059">
        <f>[1]ExpFactors!D82</f>
        <v>1</v>
      </c>
      <c r="E82" s="1058"/>
      <c r="F82" s="1058"/>
      <c r="G82" s="1060">
        <f>[1]ExpFactors!G82</f>
        <v>0</v>
      </c>
      <c r="H82" s="1189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1" t="s">
        <v>680</v>
      </c>
      <c r="B83" s="1062"/>
      <c r="C83" s="1842" t="s">
        <v>527</v>
      </c>
      <c r="D83" s="1842"/>
      <c r="E83" s="1842"/>
      <c r="F83" s="1842"/>
      <c r="G83" s="1187" t="str">
        <f>[1]ExpFactors!$G$83</f>
        <v>Addition</v>
      </c>
      <c r="H83" s="1188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9" t="str">
        <f>[1]ExpFactors!A84</f>
        <v>Lower Bound Poverty Line</v>
      </c>
      <c r="B84" s="1189" t="str">
        <f>[1]ExpFactors!B84</f>
        <v>poor</v>
      </c>
      <c r="C84" s="1058"/>
      <c r="D84" s="1059">
        <f>[1]ExpFactors!D84</f>
        <v>1</v>
      </c>
      <c r="E84" s="1058"/>
      <c r="F84" s="1058"/>
      <c r="G84" s="1060">
        <f>[1]ExpFactors!G84</f>
        <v>0</v>
      </c>
      <c r="H84" s="1189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89" t="str">
        <f>[1]ExpFactors!A85</f>
        <v>Upper Bound Poverty Line</v>
      </c>
      <c r="B85" s="1189" t="str">
        <f>[1]ExpFactors!B85</f>
        <v>poor</v>
      </c>
      <c r="C85" s="1058"/>
      <c r="D85" s="1059">
        <f>[1]ExpFactors!D85</f>
        <v>1</v>
      </c>
      <c r="E85" s="1058"/>
      <c r="F85" s="1058"/>
      <c r="G85" s="1060">
        <f>[1]ExpFactors!G85</f>
        <v>0</v>
      </c>
      <c r="H85" s="1189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1" t="s">
        <v>681</v>
      </c>
      <c r="B86" s="1062"/>
      <c r="C86" s="1842" t="s">
        <v>527</v>
      </c>
      <c r="D86" s="1842"/>
      <c r="E86" s="1842"/>
      <c r="F86" s="1842"/>
      <c r="G86" s="1187" t="str">
        <f>[1]ExpFactors!$G$83</f>
        <v>Addition</v>
      </c>
      <c r="H86" s="1188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1" t="s">
        <v>531</v>
      </c>
      <c r="B87" s="1189" t="str">
        <f>[1]ExpFactors!B87</f>
        <v>WG specific</v>
      </c>
      <c r="C87" s="1059">
        <f>[1]ExpFactors!C87</f>
        <v>1</v>
      </c>
      <c r="D87" s="1059">
        <f>[1]ExpFactors!D87</f>
        <v>1</v>
      </c>
      <c r="E87" s="1059">
        <f>[1]ExpFactors!E87</f>
        <v>1</v>
      </c>
      <c r="F87" s="1059">
        <f>[1]ExpFactors!F87</f>
        <v>1</v>
      </c>
      <c r="G87" s="1060">
        <f>[1]ExpFactors!G87</f>
        <v>0</v>
      </c>
      <c r="H87" s="1189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1" t="s">
        <v>530</v>
      </c>
      <c r="B88" s="1189" t="str">
        <f>[1]ExpFactors!B88</f>
        <v>poor</v>
      </c>
      <c r="C88" s="1058"/>
      <c r="D88" s="1059">
        <f>[1]ExpFactors!D88</f>
        <v>0</v>
      </c>
      <c r="E88" s="1058"/>
      <c r="F88" s="1058"/>
      <c r="G88" s="1060">
        <f>[1]ExpFactors!G88</f>
        <v>0</v>
      </c>
      <c r="H88" s="1189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1" t="s">
        <v>55</v>
      </c>
      <c r="B89" s="1062"/>
      <c r="C89" s="1842" t="s">
        <v>527</v>
      </c>
      <c r="D89" s="1842"/>
      <c r="E89" s="1842"/>
      <c r="F89" s="1842"/>
      <c r="G89" s="1187" t="s">
        <v>528</v>
      </c>
      <c r="H89" s="1188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1" t="s">
        <v>532</v>
      </c>
      <c r="B90" s="1189" t="str">
        <f>[1]ExpFactors!B90</f>
        <v>poor</v>
      </c>
      <c r="C90" s="1058"/>
      <c r="D90" s="1059">
        <f>[1]ExpFactors!D90</f>
        <v>0.38500000000000001</v>
      </c>
      <c r="E90" s="1058"/>
      <c r="F90" s="1058"/>
      <c r="G90" s="1060">
        <f>[1]ExpFactors!G90</f>
        <v>0</v>
      </c>
      <c r="H90" s="1189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0" t="s">
        <v>533</v>
      </c>
      <c r="B91" s="1189" t="str">
        <f>[1]ExpFactors!B91</f>
        <v>WG specific</v>
      </c>
      <c r="C91" s="1059">
        <f>[1]ExpFactors!C91</f>
        <v>1</v>
      </c>
      <c r="D91" s="1059">
        <f>[1]ExpFactors!D91</f>
        <v>1</v>
      </c>
      <c r="E91" s="1059">
        <f>[1]ExpFactors!E91</f>
        <v>1</v>
      </c>
      <c r="F91" s="1059">
        <f>[1]ExpFactors!F91</f>
        <v>1</v>
      </c>
      <c r="G91" s="1060">
        <f>[1]ExpFactors!G91</f>
        <v>0</v>
      </c>
      <c r="H91" s="1189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1" t="s">
        <v>534</v>
      </c>
      <c r="B92" s="1062"/>
      <c r="C92" s="1842" t="s">
        <v>527</v>
      </c>
      <c r="D92" s="1842"/>
      <c r="E92" s="1842"/>
      <c r="F92" s="1842"/>
      <c r="G92" s="1187" t="s">
        <v>528</v>
      </c>
      <c r="H92" s="1188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3" t="s">
        <v>535</v>
      </c>
      <c r="B93" s="1189" t="str">
        <f>[1]ExpFactors!B93</f>
        <v>poor</v>
      </c>
      <c r="C93" s="1059">
        <f>[1]ExpFactors!C93</f>
        <v>1</v>
      </c>
      <c r="D93" s="1059">
        <f>[1]ExpFactors!D93</f>
        <v>0.83333333333333337</v>
      </c>
      <c r="E93" s="1059">
        <f>[1]ExpFactors!E93</f>
        <v>0.33333333333333331</v>
      </c>
      <c r="F93" s="1059">
        <f>[1]ExpFactors!F93</f>
        <v>0.26666666666666666</v>
      </c>
      <c r="G93" s="1060">
        <f>[1]ExpFactors!G93</f>
        <v>0</v>
      </c>
      <c r="H93" s="1189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3" t="s">
        <v>536</v>
      </c>
      <c r="B94" s="1189" t="str">
        <f>[1]ExpFactors!B94</f>
        <v>poor</v>
      </c>
      <c r="C94" s="1058"/>
      <c r="D94" s="1059">
        <f>[1]ExpFactors!D94</f>
        <v>1</v>
      </c>
      <c r="E94" s="1058"/>
      <c r="F94" s="1058"/>
      <c r="G94" s="1060">
        <f>[1]ExpFactors!G94</f>
        <v>0</v>
      </c>
      <c r="H94" s="1189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1" t="s">
        <v>537</v>
      </c>
      <c r="B95" s="1062"/>
      <c r="C95" s="1842" t="s">
        <v>527</v>
      </c>
      <c r="D95" s="1842"/>
      <c r="E95" s="1842"/>
      <c r="F95" s="1842"/>
      <c r="G95" s="1187" t="s">
        <v>528</v>
      </c>
      <c r="H95" s="1188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3" t="s">
        <v>538</v>
      </c>
      <c r="B96" s="1189" t="str">
        <f>[1]ExpFactors!B96</f>
        <v>WG specific</v>
      </c>
      <c r="C96" s="1059">
        <f>[1]ExpFactors!C96</f>
        <v>1</v>
      </c>
      <c r="D96" s="1059">
        <f>[1]ExpFactors!D96</f>
        <v>1</v>
      </c>
      <c r="E96" s="1059">
        <f>[1]ExpFactors!E96</f>
        <v>1</v>
      </c>
      <c r="F96" s="1059">
        <f>[1]ExpFactors!F96</f>
        <v>1</v>
      </c>
      <c r="G96" s="1060">
        <f>[1]ExpFactors!G96</f>
        <v>0</v>
      </c>
      <c r="H96" s="1189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1" t="s">
        <v>539</v>
      </c>
      <c r="B97" s="1189" t="str">
        <f>[1]ExpFactors!B97</f>
        <v>WG specific</v>
      </c>
      <c r="C97" s="1059">
        <f>[1]ExpFactors!C97</f>
        <v>0</v>
      </c>
      <c r="D97" s="1059">
        <f>[1]ExpFactors!D97</f>
        <v>0</v>
      </c>
      <c r="E97" s="1059">
        <f>[1]ExpFactors!E97</f>
        <v>0</v>
      </c>
      <c r="F97" s="1059">
        <f>[1]ExpFactors!F97</f>
        <v>0</v>
      </c>
      <c r="G97" s="1060">
        <f>[1]ExpFactors!G97</f>
        <v>0</v>
      </c>
      <c r="H97" s="1189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3" t="s">
        <v>540</v>
      </c>
      <c r="B98" s="1189" t="str">
        <f>[1]ExpFactors!B98</f>
        <v>WG specific</v>
      </c>
      <c r="C98" s="1059">
        <f>[1]ExpFactors!C98</f>
        <v>1</v>
      </c>
      <c r="D98" s="1059">
        <f>[1]ExpFactors!D98</f>
        <v>1</v>
      </c>
      <c r="E98" s="1059">
        <f>[1]ExpFactors!E98</f>
        <v>1</v>
      </c>
      <c r="F98" s="1059">
        <f>[1]ExpFactors!F98</f>
        <v>1</v>
      </c>
      <c r="G98" s="1060">
        <f>[1]ExpFactors!G98</f>
        <v>0</v>
      </c>
      <c r="H98" s="1189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3" t="s">
        <v>541</v>
      </c>
      <c r="B99" s="1189" t="str">
        <f>[1]ExpFactors!B99</f>
        <v>WG specific</v>
      </c>
      <c r="C99" s="1059">
        <f>[1]ExpFactors!C99</f>
        <v>1</v>
      </c>
      <c r="D99" s="1059">
        <f>[1]ExpFactors!D99</f>
        <v>1</v>
      </c>
      <c r="E99" s="1059">
        <f>[1]ExpFactors!E99</f>
        <v>1</v>
      </c>
      <c r="F99" s="1059">
        <f>[1]ExpFactors!F99</f>
        <v>1</v>
      </c>
      <c r="G99" s="1060">
        <f>[1]ExpFactors!G99</f>
        <v>0</v>
      </c>
      <c r="H99" s="1189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3" t="s">
        <v>542</v>
      </c>
      <c r="B100" s="1189" t="str">
        <f>[1]ExpFactors!B100</f>
        <v>WG specific</v>
      </c>
      <c r="C100" s="1059">
        <f>[1]ExpFactors!C100</f>
        <v>1</v>
      </c>
      <c r="D100" s="1059">
        <f>[1]ExpFactors!D100</f>
        <v>1</v>
      </c>
      <c r="E100" s="1059">
        <f>[1]ExpFactors!E100</f>
        <v>1</v>
      </c>
      <c r="F100" s="1059">
        <f>[1]ExpFactors!F100</f>
        <v>1</v>
      </c>
      <c r="G100" s="1060">
        <f>[1]ExpFactors!G100</f>
        <v>0</v>
      </c>
      <c r="H100" s="1189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3" t="s">
        <v>543</v>
      </c>
      <c r="B101" s="1189" t="str">
        <f>[1]ExpFactors!B101</f>
        <v>WG specific</v>
      </c>
      <c r="C101" s="1059">
        <f>[1]ExpFactors!C101</f>
        <v>1</v>
      </c>
      <c r="D101" s="1059">
        <f>[1]ExpFactors!D101</f>
        <v>1</v>
      </c>
      <c r="E101" s="1059">
        <f>[1]ExpFactors!E101</f>
        <v>1</v>
      </c>
      <c r="F101" s="1059">
        <f>[1]ExpFactors!F101</f>
        <v>1</v>
      </c>
      <c r="G101" s="1060">
        <f>[1]ExpFactors!G101</f>
        <v>0</v>
      </c>
      <c r="H101" s="1189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3" t="s">
        <v>544</v>
      </c>
      <c r="B102" s="1189" t="str">
        <f>[1]ExpFactors!B102</f>
        <v>WG specific</v>
      </c>
      <c r="C102" s="1059">
        <f>[1]ExpFactors!C102</f>
        <v>1</v>
      </c>
      <c r="D102" s="1059">
        <f>[1]ExpFactors!D102</f>
        <v>1</v>
      </c>
      <c r="E102" s="1059">
        <f>[1]ExpFactors!E102</f>
        <v>1</v>
      </c>
      <c r="F102" s="1059">
        <f>[1]ExpFactors!F102</f>
        <v>1</v>
      </c>
      <c r="G102" s="1060">
        <f>[1]ExpFactors!G102</f>
        <v>0</v>
      </c>
      <c r="H102" s="1189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3" t="s">
        <v>545</v>
      </c>
      <c r="B103" s="1189" t="str">
        <f>[1]ExpFactors!B103</f>
        <v>WG specific</v>
      </c>
      <c r="C103" s="1059">
        <f>[1]ExpFactors!C103</f>
        <v>0</v>
      </c>
      <c r="D103" s="1059">
        <f>[1]ExpFactors!D103</f>
        <v>0</v>
      </c>
      <c r="E103" s="1059">
        <f>[1]ExpFactors!E103</f>
        <v>0</v>
      </c>
      <c r="F103" s="1059">
        <f>[1]ExpFactors!F103</f>
        <v>0</v>
      </c>
      <c r="G103" s="1060">
        <f>[1]ExpFactors!G103</f>
        <v>0</v>
      </c>
      <c r="H103" s="1189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1" t="s">
        <v>546</v>
      </c>
      <c r="B104" s="1189" t="str">
        <f>[1]ExpFactors!B104</f>
        <v>WG specific</v>
      </c>
      <c r="C104" s="1059">
        <f>[1]ExpFactors!C104</f>
        <v>1</v>
      </c>
      <c r="D104" s="1059">
        <f>[1]ExpFactors!D104</f>
        <v>1</v>
      </c>
      <c r="E104" s="1059">
        <f>[1]ExpFactors!E104</f>
        <v>1</v>
      </c>
      <c r="F104" s="1059">
        <f>[1]ExpFactors!F104</f>
        <v>1</v>
      </c>
      <c r="G104" s="1060">
        <f>[1]ExpFactors!G104</f>
        <v>0</v>
      </c>
      <c r="H104" s="1189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1" t="s">
        <v>547</v>
      </c>
      <c r="B105" s="1189" t="str">
        <f>[1]ExpFactors!B105</f>
        <v>WG specific</v>
      </c>
      <c r="C105" s="1059">
        <f>[1]ExpFactors!C105</f>
        <v>1</v>
      </c>
      <c r="D105" s="1059">
        <f>[1]ExpFactors!D105</f>
        <v>1</v>
      </c>
      <c r="E105" s="1059">
        <f>[1]ExpFactors!E105</f>
        <v>1</v>
      </c>
      <c r="F105" s="1059">
        <f>[1]ExpFactors!F105</f>
        <v>1</v>
      </c>
      <c r="G105" s="1060">
        <f>[1]ExpFactors!G105</f>
        <v>0</v>
      </c>
      <c r="H105" s="1189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5"/>
      <c r="H106" s="1035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5"/>
      <c r="H107" s="1035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5"/>
      <c r="H108" s="1035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5"/>
      <c r="H109" s="1035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5"/>
      <c r="H110" s="1035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5"/>
      <c r="H111" s="1035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5"/>
      <c r="H112" s="1035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4" customWidth="1"/>
    <col min="3" max="3" width="82.33203125" customWidth="1"/>
  </cols>
  <sheetData>
    <row r="2" spans="2:3" ht="30" customHeight="1">
      <c r="B2" s="1065" t="s">
        <v>548</v>
      </c>
      <c r="C2" s="1748" t="s">
        <v>919</v>
      </c>
    </row>
    <row r="3" spans="2:3" ht="15" customHeight="1">
      <c r="B3" s="1065" t="s">
        <v>549</v>
      </c>
      <c r="C3" s="1066" t="s">
        <v>784</v>
      </c>
    </row>
    <row r="4" spans="2:3" ht="15" customHeight="1">
      <c r="B4" s="1065" t="s">
        <v>550</v>
      </c>
      <c r="C4" s="1066" t="s">
        <v>555</v>
      </c>
    </row>
    <row r="5" spans="2:3" ht="36" customHeight="1">
      <c r="B5" s="1065" t="s">
        <v>551</v>
      </c>
      <c r="C5" s="1066"/>
    </row>
    <row r="6" spans="2:3" ht="15" customHeight="1">
      <c r="B6" s="1065" t="s">
        <v>552</v>
      </c>
      <c r="C6" s="1748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1"/>
  </cols>
  <sheetData>
    <row r="2" spans="3:23" ht="12" customHeight="1">
      <c r="C2" s="1843" t="s">
        <v>917</v>
      </c>
      <c r="D2" s="1843"/>
      <c r="E2" s="1843"/>
      <c r="F2" s="1843"/>
      <c r="G2" s="1843"/>
      <c r="H2" s="1843"/>
      <c r="I2" s="1843"/>
      <c r="J2" s="1843"/>
      <c r="K2" s="1843"/>
      <c r="L2" s="1843"/>
      <c r="M2" s="1843"/>
      <c r="N2" s="1843"/>
      <c r="O2" s="1843"/>
      <c r="P2" s="1843"/>
      <c r="Q2" s="1843"/>
      <c r="R2" s="1843"/>
      <c r="S2" s="1843"/>
      <c r="T2" s="1843"/>
      <c r="U2" s="1843"/>
      <c r="V2" s="1843"/>
      <c r="W2" s="1843"/>
    </row>
    <row r="3" spans="3:23" ht="12" customHeight="1">
      <c r="C3" s="1843"/>
      <c r="D3" s="1843"/>
      <c r="E3" s="1843"/>
      <c r="F3" s="1843"/>
      <c r="G3" s="1843"/>
      <c r="H3" s="1843"/>
      <c r="I3" s="1843"/>
      <c r="J3" s="1843"/>
      <c r="K3" s="1843"/>
      <c r="L3" s="1843"/>
      <c r="M3" s="1843"/>
      <c r="N3" s="1843"/>
      <c r="O3" s="1843"/>
      <c r="P3" s="1843"/>
      <c r="Q3" s="1843"/>
      <c r="R3" s="1843"/>
      <c r="S3" s="1843"/>
      <c r="T3" s="1843"/>
      <c r="U3" s="1843"/>
      <c r="V3" s="1843"/>
      <c r="W3" s="1843"/>
    </row>
    <row r="4" spans="3:23" ht="12" customHeight="1">
      <c r="C4" s="1843"/>
      <c r="D4" s="1843"/>
      <c r="E4" s="1843"/>
      <c r="F4" s="1843"/>
      <c r="G4" s="1843"/>
      <c r="H4" s="1843"/>
      <c r="I4" s="1843"/>
      <c r="J4" s="1843"/>
      <c r="K4" s="1843"/>
      <c r="L4" s="1843"/>
      <c r="M4" s="1843"/>
      <c r="N4" s="1843"/>
      <c r="O4" s="1843"/>
      <c r="P4" s="1843"/>
      <c r="Q4" s="1843"/>
      <c r="R4" s="1843"/>
      <c r="S4" s="1843"/>
      <c r="T4" s="1843"/>
      <c r="U4" s="1843"/>
      <c r="V4" s="1843"/>
      <c r="W4" s="1843"/>
    </row>
    <row r="5" spans="3:23" ht="12" customHeight="1">
      <c r="C5" s="1843"/>
      <c r="D5" s="1843"/>
      <c r="E5" s="1843"/>
      <c r="F5" s="1843"/>
      <c r="G5" s="1843"/>
      <c r="H5" s="1843"/>
      <c r="I5" s="1843"/>
      <c r="J5" s="1843"/>
      <c r="K5" s="1843"/>
      <c r="L5" s="1843"/>
      <c r="M5" s="1843"/>
      <c r="N5" s="1843"/>
      <c r="O5" s="1843"/>
      <c r="P5" s="1843"/>
      <c r="Q5" s="1843"/>
      <c r="R5" s="1843"/>
      <c r="S5" s="1843"/>
      <c r="T5" s="1843"/>
      <c r="U5" s="1843"/>
      <c r="V5" s="1843"/>
      <c r="W5" s="1843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4"/>
    <col min="2" max="2" width="23.1640625" style="1274" customWidth="1"/>
    <col min="3" max="3" width="28.6640625" style="1229" bestFit="1" customWidth="1"/>
    <col min="4" max="5" width="18.5" style="1229"/>
    <col min="6" max="6" width="10.1640625" style="1229" customWidth="1"/>
    <col min="7" max="8" width="9" style="1229" customWidth="1"/>
    <col min="9" max="9" width="7.1640625" style="1229" customWidth="1"/>
    <col min="10" max="10" width="18.5" style="1229"/>
    <col min="11" max="12" width="18.5" style="1274"/>
  </cols>
  <sheetData>
    <row r="1" spans="1:13" s="1274" customFormat="1">
      <c r="A1" s="1297"/>
      <c r="B1" s="1297"/>
      <c r="C1" s="1297"/>
      <c r="D1" s="1297"/>
      <c r="E1" s="1297"/>
      <c r="F1" s="1297"/>
      <c r="G1" s="1297"/>
      <c r="H1" s="1297"/>
      <c r="I1" s="1297"/>
      <c r="J1" s="1297"/>
      <c r="K1" s="1297"/>
    </row>
    <row r="2" spans="1:13" s="1274" customFormat="1">
      <c r="A2" s="1297"/>
      <c r="B2" s="1297"/>
      <c r="C2" s="1297"/>
      <c r="D2" s="1297"/>
      <c r="E2" s="1297"/>
      <c r="F2" s="1297"/>
      <c r="G2" s="1297"/>
      <c r="H2" s="1297"/>
      <c r="I2" s="1297"/>
      <c r="J2" s="1297"/>
      <c r="K2" s="1297"/>
    </row>
    <row r="3" spans="1:13" s="1274" customFormat="1" ht="12.75" customHeight="1">
      <c r="A3" s="1297"/>
      <c r="B3" s="1297"/>
      <c r="C3" s="1297"/>
      <c r="D3" s="1297"/>
      <c r="E3" s="1297"/>
      <c r="F3" s="1297"/>
      <c r="G3" s="1297"/>
      <c r="H3" s="1297"/>
      <c r="I3" s="1297"/>
      <c r="J3" s="1297"/>
      <c r="K3" s="1297"/>
      <c r="L3" s="1302"/>
      <c r="M3" s="1302"/>
    </row>
    <row r="4" spans="1:13" s="1274" customFormat="1" ht="12.75" customHeight="1" thickBot="1">
      <c r="A4" s="1297"/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302"/>
      <c r="M4" s="1302"/>
    </row>
    <row r="5" spans="1:13" ht="12.75" customHeight="1">
      <c r="A5" s="1298"/>
      <c r="B5" s="1847" t="s">
        <v>824</v>
      </c>
      <c r="C5" s="1848"/>
      <c r="D5" s="1848"/>
      <c r="E5" s="1848"/>
      <c r="F5" s="1848"/>
      <c r="G5" s="1848"/>
      <c r="H5" s="1848"/>
      <c r="I5" s="1848"/>
      <c r="J5" s="1848"/>
      <c r="K5" s="1849"/>
      <c r="L5" s="1297"/>
    </row>
    <row r="6" spans="1:13" s="1274" customFormat="1" ht="15.75" customHeight="1" thickBot="1">
      <c r="A6" s="1298"/>
      <c r="B6" s="1850"/>
      <c r="C6" s="1851"/>
      <c r="D6" s="1851"/>
      <c r="E6" s="1851"/>
      <c r="F6" s="1851"/>
      <c r="G6" s="1851"/>
      <c r="H6" s="1851"/>
      <c r="I6" s="1851"/>
      <c r="J6" s="1851"/>
      <c r="K6" s="1852"/>
      <c r="L6" s="1297"/>
    </row>
    <row r="7" spans="1:13" s="1274" customFormat="1" ht="15.75" customHeight="1" thickBot="1">
      <c r="A7" s="1298"/>
      <c r="B7" s="1314" t="s">
        <v>692</v>
      </c>
      <c r="C7" s="1844" t="s">
        <v>780</v>
      </c>
      <c r="D7" s="1845"/>
      <c r="E7" s="1846"/>
      <c r="F7" s="1844" t="s">
        <v>814</v>
      </c>
      <c r="G7" s="1845"/>
      <c r="H7" s="1845"/>
      <c r="I7" s="1845"/>
      <c r="J7" s="1845"/>
      <c r="K7" s="1846"/>
      <c r="L7" s="1297"/>
    </row>
    <row r="8" spans="1:13" ht="31" thickBot="1">
      <c r="A8" s="1298"/>
      <c r="B8" s="1311" t="s">
        <v>746</v>
      </c>
      <c r="C8" s="1312" t="s">
        <v>811</v>
      </c>
      <c r="D8" s="1312" t="s">
        <v>812</v>
      </c>
      <c r="E8" s="1313" t="s">
        <v>813</v>
      </c>
      <c r="F8" s="1814" t="s">
        <v>891</v>
      </c>
      <c r="G8" s="1814" t="s">
        <v>899</v>
      </c>
      <c r="H8" s="1814" t="s">
        <v>901</v>
      </c>
      <c r="I8" s="1814" t="s">
        <v>910</v>
      </c>
      <c r="J8" s="1814" t="s">
        <v>965</v>
      </c>
      <c r="K8" s="1815" t="s">
        <v>914</v>
      </c>
      <c r="L8" s="1297"/>
    </row>
    <row r="9" spans="1:13">
      <c r="A9" s="1298"/>
      <c r="B9" s="1310" t="s">
        <v>724</v>
      </c>
      <c r="C9" s="1303"/>
      <c r="D9" s="1303"/>
      <c r="E9" s="1303"/>
      <c r="F9" s="1303"/>
      <c r="G9" s="1303"/>
      <c r="H9" s="1303"/>
      <c r="I9" s="1303"/>
      <c r="J9" s="1303"/>
      <c r="K9" s="1303"/>
      <c r="L9" s="1297"/>
    </row>
    <row r="10" spans="1:13">
      <c r="A10" s="1298"/>
      <c r="B10" s="1306" t="s">
        <v>725</v>
      </c>
      <c r="C10" s="1234" t="s">
        <v>786</v>
      </c>
      <c r="D10" s="1234" t="s">
        <v>786</v>
      </c>
      <c r="E10" s="1234" t="s">
        <v>786</v>
      </c>
      <c r="F10" s="1781" t="s">
        <v>760</v>
      </c>
      <c r="G10" s="1781" t="s">
        <v>1041</v>
      </c>
      <c r="H10" s="1234">
        <v>50</v>
      </c>
      <c r="I10" s="1234">
        <v>50</v>
      </c>
      <c r="J10" s="1781" t="s">
        <v>785</v>
      </c>
      <c r="K10" s="1781" t="s">
        <v>785</v>
      </c>
      <c r="L10" s="1297"/>
    </row>
    <row r="11" spans="1:13" ht="24">
      <c r="A11" s="1298"/>
      <c r="B11" s="1306" t="s">
        <v>726</v>
      </c>
      <c r="C11" s="1234" t="s">
        <v>787</v>
      </c>
      <c r="D11" s="1234" t="s">
        <v>787</v>
      </c>
      <c r="E11" s="1234" t="s">
        <v>787</v>
      </c>
      <c r="F11" s="1781" t="s">
        <v>1037</v>
      </c>
      <c r="G11" s="1800" t="s">
        <v>1064</v>
      </c>
      <c r="H11" s="1781" t="s">
        <v>1081</v>
      </c>
      <c r="I11" s="1781" t="s">
        <v>1094</v>
      </c>
      <c r="J11" s="1781" t="s">
        <v>1008</v>
      </c>
      <c r="K11" s="1781" t="s">
        <v>972</v>
      </c>
      <c r="L11" s="1297"/>
    </row>
    <row r="12" spans="1:13">
      <c r="A12" s="1298"/>
      <c r="B12" s="1306" t="s">
        <v>727</v>
      </c>
      <c r="C12" s="1235">
        <v>3</v>
      </c>
      <c r="D12" s="1235">
        <v>3</v>
      </c>
      <c r="E12" s="1235">
        <v>3</v>
      </c>
      <c r="F12" s="1781" t="s">
        <v>1060</v>
      </c>
      <c r="G12" s="1781" t="s">
        <v>1065</v>
      </c>
      <c r="H12" s="1235">
        <v>45</v>
      </c>
      <c r="I12" s="1235">
        <v>45</v>
      </c>
      <c r="J12" s="1781" t="s">
        <v>1009</v>
      </c>
      <c r="K12" s="1781" t="s">
        <v>973</v>
      </c>
      <c r="L12" s="1297"/>
    </row>
    <row r="13" spans="1:13">
      <c r="A13" s="1298"/>
      <c r="B13" s="1306" t="s">
        <v>728</v>
      </c>
      <c r="C13" s="1234" t="s">
        <v>788</v>
      </c>
      <c r="D13" s="1234" t="s">
        <v>767</v>
      </c>
      <c r="E13" s="1234" t="s">
        <v>767</v>
      </c>
      <c r="F13" s="1781" t="s">
        <v>1038</v>
      </c>
      <c r="G13" s="1781" t="s">
        <v>987</v>
      </c>
      <c r="H13" s="1781" t="s">
        <v>788</v>
      </c>
      <c r="I13" s="1781" t="s">
        <v>1091</v>
      </c>
      <c r="J13" s="1781" t="s">
        <v>1010</v>
      </c>
      <c r="K13" s="1781" t="s">
        <v>975</v>
      </c>
      <c r="L13" s="1297"/>
    </row>
    <row r="14" spans="1:13">
      <c r="A14" s="1298"/>
      <c r="B14" s="1306" t="s">
        <v>729</v>
      </c>
      <c r="C14" s="1235">
        <v>6</v>
      </c>
      <c r="D14" s="1235">
        <v>7</v>
      </c>
      <c r="E14" s="1235">
        <v>7</v>
      </c>
      <c r="F14" s="1781" t="s">
        <v>1039</v>
      </c>
      <c r="G14" s="1781" t="s">
        <v>1015</v>
      </c>
      <c r="H14" s="1235">
        <v>90</v>
      </c>
      <c r="I14" s="1235">
        <v>65</v>
      </c>
      <c r="J14" s="1781" t="s">
        <v>1011</v>
      </c>
      <c r="K14" s="1781" t="s">
        <v>974</v>
      </c>
      <c r="L14" s="1297"/>
    </row>
    <row r="15" spans="1:13">
      <c r="A15" s="1298"/>
      <c r="B15" s="1306" t="s">
        <v>730</v>
      </c>
      <c r="C15" s="1234" t="s">
        <v>763</v>
      </c>
      <c r="D15" s="1234" t="s">
        <v>792</v>
      </c>
      <c r="E15" s="1234" t="s">
        <v>792</v>
      </c>
      <c r="F15" s="1781" t="s">
        <v>1040</v>
      </c>
      <c r="G15" s="1781" t="s">
        <v>1021</v>
      </c>
      <c r="H15" s="1781" t="s">
        <v>1082</v>
      </c>
      <c r="I15" s="1781" t="s">
        <v>1095</v>
      </c>
      <c r="J15" s="1781" t="s">
        <v>1012</v>
      </c>
      <c r="K15" s="1781" t="s">
        <v>976</v>
      </c>
      <c r="L15" s="1297"/>
    </row>
    <row r="16" spans="1:13">
      <c r="A16" s="1298"/>
      <c r="B16" s="1305" t="s">
        <v>731</v>
      </c>
      <c r="C16" s="1308"/>
      <c r="D16" s="1308"/>
      <c r="E16" s="1308"/>
      <c r="F16" s="1308"/>
      <c r="G16" s="1308"/>
      <c r="H16" s="1308"/>
      <c r="I16" s="1308"/>
      <c r="J16" s="1308"/>
      <c r="K16" s="1308"/>
      <c r="L16" s="1297"/>
    </row>
    <row r="17" spans="1:12">
      <c r="A17" s="1298"/>
      <c r="B17" s="1306" t="s">
        <v>725</v>
      </c>
      <c r="C17" s="1234" t="s">
        <v>786</v>
      </c>
      <c r="D17" s="1234" t="s">
        <v>786</v>
      </c>
      <c r="E17" s="1234" t="s">
        <v>786</v>
      </c>
      <c r="F17" s="1781" t="s">
        <v>1041</v>
      </c>
      <c r="G17" s="1781" t="s">
        <v>785</v>
      </c>
      <c r="H17" s="1234">
        <v>20</v>
      </c>
      <c r="I17" s="1234">
        <v>20</v>
      </c>
      <c r="J17" s="1781" t="s">
        <v>1013</v>
      </c>
      <c r="K17" s="1781" t="s">
        <v>785</v>
      </c>
      <c r="L17" s="1297"/>
    </row>
    <row r="18" spans="1:12">
      <c r="A18" s="1298"/>
      <c r="B18" s="1306" t="s">
        <v>726</v>
      </c>
      <c r="C18" s="1234" t="s">
        <v>761</v>
      </c>
      <c r="D18" s="1234" t="s">
        <v>761</v>
      </c>
      <c r="E18" s="1234" t="s">
        <v>761</v>
      </c>
      <c r="F18" s="1781" t="s">
        <v>761</v>
      </c>
      <c r="G18" s="1781" t="s">
        <v>761</v>
      </c>
      <c r="H18" s="1781" t="s">
        <v>1032</v>
      </c>
      <c r="I18" s="1781" t="s">
        <v>761</v>
      </c>
      <c r="J18" s="1781" t="s">
        <v>1014</v>
      </c>
      <c r="K18" s="1781" t="s">
        <v>761</v>
      </c>
      <c r="L18" s="1297"/>
    </row>
    <row r="19" spans="1:12">
      <c r="A19" s="1298"/>
      <c r="B19" s="1306" t="s">
        <v>727</v>
      </c>
      <c r="C19" s="1235">
        <v>15</v>
      </c>
      <c r="D19" s="1235">
        <v>15</v>
      </c>
      <c r="E19" s="1235">
        <v>15</v>
      </c>
      <c r="F19" s="1781" t="s">
        <v>978</v>
      </c>
      <c r="G19" s="1781" t="s">
        <v>1015</v>
      </c>
      <c r="H19" s="1235">
        <v>50</v>
      </c>
      <c r="I19" s="1235">
        <v>40</v>
      </c>
      <c r="J19" s="1781" t="s">
        <v>982</v>
      </c>
      <c r="K19" s="1781" t="s">
        <v>977</v>
      </c>
      <c r="L19" s="1297"/>
    </row>
    <row r="20" spans="1:12">
      <c r="A20" s="1298"/>
      <c r="B20" s="1306" t="s">
        <v>728</v>
      </c>
      <c r="C20" s="1234" t="s">
        <v>788</v>
      </c>
      <c r="D20" s="1234" t="s">
        <v>768</v>
      </c>
      <c r="E20" s="1234" t="s">
        <v>768</v>
      </c>
      <c r="F20" s="1781" t="s">
        <v>1042</v>
      </c>
      <c r="G20" s="1781" t="s">
        <v>987</v>
      </c>
      <c r="H20" s="1781" t="s">
        <v>1083</v>
      </c>
      <c r="I20" s="1781" t="s">
        <v>1096</v>
      </c>
      <c r="J20" s="1781" t="s">
        <v>768</v>
      </c>
      <c r="K20" s="1781" t="s">
        <v>979</v>
      </c>
      <c r="L20" s="1297"/>
    </row>
    <row r="21" spans="1:12">
      <c r="A21" s="1298"/>
      <c r="B21" s="1306" t="s">
        <v>729</v>
      </c>
      <c r="C21" s="1235">
        <v>25</v>
      </c>
      <c r="D21" s="1235">
        <v>25</v>
      </c>
      <c r="E21" s="1235">
        <v>25</v>
      </c>
      <c r="F21" s="1781" t="s">
        <v>1043</v>
      </c>
      <c r="G21" s="1781" t="s">
        <v>1046</v>
      </c>
      <c r="H21" s="1235">
        <v>100</v>
      </c>
      <c r="I21" s="1235">
        <v>60</v>
      </c>
      <c r="J21" s="1781" t="s">
        <v>1015</v>
      </c>
      <c r="K21" s="1781" t="s">
        <v>978</v>
      </c>
      <c r="L21" s="1297"/>
    </row>
    <row r="22" spans="1:12">
      <c r="A22" s="1298"/>
      <c r="B22" s="1306" t="s">
        <v>730</v>
      </c>
      <c r="C22" s="1234" t="s">
        <v>764</v>
      </c>
      <c r="D22" s="1234" t="s">
        <v>766</v>
      </c>
      <c r="E22" s="1234" t="s">
        <v>766</v>
      </c>
      <c r="F22" s="1781" t="s">
        <v>1044</v>
      </c>
      <c r="G22" s="1781" t="s">
        <v>1021</v>
      </c>
      <c r="H22" s="1781" t="s">
        <v>1084</v>
      </c>
      <c r="I22" s="1781" t="s">
        <v>1097</v>
      </c>
      <c r="J22" s="1781" t="s">
        <v>988</v>
      </c>
      <c r="K22" s="1781" t="s">
        <v>980</v>
      </c>
      <c r="L22" s="1297"/>
    </row>
    <row r="23" spans="1:12">
      <c r="A23" s="1298"/>
      <c r="B23" s="1305" t="s">
        <v>732</v>
      </c>
      <c r="C23" s="1308"/>
      <c r="D23" s="1308"/>
      <c r="E23" s="1308"/>
      <c r="F23" s="1308"/>
      <c r="G23" s="1308"/>
      <c r="H23" s="1308"/>
      <c r="I23" s="1308"/>
      <c r="J23" s="1308"/>
      <c r="K23" s="1308"/>
      <c r="L23" s="1297"/>
    </row>
    <row r="24" spans="1:12">
      <c r="A24" s="1298"/>
      <c r="B24" s="1306" t="s">
        <v>725</v>
      </c>
      <c r="C24" s="1234" t="s">
        <v>785</v>
      </c>
      <c r="D24" s="1234" t="s">
        <v>785</v>
      </c>
      <c r="E24" s="1234" t="s">
        <v>785</v>
      </c>
      <c r="F24" s="1781" t="s">
        <v>1041</v>
      </c>
      <c r="G24" s="1781" t="s">
        <v>1041</v>
      </c>
      <c r="H24" s="1234">
        <v>20</v>
      </c>
      <c r="I24" s="1781" t="s">
        <v>760</v>
      </c>
      <c r="J24" s="1781" t="s">
        <v>785</v>
      </c>
      <c r="K24" s="1781" t="s">
        <v>785</v>
      </c>
      <c r="L24" s="1297"/>
    </row>
    <row r="25" spans="1:12" ht="24">
      <c r="A25" s="1298"/>
      <c r="B25" s="1306" t="s">
        <v>726</v>
      </c>
      <c r="C25" s="1234" t="s">
        <v>789</v>
      </c>
      <c r="D25" s="1234" t="s">
        <v>789</v>
      </c>
      <c r="E25" s="1234" t="s">
        <v>789</v>
      </c>
      <c r="F25" s="1800" t="s">
        <v>1045</v>
      </c>
      <c r="G25" s="1781" t="s">
        <v>1066</v>
      </c>
      <c r="H25" s="1781" t="s">
        <v>1032</v>
      </c>
      <c r="I25" s="1781" t="s">
        <v>761</v>
      </c>
      <c r="J25" s="1781" t="s">
        <v>1016</v>
      </c>
      <c r="K25" s="1781" t="s">
        <v>761</v>
      </c>
      <c r="L25" s="1297"/>
    </row>
    <row r="26" spans="1:12">
      <c r="A26" s="1298"/>
      <c r="B26" s="1306" t="s">
        <v>727</v>
      </c>
      <c r="C26" s="1235">
        <v>15</v>
      </c>
      <c r="D26" s="1235">
        <v>15</v>
      </c>
      <c r="E26" s="1235">
        <v>15</v>
      </c>
      <c r="F26" s="1781" t="s">
        <v>1046</v>
      </c>
      <c r="G26" s="1781" t="s">
        <v>1067</v>
      </c>
      <c r="H26" s="1235">
        <v>60</v>
      </c>
      <c r="I26" s="1235">
        <v>150</v>
      </c>
      <c r="J26" s="1781" t="s">
        <v>982</v>
      </c>
      <c r="K26" s="1781" t="s">
        <v>982</v>
      </c>
      <c r="L26" s="1297"/>
    </row>
    <row r="27" spans="1:12">
      <c r="A27" s="1298"/>
      <c r="B27" s="1306" t="s">
        <v>728</v>
      </c>
      <c r="C27" s="1234" t="s">
        <v>788</v>
      </c>
      <c r="D27" s="1234" t="s">
        <v>768</v>
      </c>
      <c r="E27" s="1234" t="s">
        <v>768</v>
      </c>
      <c r="F27" s="1781" t="s">
        <v>1047</v>
      </c>
      <c r="G27" s="1781" t="s">
        <v>987</v>
      </c>
      <c r="H27" s="1781" t="s">
        <v>1085</v>
      </c>
      <c r="I27" s="1781" t="s">
        <v>1098</v>
      </c>
      <c r="J27" s="1781" t="s">
        <v>768</v>
      </c>
      <c r="K27" s="1781" t="s">
        <v>979</v>
      </c>
      <c r="L27" s="1297"/>
    </row>
    <row r="28" spans="1:12">
      <c r="A28" s="1298"/>
      <c r="B28" s="1306" t="s">
        <v>729</v>
      </c>
      <c r="C28" s="1235">
        <v>20</v>
      </c>
      <c r="D28" s="1235">
        <v>20</v>
      </c>
      <c r="E28" s="1235">
        <v>20</v>
      </c>
      <c r="F28" s="1781" t="s">
        <v>1043</v>
      </c>
      <c r="G28" s="1781" t="s">
        <v>1068</v>
      </c>
      <c r="H28" s="1235">
        <v>100</v>
      </c>
      <c r="I28" s="1235">
        <v>250</v>
      </c>
      <c r="J28" s="1781" t="s">
        <v>1015</v>
      </c>
      <c r="K28" s="1781" t="s">
        <v>981</v>
      </c>
      <c r="L28" s="1297"/>
    </row>
    <row r="29" spans="1:12">
      <c r="A29" s="1298"/>
      <c r="B29" s="1306" t="s">
        <v>730</v>
      </c>
      <c r="C29" s="1234" t="s">
        <v>764</v>
      </c>
      <c r="D29" s="1234" t="s">
        <v>766</v>
      </c>
      <c r="E29" s="1234" t="s">
        <v>766</v>
      </c>
      <c r="F29" s="1781" t="s">
        <v>1044</v>
      </c>
      <c r="G29" s="1781" t="s">
        <v>1021</v>
      </c>
      <c r="H29" s="1781" t="s">
        <v>1084</v>
      </c>
      <c r="I29" s="1781" t="s">
        <v>1097</v>
      </c>
      <c r="J29" s="1781" t="s">
        <v>1017</v>
      </c>
      <c r="K29" s="1781" t="s">
        <v>976</v>
      </c>
      <c r="L29" s="1297"/>
    </row>
    <row r="30" spans="1:12">
      <c r="A30" s="1298"/>
      <c r="B30" s="1305" t="s">
        <v>733</v>
      </c>
      <c r="C30" s="1309"/>
      <c r="D30" s="1309"/>
      <c r="E30" s="1309"/>
      <c r="F30" s="1309"/>
      <c r="G30" s="1309"/>
      <c r="H30" s="1309"/>
      <c r="I30" s="1309"/>
      <c r="J30" s="1309">
        <v>0</v>
      </c>
      <c r="K30" s="1309"/>
      <c r="L30" s="1297"/>
    </row>
    <row r="31" spans="1:12">
      <c r="A31" s="1298"/>
      <c r="B31" s="1306" t="s">
        <v>725</v>
      </c>
      <c r="C31" s="1234" t="s">
        <v>785</v>
      </c>
      <c r="D31" s="1234" t="s">
        <v>785</v>
      </c>
      <c r="E31" s="1234" t="s">
        <v>785</v>
      </c>
      <c r="F31" s="1234"/>
      <c r="G31" s="1234"/>
      <c r="H31" s="1234"/>
      <c r="I31" s="1234"/>
      <c r="J31" s="1234"/>
      <c r="K31" s="1234"/>
      <c r="L31" s="1297"/>
    </row>
    <row r="32" spans="1:12">
      <c r="A32" s="1298"/>
      <c r="B32" s="1306" t="s">
        <v>726</v>
      </c>
      <c r="C32" s="1234" t="s">
        <v>790</v>
      </c>
      <c r="D32" s="1234" t="s">
        <v>790</v>
      </c>
      <c r="E32" s="1234" t="s">
        <v>790</v>
      </c>
      <c r="F32" s="1234"/>
      <c r="G32" s="1234"/>
      <c r="H32" s="1234"/>
      <c r="I32" s="1234"/>
      <c r="J32" s="1234"/>
      <c r="K32" s="1234"/>
      <c r="L32" s="1297"/>
    </row>
    <row r="33" spans="1:12">
      <c r="A33" s="1298"/>
      <c r="B33" s="1306" t="s">
        <v>727</v>
      </c>
      <c r="C33" s="1235">
        <v>2</v>
      </c>
      <c r="D33" s="1235">
        <v>2</v>
      </c>
      <c r="E33" s="1235">
        <v>2</v>
      </c>
      <c r="F33" s="1235"/>
      <c r="G33" s="1235"/>
      <c r="H33" s="1235"/>
      <c r="I33" s="1235"/>
      <c r="J33" s="1235"/>
      <c r="K33" s="1235"/>
      <c r="L33" s="1297"/>
    </row>
    <row r="34" spans="1:12">
      <c r="A34" s="1298"/>
      <c r="B34" s="1306" t="s">
        <v>728</v>
      </c>
      <c r="C34" s="1234" t="s">
        <v>788</v>
      </c>
      <c r="D34" s="1234" t="s">
        <v>788</v>
      </c>
      <c r="E34" s="1234" t="s">
        <v>788</v>
      </c>
      <c r="F34" s="1234"/>
      <c r="G34" s="1234"/>
      <c r="H34" s="1234"/>
      <c r="I34" s="1234"/>
      <c r="J34" s="1234"/>
      <c r="K34" s="1234"/>
      <c r="L34" s="1297"/>
    </row>
    <row r="35" spans="1:12">
      <c r="A35" s="1298"/>
      <c r="B35" s="1306" t="s">
        <v>729</v>
      </c>
      <c r="C35" s="1235">
        <v>4</v>
      </c>
      <c r="D35" s="1235">
        <v>4</v>
      </c>
      <c r="E35" s="1235">
        <v>4</v>
      </c>
      <c r="F35" s="1235"/>
      <c r="G35" s="1235"/>
      <c r="H35" s="1235"/>
      <c r="I35" s="1235"/>
      <c r="J35" s="1235"/>
      <c r="K35" s="1235"/>
      <c r="L35" s="1297"/>
    </row>
    <row r="36" spans="1:12">
      <c r="A36" s="1298"/>
      <c r="B36" s="1306" t="s">
        <v>730</v>
      </c>
      <c r="C36" s="1234" t="s">
        <v>764</v>
      </c>
      <c r="D36" s="1234" t="s">
        <v>764</v>
      </c>
      <c r="E36" s="1234" t="s">
        <v>764</v>
      </c>
      <c r="F36" s="1234"/>
      <c r="G36" s="1234"/>
      <c r="H36" s="1234"/>
      <c r="I36" s="1234"/>
      <c r="J36" s="1234"/>
      <c r="K36" s="1234"/>
      <c r="L36" s="1297"/>
    </row>
    <row r="37" spans="1:12">
      <c r="A37" s="1298"/>
      <c r="B37" s="1305" t="s">
        <v>734</v>
      </c>
      <c r="C37" s="1308"/>
      <c r="D37" s="1308"/>
      <c r="E37" s="1308"/>
      <c r="F37" s="1308"/>
      <c r="G37" s="1308"/>
      <c r="H37" s="1308"/>
      <c r="I37" s="1308"/>
      <c r="J37" s="1308"/>
      <c r="K37" s="1308"/>
      <c r="L37" s="1297"/>
    </row>
    <row r="38" spans="1:12">
      <c r="A38" s="1298"/>
      <c r="B38" s="1306" t="s">
        <v>725</v>
      </c>
      <c r="C38" s="1234" t="s">
        <v>791</v>
      </c>
      <c r="D38" s="1234" t="s">
        <v>791</v>
      </c>
      <c r="E38" s="1234" t="s">
        <v>791</v>
      </c>
      <c r="F38" s="1234"/>
      <c r="G38" s="1234"/>
      <c r="H38" s="1234"/>
      <c r="I38" s="1234"/>
      <c r="J38" s="1781" t="s">
        <v>760</v>
      </c>
      <c r="K38" s="1234"/>
      <c r="L38" s="1297"/>
    </row>
    <row r="39" spans="1:12">
      <c r="A39" s="1298"/>
      <c r="B39" s="1306" t="s">
        <v>726</v>
      </c>
      <c r="C39" s="1234" t="s">
        <v>761</v>
      </c>
      <c r="D39" s="1234" t="s">
        <v>761</v>
      </c>
      <c r="E39" s="1234" t="s">
        <v>761</v>
      </c>
      <c r="F39" s="1234"/>
      <c r="G39" s="1234"/>
      <c r="H39" s="1234"/>
      <c r="I39" s="1234"/>
      <c r="J39" s="1781" t="s">
        <v>761</v>
      </c>
      <c r="K39" s="1234"/>
      <c r="L39" s="1297"/>
    </row>
    <row r="40" spans="1:12">
      <c r="A40" s="1298"/>
      <c r="B40" s="1306" t="s">
        <v>727</v>
      </c>
      <c r="C40" s="1235">
        <v>10</v>
      </c>
      <c r="D40" s="1235">
        <v>10</v>
      </c>
      <c r="E40" s="1235">
        <v>10</v>
      </c>
      <c r="F40" s="1235"/>
      <c r="G40" s="1235"/>
      <c r="H40" s="1235"/>
      <c r="I40" s="1235"/>
      <c r="J40" s="1781" t="s">
        <v>1018</v>
      </c>
      <c r="K40" s="1235"/>
      <c r="L40" s="1297"/>
    </row>
    <row r="41" spans="1:12">
      <c r="A41" s="1298"/>
      <c r="B41" s="1306" t="s">
        <v>728</v>
      </c>
      <c r="C41" s="1234" t="s">
        <v>792</v>
      </c>
      <c r="D41" s="1234" t="s">
        <v>792</v>
      </c>
      <c r="E41" s="1234" t="s">
        <v>792</v>
      </c>
      <c r="F41" s="1234"/>
      <c r="G41" s="1234"/>
      <c r="H41" s="1234"/>
      <c r="I41" s="1234"/>
      <c r="J41" s="1781" t="s">
        <v>1019</v>
      </c>
      <c r="K41" s="1234"/>
      <c r="L41" s="1297"/>
    </row>
    <row r="42" spans="1:12">
      <c r="A42" s="1298"/>
      <c r="B42" s="1306" t="s">
        <v>729</v>
      </c>
      <c r="C42" s="1235">
        <v>25</v>
      </c>
      <c r="D42" s="1235">
        <v>25</v>
      </c>
      <c r="E42" s="1235">
        <v>25</v>
      </c>
      <c r="F42" s="1235"/>
      <c r="G42" s="1235"/>
      <c r="H42" s="1235"/>
      <c r="I42" s="1235"/>
      <c r="J42" s="1781" t="s">
        <v>1007</v>
      </c>
      <c r="K42" s="1235"/>
      <c r="L42" s="1297"/>
    </row>
    <row r="43" spans="1:12">
      <c r="A43" s="1298"/>
      <c r="B43" s="1306" t="s">
        <v>730</v>
      </c>
      <c r="C43" s="1234" t="s">
        <v>767</v>
      </c>
      <c r="D43" s="1234" t="s">
        <v>767</v>
      </c>
      <c r="E43" s="1234" t="s">
        <v>767</v>
      </c>
      <c r="F43" s="1234"/>
      <c r="G43" s="1234"/>
      <c r="H43" s="1234"/>
      <c r="I43" s="1234"/>
      <c r="J43" s="1781" t="s">
        <v>987</v>
      </c>
      <c r="K43" s="1234"/>
      <c r="L43" s="1297"/>
    </row>
    <row r="44" spans="1:12">
      <c r="A44" s="1298"/>
      <c r="B44" s="1305" t="s">
        <v>735</v>
      </c>
      <c r="C44" s="1308"/>
      <c r="D44" s="1308"/>
      <c r="E44" s="1308"/>
      <c r="F44" s="1308"/>
      <c r="G44" s="1308"/>
      <c r="H44" s="1308"/>
      <c r="I44" s="1308">
        <v>0</v>
      </c>
      <c r="J44" s="1308"/>
      <c r="K44" s="1308"/>
      <c r="L44" s="1297"/>
    </row>
    <row r="45" spans="1:12">
      <c r="A45" s="1298"/>
      <c r="B45" s="1306" t="s">
        <v>725</v>
      </c>
      <c r="C45" s="1234" t="s">
        <v>793</v>
      </c>
      <c r="D45" s="1234" t="s">
        <v>793</v>
      </c>
      <c r="E45" s="1234" t="s">
        <v>793</v>
      </c>
      <c r="F45" s="1781" t="s">
        <v>793</v>
      </c>
      <c r="G45" s="1781" t="s">
        <v>793</v>
      </c>
      <c r="H45" s="1781" t="s">
        <v>793</v>
      </c>
      <c r="I45" s="1781" t="s">
        <v>793</v>
      </c>
      <c r="J45" s="1781" t="s">
        <v>793</v>
      </c>
      <c r="K45" s="1781" t="s">
        <v>795</v>
      </c>
      <c r="L45" s="1297"/>
    </row>
    <row r="46" spans="1:12" ht="24">
      <c r="A46" s="1298"/>
      <c r="B46" s="1306" t="s">
        <v>726</v>
      </c>
      <c r="C46" s="1234" t="s">
        <v>794</v>
      </c>
      <c r="D46" s="1234" t="s">
        <v>794</v>
      </c>
      <c r="E46" s="1820" t="s">
        <v>794</v>
      </c>
      <c r="F46" s="1781" t="s">
        <v>761</v>
      </c>
      <c r="G46" s="1781" t="s">
        <v>1071</v>
      </c>
      <c r="H46" s="1781" t="s">
        <v>761</v>
      </c>
      <c r="I46" s="1781" t="s">
        <v>1099</v>
      </c>
      <c r="J46" s="1781" t="s">
        <v>814</v>
      </c>
      <c r="K46" s="1781" t="s">
        <v>761</v>
      </c>
      <c r="L46" s="1297"/>
    </row>
    <row r="47" spans="1:12">
      <c r="A47" s="1298"/>
      <c r="B47" s="1306" t="s">
        <v>727</v>
      </c>
      <c r="C47" s="1235">
        <v>3500</v>
      </c>
      <c r="D47" s="1235">
        <v>3500</v>
      </c>
      <c r="E47" s="1235">
        <v>3500</v>
      </c>
      <c r="F47" s="1781" t="s">
        <v>1048</v>
      </c>
      <c r="G47" s="1781" t="s">
        <v>1050</v>
      </c>
      <c r="H47" s="1235">
        <v>1200</v>
      </c>
      <c r="I47" s="1235">
        <v>1500</v>
      </c>
      <c r="J47" s="1781" t="s">
        <v>1020</v>
      </c>
      <c r="K47" s="1781" t="s">
        <v>983</v>
      </c>
      <c r="L47" s="1297"/>
    </row>
    <row r="48" spans="1:12">
      <c r="A48" s="1298"/>
      <c r="B48" s="1306" t="s">
        <v>728</v>
      </c>
      <c r="C48" s="1234" t="s">
        <v>768</v>
      </c>
      <c r="D48" s="1234" t="s">
        <v>768</v>
      </c>
      <c r="E48" s="1234" t="s">
        <v>768</v>
      </c>
      <c r="F48" s="1781" t="s">
        <v>1049</v>
      </c>
      <c r="G48" s="1781" t="s">
        <v>1070</v>
      </c>
      <c r="H48" s="1781" t="s">
        <v>1086</v>
      </c>
      <c r="I48" s="1781" t="s">
        <v>1100</v>
      </c>
      <c r="J48" s="1781" t="s">
        <v>1021</v>
      </c>
      <c r="K48" s="1781" t="s">
        <v>984</v>
      </c>
      <c r="L48" s="1297"/>
    </row>
    <row r="49" spans="1:12">
      <c r="A49" s="1298"/>
      <c r="B49" s="1306" t="s">
        <v>729</v>
      </c>
      <c r="C49" s="1235">
        <v>4000</v>
      </c>
      <c r="D49" s="1235">
        <v>4000</v>
      </c>
      <c r="E49" s="1235">
        <v>4000</v>
      </c>
      <c r="F49" s="1781" t="s">
        <v>1050</v>
      </c>
      <c r="G49" s="1781" t="s">
        <v>1069</v>
      </c>
      <c r="H49" s="1235">
        <v>1300</v>
      </c>
      <c r="I49" s="1235">
        <v>2500</v>
      </c>
      <c r="J49" s="1781" t="s">
        <v>1022</v>
      </c>
      <c r="K49" s="1781" t="s">
        <v>983</v>
      </c>
      <c r="L49" s="1297"/>
    </row>
    <row r="50" spans="1:12">
      <c r="A50" s="1298"/>
      <c r="B50" s="1306" t="s">
        <v>730</v>
      </c>
      <c r="C50" s="1234" t="s">
        <v>766</v>
      </c>
      <c r="D50" s="1234" t="s">
        <v>766</v>
      </c>
      <c r="E50" s="1234" t="s">
        <v>766</v>
      </c>
      <c r="F50" s="1781" t="s">
        <v>1051</v>
      </c>
      <c r="G50" s="1781" t="s">
        <v>766</v>
      </c>
      <c r="H50" s="1781" t="s">
        <v>1087</v>
      </c>
      <c r="I50" s="1781" t="s">
        <v>1101</v>
      </c>
      <c r="J50" s="1781" t="s">
        <v>1023</v>
      </c>
      <c r="K50" s="1781" t="s">
        <v>984</v>
      </c>
      <c r="L50" s="1297"/>
    </row>
    <row r="51" spans="1:12">
      <c r="A51" s="1298"/>
      <c r="B51" s="1305" t="s">
        <v>736</v>
      </c>
      <c r="C51" s="1308"/>
      <c r="D51" s="1308"/>
      <c r="E51" s="1308"/>
      <c r="F51" s="1308"/>
      <c r="G51" s="1308"/>
      <c r="H51" s="1308"/>
      <c r="I51" s="1308"/>
      <c r="J51" s="1308"/>
      <c r="K51" s="1308"/>
      <c r="L51" s="1297"/>
    </row>
    <row r="52" spans="1:12">
      <c r="A52" s="1298"/>
      <c r="B52" s="1306" t="s">
        <v>725</v>
      </c>
      <c r="C52" s="1234" t="s">
        <v>793</v>
      </c>
      <c r="D52" s="1234" t="s">
        <v>793</v>
      </c>
      <c r="E52" s="1234" t="s">
        <v>793</v>
      </c>
      <c r="F52" s="1781" t="s">
        <v>793</v>
      </c>
      <c r="G52" s="1781" t="s">
        <v>793</v>
      </c>
      <c r="H52" s="1781" t="s">
        <v>793</v>
      </c>
      <c r="I52" s="1781" t="s">
        <v>793</v>
      </c>
      <c r="J52" s="1781" t="s">
        <v>793</v>
      </c>
      <c r="K52" s="1781" t="s">
        <v>793</v>
      </c>
      <c r="L52" s="1297"/>
    </row>
    <row r="53" spans="1:12">
      <c r="A53" s="1298"/>
      <c r="B53" s="1306" t="s">
        <v>726</v>
      </c>
      <c r="C53" s="1234" t="s">
        <v>761</v>
      </c>
      <c r="D53" s="1234" t="s">
        <v>761</v>
      </c>
      <c r="E53" s="1234" t="s">
        <v>761</v>
      </c>
      <c r="F53" s="1781" t="s">
        <v>761</v>
      </c>
      <c r="G53" s="1781" t="s">
        <v>1072</v>
      </c>
      <c r="H53" s="1781" t="s">
        <v>761</v>
      </c>
      <c r="I53" s="1781" t="s">
        <v>761</v>
      </c>
      <c r="J53" s="1781" t="s">
        <v>814</v>
      </c>
      <c r="K53" s="1781" t="s">
        <v>761</v>
      </c>
      <c r="L53" s="1297"/>
    </row>
    <row r="54" spans="1:12">
      <c r="A54" s="1298"/>
      <c r="B54" s="1306" t="s">
        <v>727</v>
      </c>
      <c r="C54" s="1235">
        <v>100</v>
      </c>
      <c r="D54" s="1235">
        <v>100</v>
      </c>
      <c r="E54" s="1235">
        <v>100</v>
      </c>
      <c r="F54" s="1781" t="s">
        <v>1024</v>
      </c>
      <c r="G54" s="1781" t="s">
        <v>1067</v>
      </c>
      <c r="H54" s="1235">
        <v>150</v>
      </c>
      <c r="I54" s="1235">
        <v>150</v>
      </c>
      <c r="J54" s="1781" t="s">
        <v>1024</v>
      </c>
      <c r="K54" s="1781" t="s">
        <v>985</v>
      </c>
      <c r="L54" s="1297"/>
    </row>
    <row r="55" spans="1:12">
      <c r="A55" s="1298"/>
      <c r="B55" s="1306" t="s">
        <v>728</v>
      </c>
      <c r="C55" s="1234" t="s">
        <v>763</v>
      </c>
      <c r="D55" s="1234" t="s">
        <v>763</v>
      </c>
      <c r="E55" s="1234" t="s">
        <v>763</v>
      </c>
      <c r="F55" s="1781" t="s">
        <v>984</v>
      </c>
      <c r="G55" s="1781" t="s">
        <v>1021</v>
      </c>
      <c r="H55" s="1781" t="s">
        <v>1086</v>
      </c>
      <c r="I55" s="1781" t="s">
        <v>1100</v>
      </c>
      <c r="J55" s="1781" t="s">
        <v>1021</v>
      </c>
      <c r="K55" s="1781" t="s">
        <v>987</v>
      </c>
      <c r="L55" s="1297"/>
    </row>
    <row r="56" spans="1:12">
      <c r="A56" s="1298"/>
      <c r="B56" s="1306" t="s">
        <v>729</v>
      </c>
      <c r="C56" s="1235">
        <v>300</v>
      </c>
      <c r="D56" s="1235">
        <v>300</v>
      </c>
      <c r="E56" s="1235">
        <v>300</v>
      </c>
      <c r="F56" s="1781" t="s">
        <v>1052</v>
      </c>
      <c r="G56" s="1781" t="s">
        <v>1052</v>
      </c>
      <c r="H56" s="1235">
        <v>200</v>
      </c>
      <c r="I56" s="1235">
        <v>200</v>
      </c>
      <c r="J56" s="1781" t="s">
        <v>985</v>
      </c>
      <c r="K56" s="1781" t="s">
        <v>986</v>
      </c>
      <c r="L56" s="1297"/>
    </row>
    <row r="57" spans="1:12">
      <c r="A57" s="1298"/>
      <c r="B57" s="1306" t="s">
        <v>730</v>
      </c>
      <c r="C57" s="1234" t="s">
        <v>766</v>
      </c>
      <c r="D57" s="1234" t="s">
        <v>766</v>
      </c>
      <c r="E57" s="1234" t="s">
        <v>766</v>
      </c>
      <c r="F57" s="1781" t="s">
        <v>1053</v>
      </c>
      <c r="G57" s="1781" t="s">
        <v>1025</v>
      </c>
      <c r="H57" s="1781" t="s">
        <v>766</v>
      </c>
      <c r="I57" s="1781" t="s">
        <v>1101</v>
      </c>
      <c r="J57" s="1781" t="s">
        <v>1025</v>
      </c>
      <c r="K57" s="1781" t="s">
        <v>988</v>
      </c>
      <c r="L57" s="1297"/>
    </row>
    <row r="58" spans="1:12">
      <c r="A58" s="1298"/>
      <c r="B58" s="1305" t="s">
        <v>737</v>
      </c>
      <c r="C58" s="1308"/>
      <c r="D58" s="1308"/>
      <c r="E58" s="1308"/>
      <c r="F58" s="1308"/>
      <c r="G58" s="1308"/>
      <c r="H58" s="1308"/>
      <c r="I58" s="1308"/>
      <c r="J58" s="1308"/>
      <c r="K58" s="1308"/>
      <c r="L58" s="1297"/>
    </row>
    <row r="59" spans="1:12">
      <c r="A59" s="1298"/>
      <c r="B59" s="1306" t="s">
        <v>725</v>
      </c>
      <c r="C59" s="1234" t="s">
        <v>795</v>
      </c>
      <c r="D59" s="1234" t="s">
        <v>795</v>
      </c>
      <c r="E59" s="1234" t="s">
        <v>795</v>
      </c>
      <c r="F59" s="1781" t="s">
        <v>793</v>
      </c>
      <c r="G59" s="1781" t="s">
        <v>793</v>
      </c>
      <c r="H59" s="1781" t="s">
        <v>795</v>
      </c>
      <c r="I59" s="1781"/>
      <c r="J59" s="1781" t="s">
        <v>1026</v>
      </c>
      <c r="K59" s="1781" t="s">
        <v>793</v>
      </c>
      <c r="L59" s="1297"/>
    </row>
    <row r="60" spans="1:12">
      <c r="A60" s="1298"/>
      <c r="B60" s="1306" t="s">
        <v>726</v>
      </c>
      <c r="C60" s="1234" t="s">
        <v>761</v>
      </c>
      <c r="D60" s="1234" t="s">
        <v>761</v>
      </c>
      <c r="E60" s="1234" t="s">
        <v>761</v>
      </c>
      <c r="F60" s="1781" t="s">
        <v>761</v>
      </c>
      <c r="G60" s="1781" t="s">
        <v>1073</v>
      </c>
      <c r="H60" s="1781" t="s">
        <v>761</v>
      </c>
      <c r="I60" s="1781"/>
      <c r="J60" s="1781" t="s">
        <v>761</v>
      </c>
      <c r="K60" s="1781" t="s">
        <v>761</v>
      </c>
      <c r="L60" s="1297"/>
    </row>
    <row r="61" spans="1:12">
      <c r="A61" s="1298"/>
      <c r="B61" s="1306" t="s">
        <v>727</v>
      </c>
      <c r="C61" s="1235">
        <v>400</v>
      </c>
      <c r="D61" s="1235">
        <v>400</v>
      </c>
      <c r="E61" s="1235">
        <v>400</v>
      </c>
      <c r="F61" s="1781" t="s">
        <v>986</v>
      </c>
      <c r="G61" s="1781" t="s">
        <v>1024</v>
      </c>
      <c r="H61" s="1781" t="s">
        <v>1080</v>
      </c>
      <c r="I61" s="1235"/>
      <c r="J61" s="1781" t="s">
        <v>986</v>
      </c>
      <c r="K61" s="1781" t="s">
        <v>991</v>
      </c>
      <c r="L61" s="1297"/>
    </row>
    <row r="62" spans="1:12">
      <c r="A62" s="1298"/>
      <c r="B62" s="1306" t="s">
        <v>728</v>
      </c>
      <c r="C62" s="1234" t="s">
        <v>763</v>
      </c>
      <c r="D62" s="1234" t="s">
        <v>763</v>
      </c>
      <c r="E62" s="1234" t="s">
        <v>763</v>
      </c>
      <c r="F62" s="1781" t="s">
        <v>984</v>
      </c>
      <c r="G62" s="1781" t="s">
        <v>1074</v>
      </c>
      <c r="H62" s="1781" t="s">
        <v>1080</v>
      </c>
      <c r="I62" s="1234"/>
      <c r="J62" s="1781" t="s">
        <v>1021</v>
      </c>
      <c r="K62" s="1781" t="s">
        <v>989</v>
      </c>
      <c r="L62" s="1297"/>
    </row>
    <row r="63" spans="1:12">
      <c r="A63" s="1298"/>
      <c r="B63" s="1306" t="s">
        <v>729</v>
      </c>
      <c r="C63" s="1235">
        <v>600</v>
      </c>
      <c r="D63" s="1235">
        <v>600</v>
      </c>
      <c r="E63" s="1235">
        <v>600</v>
      </c>
      <c r="F63" s="1235" t="s">
        <v>990</v>
      </c>
      <c r="G63" s="1781" t="s">
        <v>1052</v>
      </c>
      <c r="H63" s="1781" t="s">
        <v>1080</v>
      </c>
      <c r="I63" s="1235"/>
      <c r="J63" s="1781" t="s">
        <v>990</v>
      </c>
      <c r="K63" s="1781" t="s">
        <v>990</v>
      </c>
      <c r="L63" s="1297"/>
    </row>
    <row r="64" spans="1:12">
      <c r="A64" s="1298"/>
      <c r="B64" s="1306" t="s">
        <v>730</v>
      </c>
      <c r="C64" s="1234" t="s">
        <v>768</v>
      </c>
      <c r="D64" s="1234" t="s">
        <v>768</v>
      </c>
      <c r="E64" s="1234" t="s">
        <v>768</v>
      </c>
      <c r="F64" s="1781" t="s">
        <v>984</v>
      </c>
      <c r="G64" s="1781" t="s">
        <v>1075</v>
      </c>
      <c r="H64" s="1234"/>
      <c r="I64" s="1234"/>
      <c r="J64" s="1781" t="s">
        <v>1025</v>
      </c>
      <c r="K64" s="1781" t="s">
        <v>988</v>
      </c>
      <c r="L64" s="1297"/>
    </row>
    <row r="65" spans="1:12">
      <c r="A65" s="1298"/>
      <c r="B65" s="1305" t="s">
        <v>302</v>
      </c>
      <c r="C65" s="1308"/>
      <c r="D65" s="1308"/>
      <c r="E65" s="1308"/>
      <c r="F65" s="1308"/>
      <c r="G65" s="1308"/>
      <c r="H65" s="1308"/>
      <c r="I65" s="1308"/>
      <c r="J65" s="1308"/>
      <c r="K65" s="1308"/>
      <c r="L65" s="1297"/>
    </row>
    <row r="66" spans="1:12">
      <c r="A66" s="1298"/>
      <c r="B66" s="1306" t="s">
        <v>725</v>
      </c>
      <c r="C66" s="1234" t="s">
        <v>796</v>
      </c>
      <c r="D66" s="1234" t="s">
        <v>796</v>
      </c>
      <c r="E66" s="1234" t="s">
        <v>796</v>
      </c>
      <c r="F66" s="1781"/>
      <c r="G66" s="1781" t="s">
        <v>796</v>
      </c>
      <c r="H66" s="1781"/>
      <c r="I66" s="1234"/>
      <c r="J66" s="1781" t="s">
        <v>1027</v>
      </c>
      <c r="K66" s="1781" t="s">
        <v>992</v>
      </c>
      <c r="L66" s="1297"/>
    </row>
    <row r="67" spans="1:12">
      <c r="A67" s="1298"/>
      <c r="B67" s="1306" t="s">
        <v>726</v>
      </c>
      <c r="C67" s="1234" t="s">
        <v>797</v>
      </c>
      <c r="D67" s="1234" t="s">
        <v>797</v>
      </c>
      <c r="E67" s="1234" t="s">
        <v>797</v>
      </c>
      <c r="F67" s="1781"/>
      <c r="G67" s="1781" t="s">
        <v>1032</v>
      </c>
      <c r="H67" s="1234"/>
      <c r="I67" s="1234"/>
      <c r="J67" s="1781" t="s">
        <v>761</v>
      </c>
      <c r="K67" s="1781" t="s">
        <v>993</v>
      </c>
      <c r="L67" s="1297"/>
    </row>
    <row r="68" spans="1:12">
      <c r="A68" s="1298"/>
      <c r="B68" s="1306" t="s">
        <v>727</v>
      </c>
      <c r="C68" s="1235">
        <v>3.5</v>
      </c>
      <c r="D68" s="1235">
        <v>3</v>
      </c>
      <c r="E68" s="1235">
        <v>3</v>
      </c>
      <c r="F68" s="1781"/>
      <c r="G68" s="1781" t="s">
        <v>1076</v>
      </c>
      <c r="H68" s="1235"/>
      <c r="I68" s="1235"/>
      <c r="J68" s="1781" t="s">
        <v>978</v>
      </c>
      <c r="K68" s="1781" t="s">
        <v>994</v>
      </c>
      <c r="L68" s="1297"/>
    </row>
    <row r="69" spans="1:12">
      <c r="A69" s="1298"/>
      <c r="B69" s="1306" t="s">
        <v>728</v>
      </c>
      <c r="C69" s="1234" t="s">
        <v>792</v>
      </c>
      <c r="D69" s="1234" t="s">
        <v>792</v>
      </c>
      <c r="E69" s="1234" t="s">
        <v>792</v>
      </c>
      <c r="F69" s="1781"/>
      <c r="G69" s="1781" t="s">
        <v>1025</v>
      </c>
      <c r="H69" s="1234"/>
      <c r="I69" s="1234"/>
      <c r="J69" s="1781" t="s">
        <v>1025</v>
      </c>
      <c r="K69" s="1781" t="s">
        <v>989</v>
      </c>
      <c r="L69" s="1297"/>
    </row>
    <row r="70" spans="1:12">
      <c r="A70" s="1298"/>
      <c r="B70" s="1306" t="s">
        <v>729</v>
      </c>
      <c r="C70" s="1235">
        <v>5</v>
      </c>
      <c r="D70" s="1235">
        <v>5</v>
      </c>
      <c r="E70" s="1235">
        <v>5</v>
      </c>
      <c r="F70" s="1781"/>
      <c r="G70" s="1781" t="s">
        <v>994</v>
      </c>
      <c r="H70" s="1235"/>
      <c r="I70" s="1235"/>
      <c r="J70" s="1781" t="s">
        <v>994</v>
      </c>
      <c r="K70" s="1781" t="s">
        <v>995</v>
      </c>
      <c r="L70" s="1297"/>
    </row>
    <row r="71" spans="1:12">
      <c r="A71" s="1298"/>
      <c r="B71" s="1306" t="s">
        <v>730</v>
      </c>
      <c r="C71" s="1234" t="s">
        <v>766</v>
      </c>
      <c r="D71" s="1234" t="s">
        <v>766</v>
      </c>
      <c r="E71" s="1234" t="s">
        <v>766</v>
      </c>
      <c r="F71" s="1781"/>
      <c r="G71" s="1781" t="s">
        <v>1077</v>
      </c>
      <c r="H71" s="1234"/>
      <c r="I71" s="1234"/>
      <c r="J71" s="1781" t="s">
        <v>1021</v>
      </c>
      <c r="K71" s="1781" t="s">
        <v>988</v>
      </c>
      <c r="L71" s="1297"/>
    </row>
    <row r="72" spans="1:12">
      <c r="A72" s="1298"/>
      <c r="B72" s="1305" t="s">
        <v>738</v>
      </c>
      <c r="C72" s="1308"/>
      <c r="D72" s="1308"/>
      <c r="E72" s="1308"/>
      <c r="F72" s="1308"/>
      <c r="G72" s="1308"/>
      <c r="H72" s="1308"/>
      <c r="I72" s="1308"/>
      <c r="J72" s="1308"/>
      <c r="K72" s="1308"/>
      <c r="L72" s="1297"/>
    </row>
    <row r="73" spans="1:12">
      <c r="A73" s="1298"/>
      <c r="B73" s="1306" t="s">
        <v>725</v>
      </c>
      <c r="C73" s="1234" t="s">
        <v>798</v>
      </c>
      <c r="D73" s="1234" t="s">
        <v>798</v>
      </c>
      <c r="E73" s="1234" t="s">
        <v>798</v>
      </c>
      <c r="F73" s="1234" t="s">
        <v>1054</v>
      </c>
      <c r="G73" s="1234">
        <v>2.5</v>
      </c>
      <c r="H73" s="1234">
        <v>2.5</v>
      </c>
      <c r="I73" s="1234"/>
      <c r="J73" s="1781" t="s">
        <v>1028</v>
      </c>
      <c r="K73" s="1781" t="s">
        <v>996</v>
      </c>
      <c r="L73" s="1297"/>
    </row>
    <row r="74" spans="1:12">
      <c r="A74" s="1298"/>
      <c r="B74" s="1306" t="s">
        <v>726</v>
      </c>
      <c r="C74" s="1234" t="s">
        <v>797</v>
      </c>
      <c r="D74" s="1234" t="s">
        <v>797</v>
      </c>
      <c r="E74" s="1234" t="s">
        <v>797</v>
      </c>
      <c r="F74" s="1781" t="s">
        <v>1055</v>
      </c>
      <c r="G74" s="1781" t="s">
        <v>1032</v>
      </c>
      <c r="H74" s="1781" t="s">
        <v>1088</v>
      </c>
      <c r="I74" s="1234"/>
      <c r="J74" s="1781" t="s">
        <v>761</v>
      </c>
      <c r="K74" s="1781" t="s">
        <v>993</v>
      </c>
      <c r="L74" s="1297"/>
    </row>
    <row r="75" spans="1:12">
      <c r="A75" s="1298"/>
      <c r="B75" s="1306" t="s">
        <v>727</v>
      </c>
      <c r="C75" s="1235">
        <v>22</v>
      </c>
      <c r="D75" s="1235">
        <v>20</v>
      </c>
      <c r="E75" s="1235">
        <v>20</v>
      </c>
      <c r="F75" s="1781" t="s">
        <v>1007</v>
      </c>
      <c r="G75" s="1235">
        <v>25</v>
      </c>
      <c r="H75" s="1235">
        <v>15</v>
      </c>
      <c r="I75" s="1235"/>
      <c r="J75" s="1781" t="s">
        <v>1000</v>
      </c>
      <c r="K75" s="1781" t="s">
        <v>997</v>
      </c>
      <c r="L75" s="1297"/>
    </row>
    <row r="76" spans="1:12">
      <c r="A76" s="1298"/>
      <c r="B76" s="1306" t="s">
        <v>728</v>
      </c>
      <c r="C76" s="1235" t="s">
        <v>763</v>
      </c>
      <c r="D76" s="1235" t="s">
        <v>763</v>
      </c>
      <c r="E76" s="1235" t="s">
        <v>763</v>
      </c>
      <c r="F76" s="1781" t="s">
        <v>984</v>
      </c>
      <c r="G76" s="1781" t="s">
        <v>1078</v>
      </c>
      <c r="H76" s="1781" t="s">
        <v>1080</v>
      </c>
      <c r="I76" s="1234"/>
      <c r="J76" s="1781" t="s">
        <v>1021</v>
      </c>
      <c r="K76" s="1781" t="s">
        <v>989</v>
      </c>
      <c r="L76" s="1297"/>
    </row>
    <row r="77" spans="1:12">
      <c r="A77" s="1298"/>
      <c r="B77" s="1306" t="s">
        <v>729</v>
      </c>
      <c r="C77" s="1235">
        <v>26</v>
      </c>
      <c r="D77" s="1235">
        <v>26</v>
      </c>
      <c r="E77" s="1235">
        <v>26</v>
      </c>
      <c r="F77" s="1781" t="s">
        <v>1015</v>
      </c>
      <c r="G77" s="1235">
        <v>25</v>
      </c>
      <c r="H77" s="1781" t="s">
        <v>1080</v>
      </c>
      <c r="I77" s="1235"/>
      <c r="J77" s="1781" t="s">
        <v>994</v>
      </c>
      <c r="K77" s="1781" t="s">
        <v>998</v>
      </c>
      <c r="L77" s="1297"/>
    </row>
    <row r="78" spans="1:12">
      <c r="A78" s="1298"/>
      <c r="B78" s="1306" t="s">
        <v>730</v>
      </c>
      <c r="C78" s="1235" t="s">
        <v>767</v>
      </c>
      <c r="D78" s="1235" t="s">
        <v>767</v>
      </c>
      <c r="E78" s="1235" t="s">
        <v>767</v>
      </c>
      <c r="F78" s="1781" t="s">
        <v>984</v>
      </c>
      <c r="G78" s="1781" t="s">
        <v>1078</v>
      </c>
      <c r="H78" s="1781" t="s">
        <v>1080</v>
      </c>
      <c r="I78" s="1234"/>
      <c r="J78" s="1781" t="s">
        <v>988</v>
      </c>
      <c r="K78" s="1781" t="s">
        <v>988</v>
      </c>
      <c r="L78" s="1297"/>
    </row>
    <row r="79" spans="1:12">
      <c r="A79" s="1298"/>
      <c r="B79" s="1305" t="s">
        <v>301</v>
      </c>
      <c r="C79" s="1308"/>
      <c r="D79" s="1308"/>
      <c r="E79" s="1308"/>
      <c r="F79" s="1308"/>
      <c r="G79" s="1308"/>
      <c r="H79" s="1308"/>
      <c r="I79" s="1308"/>
      <c r="J79" s="1308"/>
      <c r="K79" s="1308"/>
      <c r="L79" s="1297"/>
    </row>
    <row r="80" spans="1:12">
      <c r="A80" s="1298"/>
      <c r="B80" s="1306" t="s">
        <v>725</v>
      </c>
      <c r="C80" s="1234" t="s">
        <v>770</v>
      </c>
      <c r="D80" s="1234" t="s">
        <v>770</v>
      </c>
      <c r="E80" s="1234" t="s">
        <v>770</v>
      </c>
      <c r="F80" s="1781" t="s">
        <v>1056</v>
      </c>
      <c r="G80" s="1781" t="s">
        <v>1056</v>
      </c>
      <c r="H80" s="1781" t="s">
        <v>1089</v>
      </c>
      <c r="I80" s="1234">
        <v>0.1</v>
      </c>
      <c r="J80" s="1781" t="s">
        <v>1029</v>
      </c>
      <c r="K80" s="1781" t="s">
        <v>999</v>
      </c>
      <c r="L80" s="1297"/>
    </row>
    <row r="81" spans="1:12">
      <c r="A81" s="1298"/>
      <c r="B81" s="1306" t="s">
        <v>726</v>
      </c>
      <c r="C81" s="1234" t="s">
        <v>797</v>
      </c>
      <c r="D81" s="1234" t="s">
        <v>797</v>
      </c>
      <c r="E81" s="1234" t="s">
        <v>797</v>
      </c>
      <c r="F81" s="1781" t="s">
        <v>761</v>
      </c>
      <c r="G81" s="1781" t="s">
        <v>1032</v>
      </c>
      <c r="H81" s="1781" t="s">
        <v>761</v>
      </c>
      <c r="I81" s="1781" t="s">
        <v>1045</v>
      </c>
      <c r="J81" s="1781" t="s">
        <v>761</v>
      </c>
      <c r="K81" s="1781" t="s">
        <v>993</v>
      </c>
      <c r="L81" s="1297"/>
    </row>
    <row r="82" spans="1:12">
      <c r="A82" s="1298"/>
      <c r="B82" s="1306" t="s">
        <v>727</v>
      </c>
      <c r="C82" s="1235">
        <v>3</v>
      </c>
      <c r="D82" s="1235">
        <v>2.5</v>
      </c>
      <c r="E82" s="1235">
        <v>2.5</v>
      </c>
      <c r="F82" s="1781" t="s">
        <v>1057</v>
      </c>
      <c r="G82" s="1235">
        <v>4</v>
      </c>
      <c r="H82" s="1235">
        <v>3</v>
      </c>
      <c r="I82" s="1235">
        <v>1</v>
      </c>
      <c r="J82" s="1781" t="s">
        <v>1000</v>
      </c>
      <c r="K82" s="1781" t="s">
        <v>1000</v>
      </c>
      <c r="L82" s="1297"/>
    </row>
    <row r="83" spans="1:12" ht="24">
      <c r="A83" s="1298"/>
      <c r="B83" s="1306" t="s">
        <v>728</v>
      </c>
      <c r="C83" s="1234" t="s">
        <v>799</v>
      </c>
      <c r="D83" s="1234" t="s">
        <v>799</v>
      </c>
      <c r="E83" s="1234" t="s">
        <v>799</v>
      </c>
      <c r="F83" s="1800" t="s">
        <v>1058</v>
      </c>
      <c r="G83" s="1235" t="s">
        <v>799</v>
      </c>
      <c r="H83" s="1781" t="s">
        <v>1087</v>
      </c>
      <c r="I83" s="1781" t="s">
        <v>1080</v>
      </c>
      <c r="J83" s="1781" t="s">
        <v>1019</v>
      </c>
      <c r="K83" s="1781" t="s">
        <v>984</v>
      </c>
      <c r="L83" s="1297"/>
    </row>
    <row r="84" spans="1:12">
      <c r="A84" s="1298"/>
      <c r="B84" s="1306" t="s">
        <v>729</v>
      </c>
      <c r="C84" s="1234" t="s">
        <v>799</v>
      </c>
      <c r="D84" s="1234" t="s">
        <v>799</v>
      </c>
      <c r="E84" s="1234" t="s">
        <v>799</v>
      </c>
      <c r="F84" s="1781" t="s">
        <v>997</v>
      </c>
      <c r="G84" s="1234" t="s">
        <v>799</v>
      </c>
      <c r="H84" s="1235">
        <v>5</v>
      </c>
      <c r="I84" s="1781" t="s">
        <v>1080</v>
      </c>
      <c r="J84" s="1781" t="s">
        <v>994</v>
      </c>
      <c r="K84" s="1781" t="s">
        <v>1000</v>
      </c>
      <c r="L84" s="1297"/>
    </row>
    <row r="85" spans="1:12" ht="24">
      <c r="A85" s="1298"/>
      <c r="B85" s="1306" t="s">
        <v>730</v>
      </c>
      <c r="C85" s="1234" t="s">
        <v>799</v>
      </c>
      <c r="D85" s="1234" t="s">
        <v>799</v>
      </c>
      <c r="E85" s="1234" t="s">
        <v>799</v>
      </c>
      <c r="F85" s="1800" t="s">
        <v>1058</v>
      </c>
      <c r="G85" s="1234" t="s">
        <v>799</v>
      </c>
      <c r="H85" s="1781" t="s">
        <v>1090</v>
      </c>
      <c r="I85" s="1781" t="s">
        <v>1080</v>
      </c>
      <c r="J85" s="1781" t="s">
        <v>1025</v>
      </c>
      <c r="K85" s="1781" t="s">
        <v>984</v>
      </c>
      <c r="L85" s="1297"/>
    </row>
    <row r="86" spans="1:12">
      <c r="A86" s="1298"/>
      <c r="B86" s="1305" t="s">
        <v>739</v>
      </c>
      <c r="C86" s="1308"/>
      <c r="D86" s="1308"/>
      <c r="E86" s="1308"/>
      <c r="F86" s="1821"/>
      <c r="G86" s="1308"/>
      <c r="H86" s="1308"/>
      <c r="I86" s="1308"/>
      <c r="J86" s="1308"/>
      <c r="K86" s="1308"/>
      <c r="L86" s="1297"/>
    </row>
    <row r="87" spans="1:12">
      <c r="A87" s="1298"/>
      <c r="B87" s="1306" t="s">
        <v>725</v>
      </c>
      <c r="C87" s="1234" t="s">
        <v>795</v>
      </c>
      <c r="D87" s="1234" t="s">
        <v>795</v>
      </c>
      <c r="E87" s="1234" t="s">
        <v>795</v>
      </c>
      <c r="F87" s="1235"/>
      <c r="G87" s="1781" t="s">
        <v>795</v>
      </c>
      <c r="H87" s="1235"/>
      <c r="I87" s="1235" t="s">
        <v>793</v>
      </c>
      <c r="J87" s="1781" t="s">
        <v>793</v>
      </c>
      <c r="K87" s="1781" t="s">
        <v>793</v>
      </c>
      <c r="L87" s="1297"/>
    </row>
    <row r="88" spans="1:12">
      <c r="A88" s="1298"/>
      <c r="B88" s="1306" t="s">
        <v>726</v>
      </c>
      <c r="C88" s="1234" t="s">
        <v>761</v>
      </c>
      <c r="D88" s="1234" t="s">
        <v>761</v>
      </c>
      <c r="E88" s="1234" t="s">
        <v>761</v>
      </c>
      <c r="F88" s="1235"/>
      <c r="G88" s="1781" t="s">
        <v>1079</v>
      </c>
      <c r="H88" s="1235"/>
      <c r="I88" s="1235" t="s">
        <v>761</v>
      </c>
      <c r="J88" s="1781" t="s">
        <v>761</v>
      </c>
      <c r="K88" s="1781" t="s">
        <v>761</v>
      </c>
      <c r="L88" s="1297"/>
    </row>
    <row r="89" spans="1:12">
      <c r="A89" s="1298"/>
      <c r="B89" s="1306" t="s">
        <v>727</v>
      </c>
      <c r="C89" s="1235">
        <v>11</v>
      </c>
      <c r="D89" s="1235">
        <v>11</v>
      </c>
      <c r="E89" s="1235">
        <v>11</v>
      </c>
      <c r="F89" s="1235"/>
      <c r="G89" s="1235">
        <v>20</v>
      </c>
      <c r="H89" s="1235"/>
      <c r="I89" s="1235">
        <v>15</v>
      </c>
      <c r="J89" s="1781" t="s">
        <v>982</v>
      </c>
      <c r="K89" s="1781" t="s">
        <v>982</v>
      </c>
      <c r="L89" s="1297"/>
    </row>
    <row r="90" spans="1:12">
      <c r="A90" s="1298"/>
      <c r="B90" s="1306" t="s">
        <v>728</v>
      </c>
      <c r="C90" s="1234" t="s">
        <v>765</v>
      </c>
      <c r="D90" s="1234" t="s">
        <v>765</v>
      </c>
      <c r="E90" s="1234" t="s">
        <v>765</v>
      </c>
      <c r="F90" s="1235"/>
      <c r="G90" s="1781" t="s">
        <v>792</v>
      </c>
      <c r="H90" s="1235"/>
      <c r="I90" s="1235" t="s">
        <v>1100</v>
      </c>
      <c r="J90" s="1781" t="s">
        <v>1019</v>
      </c>
      <c r="K90" s="1781" t="s">
        <v>1001</v>
      </c>
      <c r="L90" s="1297"/>
    </row>
    <row r="91" spans="1:12">
      <c r="A91" s="1298"/>
      <c r="B91" s="1306" t="s">
        <v>729</v>
      </c>
      <c r="C91" s="1235">
        <v>25</v>
      </c>
      <c r="D91" s="1235">
        <v>25</v>
      </c>
      <c r="E91" s="1235">
        <v>25</v>
      </c>
      <c r="F91" s="1235"/>
      <c r="G91" s="1235">
        <v>30</v>
      </c>
      <c r="H91" s="1235"/>
      <c r="I91" s="1235">
        <v>25</v>
      </c>
      <c r="J91" s="1781" t="s">
        <v>1015</v>
      </c>
      <c r="K91" s="1781" t="s">
        <v>977</v>
      </c>
      <c r="L91" s="1297"/>
    </row>
    <row r="92" spans="1:12">
      <c r="A92" s="1298"/>
      <c r="B92" s="1306" t="s">
        <v>730</v>
      </c>
      <c r="C92" s="1234" t="s">
        <v>768</v>
      </c>
      <c r="D92" s="1234" t="s">
        <v>768</v>
      </c>
      <c r="E92" s="1234" t="s">
        <v>768</v>
      </c>
      <c r="F92" s="1235"/>
      <c r="G92" s="1781" t="s">
        <v>766</v>
      </c>
      <c r="H92" s="1235"/>
      <c r="I92" s="1235" t="s">
        <v>1101</v>
      </c>
      <c r="J92" s="1781" t="s">
        <v>988</v>
      </c>
      <c r="K92" s="1781" t="s">
        <v>988</v>
      </c>
      <c r="L92" s="1297"/>
    </row>
    <row r="93" spans="1:12">
      <c r="A93" s="1298"/>
      <c r="B93" s="1305" t="s">
        <v>740</v>
      </c>
      <c r="C93" s="1308"/>
      <c r="D93" s="1308"/>
      <c r="E93" s="1308"/>
      <c r="F93" s="1308"/>
      <c r="G93" s="1308"/>
      <c r="H93" s="1308"/>
      <c r="I93" s="1308"/>
      <c r="J93" s="1308"/>
      <c r="K93" s="1308"/>
      <c r="L93" s="1297"/>
    </row>
    <row r="94" spans="1:12">
      <c r="A94" s="1298"/>
      <c r="B94" s="1306" t="s">
        <v>725</v>
      </c>
      <c r="C94" s="1234" t="s">
        <v>770</v>
      </c>
      <c r="D94" s="1234" t="s">
        <v>770</v>
      </c>
      <c r="E94" s="1234" t="s">
        <v>770</v>
      </c>
      <c r="F94" s="1235"/>
      <c r="G94" s="1781" t="s">
        <v>770</v>
      </c>
      <c r="H94" s="1235"/>
      <c r="I94" s="1235">
        <v>0.1</v>
      </c>
      <c r="J94" s="1781" t="s">
        <v>1030</v>
      </c>
      <c r="K94" s="1235"/>
      <c r="L94" s="1297"/>
    </row>
    <row r="95" spans="1:12">
      <c r="A95" s="1298"/>
      <c r="B95" s="1306" t="s">
        <v>726</v>
      </c>
      <c r="C95" s="1234" t="s">
        <v>800</v>
      </c>
      <c r="D95" s="1234" t="s">
        <v>800</v>
      </c>
      <c r="E95" s="1234" t="s">
        <v>800</v>
      </c>
      <c r="F95" s="1234"/>
      <c r="G95" s="1781" t="s">
        <v>1032</v>
      </c>
      <c r="H95" s="1234"/>
      <c r="I95" s="1781" t="s">
        <v>814</v>
      </c>
      <c r="J95" s="1781" t="s">
        <v>761</v>
      </c>
      <c r="K95" s="1234"/>
      <c r="L95" s="1297"/>
    </row>
    <row r="96" spans="1:12">
      <c r="A96" s="1298"/>
      <c r="B96" s="1306" t="s">
        <v>727</v>
      </c>
      <c r="C96" s="1235">
        <v>7.5</v>
      </c>
      <c r="D96" s="1235">
        <v>7.5</v>
      </c>
      <c r="E96" s="1235">
        <v>7.5</v>
      </c>
      <c r="F96" s="1235"/>
      <c r="G96" s="1235">
        <v>6</v>
      </c>
      <c r="H96" s="1235"/>
      <c r="I96" s="1235">
        <v>0.5</v>
      </c>
      <c r="J96" s="1781" t="s">
        <v>978</v>
      </c>
      <c r="K96" s="1235"/>
      <c r="L96" s="1297"/>
    </row>
    <row r="97" spans="1:12">
      <c r="A97" s="1298"/>
      <c r="B97" s="1306" t="s">
        <v>728</v>
      </c>
      <c r="C97" s="1234" t="s">
        <v>792</v>
      </c>
      <c r="D97" s="1234" t="s">
        <v>792</v>
      </c>
      <c r="E97" s="1234" t="s">
        <v>792</v>
      </c>
      <c r="F97" s="1235"/>
      <c r="G97" s="1781" t="s">
        <v>1080</v>
      </c>
      <c r="H97" s="1235"/>
      <c r="I97" s="1781" t="s">
        <v>1012</v>
      </c>
      <c r="J97" s="1781" t="s">
        <v>1025</v>
      </c>
      <c r="K97" s="1235"/>
      <c r="L97" s="1297"/>
    </row>
    <row r="98" spans="1:12">
      <c r="A98" s="1298"/>
      <c r="B98" s="1306" t="s">
        <v>729</v>
      </c>
      <c r="C98" s="1235">
        <v>8</v>
      </c>
      <c r="D98" s="1235">
        <v>8</v>
      </c>
      <c r="E98" s="1235">
        <v>8</v>
      </c>
      <c r="F98" s="1235"/>
      <c r="G98" s="1781" t="s">
        <v>1080</v>
      </c>
      <c r="H98" s="1235"/>
      <c r="I98" s="1235">
        <v>1</v>
      </c>
      <c r="J98" s="1781" t="s">
        <v>1031</v>
      </c>
      <c r="K98" s="1235"/>
      <c r="L98" s="1297"/>
    </row>
    <row r="99" spans="1:12">
      <c r="A99" s="1298"/>
      <c r="B99" s="1306" t="s">
        <v>730</v>
      </c>
      <c r="C99" s="1234" t="s">
        <v>788</v>
      </c>
      <c r="D99" s="1234" t="s">
        <v>788</v>
      </c>
      <c r="E99" s="1234" t="s">
        <v>788</v>
      </c>
      <c r="F99" s="1235"/>
      <c r="G99" s="1235"/>
      <c r="H99" s="1235"/>
      <c r="I99" s="1781" t="s">
        <v>768</v>
      </c>
      <c r="J99" s="1781" t="s">
        <v>1021</v>
      </c>
      <c r="K99" s="1235"/>
      <c r="L99" s="1297"/>
    </row>
    <row r="100" spans="1:12">
      <c r="A100" s="1298"/>
      <c r="B100" s="1305" t="s">
        <v>801</v>
      </c>
      <c r="C100" s="1308"/>
      <c r="D100" s="1308"/>
      <c r="E100" s="1308"/>
      <c r="F100" s="1308"/>
      <c r="G100" s="1308"/>
      <c r="H100" s="1308"/>
      <c r="I100" s="1308"/>
      <c r="J100" s="1819" t="s">
        <v>1021</v>
      </c>
      <c r="K100" s="1308"/>
      <c r="L100" s="1297"/>
    </row>
    <row r="101" spans="1:12">
      <c r="A101" s="1298"/>
      <c r="B101" s="1306" t="s">
        <v>725</v>
      </c>
      <c r="C101" s="1234" t="s">
        <v>785</v>
      </c>
      <c r="D101" s="1234" t="s">
        <v>785</v>
      </c>
      <c r="E101" s="1234" t="s">
        <v>785</v>
      </c>
      <c r="F101" s="1781" t="s">
        <v>760</v>
      </c>
      <c r="G101" s="1234">
        <v>20</v>
      </c>
      <c r="H101" s="1234">
        <v>50</v>
      </c>
      <c r="I101" s="1234">
        <v>50</v>
      </c>
      <c r="J101" s="1781" t="s">
        <v>785</v>
      </c>
      <c r="K101" s="1781" t="s">
        <v>785</v>
      </c>
      <c r="L101" s="1297"/>
    </row>
    <row r="102" spans="1:12">
      <c r="A102" s="1298"/>
      <c r="B102" s="1306" t="s">
        <v>726</v>
      </c>
      <c r="C102" s="1234" t="s">
        <v>761</v>
      </c>
      <c r="D102" s="1234" t="s">
        <v>761</v>
      </c>
      <c r="E102" s="1234" t="s">
        <v>761</v>
      </c>
      <c r="F102" s="1781" t="s">
        <v>1059</v>
      </c>
      <c r="G102" s="1781" t="s">
        <v>1032</v>
      </c>
      <c r="H102" s="1781" t="s">
        <v>1088</v>
      </c>
      <c r="I102" s="1781" t="s">
        <v>761</v>
      </c>
      <c r="J102" s="1781" t="s">
        <v>1032</v>
      </c>
      <c r="K102" s="1781" t="s">
        <v>1003</v>
      </c>
      <c r="L102" s="1297"/>
    </row>
    <row r="103" spans="1:12">
      <c r="A103" s="1298"/>
      <c r="B103" s="1306" t="s">
        <v>727</v>
      </c>
      <c r="C103" s="1235">
        <v>7</v>
      </c>
      <c r="D103" s="1235">
        <v>9</v>
      </c>
      <c r="E103" s="1235">
        <v>9</v>
      </c>
      <c r="F103" s="1781" t="s">
        <v>1060</v>
      </c>
      <c r="G103" s="1235">
        <v>15</v>
      </c>
      <c r="H103" s="1235">
        <v>45</v>
      </c>
      <c r="I103" s="1235">
        <v>30</v>
      </c>
      <c r="J103" s="1781" t="s">
        <v>974</v>
      </c>
      <c r="K103" s="1781" t="s">
        <v>973</v>
      </c>
      <c r="L103" s="1297"/>
    </row>
    <row r="104" spans="1:12">
      <c r="A104" s="1298"/>
      <c r="B104" s="1306" t="s">
        <v>728</v>
      </c>
      <c r="C104" s="1234" t="s">
        <v>767</v>
      </c>
      <c r="D104" s="1234" t="s">
        <v>767</v>
      </c>
      <c r="E104" s="1234" t="s">
        <v>767</v>
      </c>
      <c r="F104" s="1781" t="s">
        <v>1061</v>
      </c>
      <c r="G104" s="1781" t="s">
        <v>767</v>
      </c>
      <c r="H104" s="1781" t="s">
        <v>1091</v>
      </c>
      <c r="I104" s="1781" t="s">
        <v>1102</v>
      </c>
      <c r="J104" s="1781" t="s">
        <v>1019</v>
      </c>
      <c r="K104" s="1781" t="s">
        <v>1002</v>
      </c>
      <c r="L104" s="1297"/>
    </row>
    <row r="105" spans="1:12">
      <c r="A105" s="1298"/>
      <c r="B105" s="1306" t="s">
        <v>729</v>
      </c>
      <c r="C105" s="1235">
        <v>15</v>
      </c>
      <c r="D105" s="1235">
        <v>15</v>
      </c>
      <c r="E105" s="1235">
        <v>15</v>
      </c>
      <c r="F105" s="1781" t="s">
        <v>1024</v>
      </c>
      <c r="G105" s="1235">
        <v>30</v>
      </c>
      <c r="H105" s="1235">
        <v>150</v>
      </c>
      <c r="I105" s="1235">
        <v>60</v>
      </c>
      <c r="J105" s="1781" t="s">
        <v>1033</v>
      </c>
      <c r="K105" s="1781" t="s">
        <v>974</v>
      </c>
      <c r="L105" s="1297"/>
    </row>
    <row r="106" spans="1:12">
      <c r="A106" s="1298"/>
      <c r="B106" s="1306" t="s">
        <v>730</v>
      </c>
      <c r="C106" s="1234" t="s">
        <v>766</v>
      </c>
      <c r="D106" s="1234" t="s">
        <v>766</v>
      </c>
      <c r="E106" s="1234" t="s">
        <v>766</v>
      </c>
      <c r="F106" s="1781" t="s">
        <v>1062</v>
      </c>
      <c r="G106" s="1781" t="s">
        <v>763</v>
      </c>
      <c r="H106" s="1781" t="s">
        <v>1092</v>
      </c>
      <c r="I106" s="1781" t="s">
        <v>1097</v>
      </c>
      <c r="J106" s="1781" t="s">
        <v>988</v>
      </c>
      <c r="K106" s="1781" t="s">
        <v>976</v>
      </c>
      <c r="L106" s="1297"/>
    </row>
    <row r="107" spans="1:12">
      <c r="A107" s="1298"/>
      <c r="B107" s="1305" t="s">
        <v>769</v>
      </c>
      <c r="C107" s="1308"/>
      <c r="D107" s="1308"/>
      <c r="E107" s="1308"/>
      <c r="F107" s="1308"/>
      <c r="G107" s="1308"/>
      <c r="H107" s="1308"/>
      <c r="I107" s="1308"/>
      <c r="J107" s="1308"/>
      <c r="K107" s="1308"/>
      <c r="L107" s="1297"/>
    </row>
    <row r="108" spans="1:12">
      <c r="A108" s="1298"/>
      <c r="B108" s="1306" t="s">
        <v>725</v>
      </c>
      <c r="C108" s="1234" t="s">
        <v>760</v>
      </c>
      <c r="D108" s="1234" t="s">
        <v>760</v>
      </c>
      <c r="E108" s="1234" t="s">
        <v>760</v>
      </c>
      <c r="F108" s="1234"/>
      <c r="G108" s="1234">
        <v>50</v>
      </c>
      <c r="H108" s="1234"/>
      <c r="I108" s="1234"/>
      <c r="J108" s="1234"/>
      <c r="K108" s="1234"/>
      <c r="L108" s="1297"/>
    </row>
    <row r="109" spans="1:12">
      <c r="A109" s="1298"/>
      <c r="B109" s="1306" t="s">
        <v>726</v>
      </c>
      <c r="C109" s="1234" t="s">
        <v>761</v>
      </c>
      <c r="D109" s="1234" t="s">
        <v>761</v>
      </c>
      <c r="E109" s="1234" t="s">
        <v>761</v>
      </c>
      <c r="F109" s="1234"/>
      <c r="G109" s="1781" t="s">
        <v>1032</v>
      </c>
      <c r="H109" s="1234"/>
      <c r="I109" s="1234"/>
      <c r="J109" s="1234"/>
      <c r="K109" s="1234"/>
      <c r="L109" s="1297"/>
    </row>
    <row r="110" spans="1:12">
      <c r="A110" s="1298"/>
      <c r="B110" s="1306" t="s">
        <v>727</v>
      </c>
      <c r="C110" s="1235">
        <v>7.5</v>
      </c>
      <c r="D110" s="1235">
        <v>7.5</v>
      </c>
      <c r="E110" s="1235">
        <v>7.5</v>
      </c>
      <c r="F110" s="1235"/>
      <c r="G110" s="1235">
        <v>10</v>
      </c>
      <c r="H110" s="1235"/>
      <c r="I110" s="1235"/>
      <c r="J110" s="1235"/>
      <c r="K110" s="1235"/>
      <c r="L110" s="1297"/>
    </row>
    <row r="111" spans="1:12">
      <c r="A111" s="1298"/>
      <c r="B111" s="1306" t="s">
        <v>728</v>
      </c>
      <c r="C111" s="1234" t="s">
        <v>764</v>
      </c>
      <c r="D111" s="1234" t="s">
        <v>764</v>
      </c>
      <c r="E111" s="1234" t="s">
        <v>764</v>
      </c>
      <c r="F111" s="1234"/>
      <c r="G111" s="1234" t="s">
        <v>1080</v>
      </c>
      <c r="H111" s="1234"/>
      <c r="I111" s="1234"/>
      <c r="J111" s="1234"/>
      <c r="K111" s="1234"/>
      <c r="L111" s="1297"/>
    </row>
    <row r="112" spans="1:12">
      <c r="A112" s="1298"/>
      <c r="B112" s="1306" t="s">
        <v>729</v>
      </c>
      <c r="C112" s="1235">
        <v>10</v>
      </c>
      <c r="D112" s="1235">
        <v>10</v>
      </c>
      <c r="E112" s="1235">
        <v>10</v>
      </c>
      <c r="F112" s="1235"/>
      <c r="G112" s="1235" t="s">
        <v>1080</v>
      </c>
      <c r="H112" s="1235"/>
      <c r="I112" s="1235"/>
      <c r="J112" s="1235"/>
      <c r="K112" s="1235"/>
      <c r="L112" s="1297"/>
    </row>
    <row r="113" spans="1:12">
      <c r="A113" s="1298"/>
      <c r="B113" s="1306" t="s">
        <v>730</v>
      </c>
      <c r="C113" s="1234" t="s">
        <v>768</v>
      </c>
      <c r="D113" s="1234" t="s">
        <v>768</v>
      </c>
      <c r="E113" s="1234" t="s">
        <v>768</v>
      </c>
      <c r="F113" s="1234"/>
      <c r="G113" s="1234"/>
      <c r="H113" s="1234"/>
      <c r="I113" s="1234"/>
      <c r="J113" s="1234"/>
      <c r="K113" s="1234"/>
      <c r="L113" s="1297"/>
    </row>
    <row r="114" spans="1:12">
      <c r="A114" s="1298"/>
      <c r="B114" s="1305" t="s">
        <v>802</v>
      </c>
      <c r="C114" s="1308"/>
      <c r="D114" s="1308"/>
      <c r="E114" s="1308"/>
      <c r="F114" s="1308"/>
      <c r="G114" s="1308"/>
      <c r="H114" s="1308"/>
      <c r="I114" s="1308"/>
      <c r="J114" s="1308"/>
      <c r="K114" s="1308"/>
      <c r="L114" s="1297"/>
    </row>
    <row r="115" spans="1:12">
      <c r="A115" s="1298"/>
      <c r="B115" s="1306" t="s">
        <v>725</v>
      </c>
      <c r="C115" s="1234" t="s">
        <v>770</v>
      </c>
      <c r="D115" s="1234" t="s">
        <v>770</v>
      </c>
      <c r="E115" s="1234" t="s">
        <v>770</v>
      </c>
      <c r="F115" s="1234"/>
      <c r="G115" s="1234"/>
      <c r="H115" s="1234"/>
      <c r="I115" s="1234"/>
      <c r="J115" s="1781" t="s">
        <v>1034</v>
      </c>
      <c r="K115" s="1781" t="s">
        <v>1004</v>
      </c>
      <c r="L115" s="1297"/>
    </row>
    <row r="116" spans="1:12">
      <c r="A116" s="1298"/>
      <c r="B116" s="1306" t="s">
        <v>726</v>
      </c>
      <c r="C116" s="1234" t="s">
        <v>800</v>
      </c>
      <c r="D116" s="1234" t="s">
        <v>800</v>
      </c>
      <c r="E116" s="1234" t="s">
        <v>800</v>
      </c>
      <c r="F116" s="1234"/>
      <c r="G116" s="1234"/>
      <c r="H116" s="1234"/>
      <c r="I116" s="1234"/>
      <c r="J116" s="1781" t="s">
        <v>1032</v>
      </c>
      <c r="K116" s="1781" t="s">
        <v>993</v>
      </c>
      <c r="L116" s="1297"/>
    </row>
    <row r="117" spans="1:12">
      <c r="A117" s="1298"/>
      <c r="B117" s="1306" t="s">
        <v>727</v>
      </c>
      <c r="C117" s="1235">
        <v>5</v>
      </c>
      <c r="D117" s="1235">
        <v>5</v>
      </c>
      <c r="E117" s="1235">
        <v>5</v>
      </c>
      <c r="F117" s="1235"/>
      <c r="G117" s="1235"/>
      <c r="H117" s="1235"/>
      <c r="I117" s="1235"/>
      <c r="J117" s="1781" t="s">
        <v>994</v>
      </c>
      <c r="K117" s="1781" t="s">
        <v>1005</v>
      </c>
      <c r="L117" s="1297"/>
    </row>
    <row r="118" spans="1:12">
      <c r="A118" s="1298"/>
      <c r="B118" s="1306" t="s">
        <v>728</v>
      </c>
      <c r="C118" s="1234" t="s">
        <v>762</v>
      </c>
      <c r="D118" s="1234" t="s">
        <v>762</v>
      </c>
      <c r="E118" s="1234" t="s">
        <v>762</v>
      </c>
      <c r="F118" s="1235"/>
      <c r="G118" s="1235"/>
      <c r="H118" s="1235"/>
      <c r="I118" s="1235"/>
      <c r="J118" s="1781" t="s">
        <v>1035</v>
      </c>
      <c r="K118" s="1781" t="s">
        <v>1006</v>
      </c>
      <c r="L118" s="1297"/>
    </row>
    <row r="119" spans="1:12">
      <c r="A119" s="1298"/>
      <c r="B119" s="1306" t="s">
        <v>729</v>
      </c>
      <c r="C119" s="1235">
        <v>10</v>
      </c>
      <c r="D119" s="1235">
        <v>10</v>
      </c>
      <c r="E119" s="1235">
        <v>10</v>
      </c>
      <c r="F119" s="1235"/>
      <c r="G119" s="1235"/>
      <c r="H119" s="1235"/>
      <c r="I119" s="1235"/>
      <c r="J119" s="1781" t="s">
        <v>1036</v>
      </c>
      <c r="K119" s="1781" t="s">
        <v>1007</v>
      </c>
      <c r="L119" s="1297"/>
    </row>
    <row r="120" spans="1:12">
      <c r="A120" s="1298"/>
      <c r="B120" s="1306" t="s">
        <v>730</v>
      </c>
      <c r="C120" s="1234" t="s">
        <v>792</v>
      </c>
      <c r="D120" s="1234" t="s">
        <v>792</v>
      </c>
      <c r="E120" s="1234" t="s">
        <v>792</v>
      </c>
      <c r="F120" s="1235"/>
      <c r="G120" s="1235"/>
      <c r="H120" s="1235"/>
      <c r="I120" s="1235"/>
      <c r="J120" s="1781" t="s">
        <v>1025</v>
      </c>
      <c r="K120" s="1781" t="s">
        <v>980</v>
      </c>
      <c r="L120" s="1297"/>
    </row>
    <row r="121" spans="1:12">
      <c r="A121" s="1298"/>
      <c r="B121" s="1305" t="s">
        <v>803</v>
      </c>
      <c r="C121" s="1308"/>
      <c r="D121" s="1308"/>
      <c r="E121" s="1308"/>
      <c r="F121" s="1308"/>
      <c r="G121" s="1308"/>
      <c r="H121" s="1308"/>
      <c r="I121" s="1308"/>
      <c r="J121" s="1308"/>
      <c r="K121" s="1308"/>
      <c r="L121" s="1297"/>
    </row>
    <row r="122" spans="1:12">
      <c r="A122" s="1298"/>
      <c r="B122" s="1306" t="s">
        <v>725</v>
      </c>
      <c r="C122" s="1234" t="s">
        <v>804</v>
      </c>
      <c r="D122" s="1234" t="s">
        <v>804</v>
      </c>
      <c r="E122" s="1234" t="s">
        <v>804</v>
      </c>
      <c r="F122" s="1781" t="s">
        <v>770</v>
      </c>
      <c r="G122" s="1234"/>
      <c r="H122" s="1781" t="s">
        <v>770</v>
      </c>
      <c r="I122" s="1234"/>
      <c r="J122" s="1234"/>
      <c r="K122" s="1234"/>
      <c r="L122" s="1297"/>
    </row>
    <row r="123" spans="1:12">
      <c r="A123" s="1298"/>
      <c r="B123" s="1306" t="s">
        <v>726</v>
      </c>
      <c r="C123" s="1234" t="s">
        <v>805</v>
      </c>
      <c r="D123" s="1234" t="s">
        <v>805</v>
      </c>
      <c r="E123" s="1234" t="s">
        <v>805</v>
      </c>
      <c r="F123" s="1781" t="s">
        <v>761</v>
      </c>
      <c r="G123" s="1234"/>
      <c r="H123" s="1781" t="s">
        <v>761</v>
      </c>
      <c r="I123" s="1234"/>
      <c r="J123" s="1234"/>
      <c r="K123" s="1234"/>
      <c r="L123" s="1297"/>
    </row>
    <row r="124" spans="1:12">
      <c r="A124" s="1298"/>
      <c r="B124" s="1306" t="s">
        <v>727</v>
      </c>
      <c r="C124" s="1235">
        <v>120</v>
      </c>
      <c r="D124" s="1235">
        <v>120</v>
      </c>
      <c r="E124" s="1235">
        <v>120</v>
      </c>
      <c r="F124" s="1781" t="s">
        <v>1057</v>
      </c>
      <c r="G124" s="1235"/>
      <c r="H124" s="1235">
        <v>3</v>
      </c>
      <c r="I124" s="1235"/>
      <c r="J124" s="1235"/>
      <c r="K124" s="1235"/>
      <c r="L124" s="1297"/>
    </row>
    <row r="125" spans="1:12" ht="24">
      <c r="A125" s="1298"/>
      <c r="B125" s="1306" t="s">
        <v>728</v>
      </c>
      <c r="C125" s="1234" t="s">
        <v>806</v>
      </c>
      <c r="D125" s="1234" t="s">
        <v>806</v>
      </c>
      <c r="E125" s="1234" t="s">
        <v>806</v>
      </c>
      <c r="F125" s="1800" t="s">
        <v>1058</v>
      </c>
      <c r="G125" s="1235"/>
      <c r="H125" s="1781" t="s">
        <v>1093</v>
      </c>
      <c r="I125" s="1235"/>
      <c r="J125" s="1235"/>
      <c r="K125" s="1235"/>
      <c r="L125" s="1297"/>
    </row>
    <row r="126" spans="1:12">
      <c r="A126" s="1298"/>
      <c r="B126" s="1306" t="s">
        <v>729</v>
      </c>
      <c r="C126" s="1235">
        <v>150</v>
      </c>
      <c r="D126" s="1235">
        <v>150</v>
      </c>
      <c r="E126" s="1235">
        <v>150</v>
      </c>
      <c r="F126" s="1781" t="s">
        <v>997</v>
      </c>
      <c r="G126" s="1235"/>
      <c r="H126" s="1235">
        <v>5</v>
      </c>
      <c r="I126" s="1235"/>
      <c r="J126" s="1235"/>
      <c r="K126" s="1235"/>
      <c r="L126" s="1297"/>
    </row>
    <row r="127" spans="1:12" ht="24">
      <c r="A127" s="1298"/>
      <c r="B127" s="1306" t="s">
        <v>730</v>
      </c>
      <c r="C127" s="1234" t="s">
        <v>766</v>
      </c>
      <c r="D127" s="1234" t="s">
        <v>766</v>
      </c>
      <c r="E127" s="1234" t="s">
        <v>766</v>
      </c>
      <c r="F127" s="1800" t="s">
        <v>1058</v>
      </c>
      <c r="G127" s="1235"/>
      <c r="H127" s="1781" t="s">
        <v>1021</v>
      </c>
      <c r="I127" s="1235"/>
      <c r="J127" s="1235"/>
      <c r="K127" s="1235"/>
      <c r="L127" s="1297"/>
    </row>
    <row r="128" spans="1:12" ht="24">
      <c r="A128" s="1298"/>
      <c r="B128" s="1307" t="s">
        <v>741</v>
      </c>
      <c r="C128" s="1308"/>
      <c r="D128" s="1308"/>
      <c r="E128" s="1308"/>
      <c r="F128" s="1308"/>
      <c r="G128" s="1308"/>
      <c r="H128" s="1308"/>
      <c r="I128" s="1308"/>
      <c r="J128" s="1308"/>
      <c r="K128" s="1308"/>
      <c r="L128" s="1297"/>
    </row>
    <row r="129" spans="1:12" ht="27.75" customHeight="1">
      <c r="A129" s="1298"/>
      <c r="B129" s="1304" t="s">
        <v>742</v>
      </c>
      <c r="C129" s="1239" t="s">
        <v>825</v>
      </c>
      <c r="D129" s="1239" t="s">
        <v>761</v>
      </c>
      <c r="E129" s="1239" t="s">
        <v>761</v>
      </c>
      <c r="F129" s="1782" t="s">
        <v>1063</v>
      </c>
      <c r="G129" s="1781" t="s">
        <v>761</v>
      </c>
      <c r="H129" s="1781" t="s">
        <v>761</v>
      </c>
      <c r="I129" s="1781" t="s">
        <v>761</v>
      </c>
      <c r="J129" s="1781" t="s">
        <v>1032</v>
      </c>
      <c r="K129" s="1781" t="s">
        <v>761</v>
      </c>
      <c r="L129" s="1297"/>
    </row>
    <row r="130" spans="1:12">
      <c r="A130" s="1298"/>
      <c r="B130" s="1304" t="s">
        <v>743</v>
      </c>
      <c r="C130" s="1234" t="s">
        <v>826</v>
      </c>
      <c r="D130" s="1234" t="s">
        <v>826</v>
      </c>
      <c r="E130" s="1234" t="s">
        <v>826</v>
      </c>
      <c r="F130" s="1234"/>
      <c r="G130" s="1235"/>
      <c r="H130" s="1234"/>
      <c r="I130" s="1234"/>
      <c r="J130" s="1234"/>
      <c r="K130" s="1781" t="s">
        <v>814</v>
      </c>
      <c r="L130" s="1297"/>
    </row>
    <row r="131" spans="1:12">
      <c r="A131" s="1298"/>
      <c r="B131" s="1304" t="s">
        <v>744</v>
      </c>
      <c r="C131" s="1234" t="s">
        <v>827</v>
      </c>
      <c r="D131" s="1234" t="s">
        <v>814</v>
      </c>
      <c r="E131" s="1234" t="s">
        <v>827</v>
      </c>
      <c r="F131" s="1234"/>
      <c r="G131" s="1235"/>
      <c r="H131" s="1234"/>
      <c r="I131" s="1234"/>
      <c r="J131" s="1234"/>
      <c r="K131" s="1234"/>
      <c r="L131" s="1297"/>
    </row>
    <row r="132" spans="1:12">
      <c r="A132" s="1298"/>
      <c r="B132" s="1304" t="s">
        <v>745</v>
      </c>
      <c r="C132" s="1234" t="s">
        <v>814</v>
      </c>
      <c r="D132" s="1234" t="s">
        <v>827</v>
      </c>
      <c r="E132" s="1234" t="s">
        <v>814</v>
      </c>
      <c r="F132" s="1234"/>
      <c r="G132" s="1235"/>
      <c r="H132" s="1234"/>
      <c r="I132" s="1234"/>
      <c r="J132" s="1235"/>
      <c r="K132" s="1235"/>
      <c r="L132" s="1297"/>
    </row>
    <row r="133" spans="1:12">
      <c r="A133" s="1298"/>
      <c r="B133" s="1299"/>
      <c r="C133" s="1299"/>
      <c r="D133" s="1299"/>
      <c r="E133" s="1299"/>
      <c r="F133" s="1299"/>
      <c r="G133" s="1299"/>
      <c r="H133" s="1299"/>
      <c r="I133" s="1299"/>
      <c r="J133" s="1299"/>
      <c r="K133" s="1299"/>
      <c r="L133" s="1299"/>
    </row>
    <row r="134" spans="1:12">
      <c r="A134" s="1298"/>
      <c r="B134" s="1299"/>
      <c r="C134" s="1299"/>
      <c r="D134" s="1299"/>
      <c r="E134" s="1299"/>
      <c r="F134" s="1299"/>
      <c r="G134" s="1299"/>
      <c r="H134" s="1299"/>
      <c r="I134" s="1299"/>
      <c r="J134" s="1299"/>
      <c r="K134" s="1299"/>
      <c r="L134" s="1299"/>
    </row>
    <row r="135" spans="1:12">
      <c r="A135" s="1298"/>
      <c r="B135" s="1299"/>
      <c r="C135" s="1299"/>
      <c r="D135" s="1299"/>
      <c r="E135" s="1299"/>
      <c r="F135" s="1299"/>
      <c r="G135" s="1299"/>
      <c r="H135" s="1299"/>
      <c r="I135" s="1299"/>
      <c r="J135" s="1299"/>
      <c r="K135" s="1299"/>
      <c r="L135" s="1299"/>
    </row>
    <row r="136" spans="1:12">
      <c r="A136" s="1298"/>
      <c r="B136" s="1299"/>
      <c r="C136" s="1299"/>
      <c r="D136" s="1299"/>
      <c r="E136" s="1299"/>
      <c r="F136" s="1299"/>
      <c r="G136" s="1299"/>
      <c r="H136" s="1299"/>
      <c r="I136" s="1299"/>
      <c r="J136" s="1299"/>
      <c r="K136" s="1299"/>
      <c r="L136" s="1299"/>
    </row>
    <row r="137" spans="1:12">
      <c r="A137" s="1298"/>
      <c r="B137" s="1299"/>
      <c r="C137" s="1299"/>
      <c r="D137" s="1299"/>
      <c r="E137" s="1299"/>
      <c r="F137" s="1299"/>
      <c r="G137" s="1299"/>
      <c r="H137" s="1299"/>
      <c r="I137" s="1299"/>
      <c r="J137" s="1299"/>
      <c r="K137" s="1299"/>
      <c r="L137" s="1299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4" bestFit="1" customWidth="1"/>
    <col min="3" max="3" width="20" style="1229" bestFit="1" customWidth="1"/>
    <col min="4" max="5" width="19.5" style="1229" bestFit="1" customWidth="1"/>
    <col min="6" max="6" width="22" style="1229" bestFit="1" customWidth="1"/>
    <col min="7" max="7" width="17.83203125" style="1229" customWidth="1"/>
    <col min="8" max="8" width="24.1640625" style="1229" customWidth="1"/>
    <col min="9" max="9" width="15.1640625" style="1229" customWidth="1"/>
    <col min="10" max="10" width="15.5" style="1229" customWidth="1"/>
    <col min="11" max="11" width="16.5" style="1229" customWidth="1"/>
    <col min="12" max="12" width="16.5" customWidth="1"/>
  </cols>
  <sheetData>
    <row r="1" spans="1:13" s="1274" customFormat="1">
      <c r="C1" s="1229"/>
      <c r="D1" s="1229"/>
      <c r="E1" s="1229"/>
      <c r="F1" s="1229"/>
      <c r="G1" s="1229"/>
      <c r="H1" s="1229"/>
      <c r="I1" s="1229"/>
      <c r="J1" s="1229"/>
      <c r="K1" s="1229"/>
    </row>
    <row r="2" spans="1:13" s="1274" customFormat="1">
      <c r="C2" s="1229"/>
      <c r="D2" s="1229"/>
      <c r="E2" s="1229"/>
      <c r="F2" s="1229"/>
      <c r="G2" s="1229"/>
      <c r="H2" s="1229"/>
      <c r="I2" s="1229"/>
      <c r="J2" s="1229"/>
      <c r="K2" s="1229"/>
    </row>
    <row r="3" spans="1:13" s="1274" customFormat="1">
      <c r="C3" s="1229"/>
      <c r="D3" s="1229"/>
      <c r="E3" s="1229"/>
      <c r="F3" s="1229"/>
      <c r="G3" s="1229"/>
      <c r="H3" s="1229"/>
      <c r="I3" s="1229"/>
      <c r="J3" s="1229"/>
      <c r="K3" s="1229"/>
    </row>
    <row r="4" spans="1:13" s="1274" customFormat="1" ht="12.75" customHeight="1">
      <c r="A4" s="1862" t="s">
        <v>817</v>
      </c>
      <c r="B4" s="1862"/>
      <c r="C4" s="1862"/>
      <c r="D4" s="1862"/>
      <c r="E4" s="1862"/>
      <c r="F4" s="1862"/>
      <c r="G4" s="1862"/>
      <c r="H4" s="1862"/>
      <c r="I4" s="1862"/>
      <c r="J4" s="1862"/>
      <c r="K4" s="1862"/>
      <c r="L4" s="1862"/>
      <c r="M4" s="1862"/>
    </row>
    <row r="5" spans="1:13" s="1274" customFormat="1">
      <c r="A5" s="1862"/>
      <c r="B5" s="1862"/>
      <c r="C5" s="1862"/>
      <c r="D5" s="1862"/>
      <c r="E5" s="1862"/>
      <c r="F5" s="1862"/>
      <c r="G5" s="1862"/>
      <c r="H5" s="1862"/>
      <c r="I5" s="1862"/>
      <c r="J5" s="1862"/>
      <c r="K5" s="1862"/>
      <c r="L5" s="1862"/>
      <c r="M5" s="1862"/>
    </row>
    <row r="6" spans="1:13" s="1274" customFormat="1" ht="13" thickBot="1">
      <c r="A6" s="1862"/>
      <c r="B6" s="1862"/>
      <c r="C6" s="1862"/>
      <c r="D6" s="1862"/>
      <c r="E6" s="1862"/>
      <c r="F6" s="1862"/>
      <c r="G6" s="1862"/>
      <c r="H6" s="1862"/>
      <c r="I6" s="1862"/>
      <c r="J6" s="1862"/>
      <c r="K6" s="1862"/>
      <c r="L6" s="1862"/>
      <c r="M6" s="1862"/>
    </row>
    <row r="7" spans="1:13" s="14" customFormat="1" ht="15.75" customHeight="1">
      <c r="A7" s="1863"/>
      <c r="B7" s="1864" t="s">
        <v>692</v>
      </c>
      <c r="C7" s="1866" t="s">
        <v>780</v>
      </c>
      <c r="D7" s="1867"/>
      <c r="E7" s="1867"/>
      <c r="F7" s="1868"/>
      <c r="G7" s="1866" t="s">
        <v>814</v>
      </c>
      <c r="H7" s="1867"/>
      <c r="I7" s="1867"/>
      <c r="J7" s="1867"/>
      <c r="K7" s="1867"/>
      <c r="L7" s="1868"/>
      <c r="M7" s="1863"/>
    </row>
    <row r="8" spans="1:13" s="14" customFormat="1" ht="13.5" customHeight="1" thickBot="1">
      <c r="A8" s="1863"/>
      <c r="B8" s="1865"/>
      <c r="C8" s="1869"/>
      <c r="D8" s="1870"/>
      <c r="E8" s="1870"/>
      <c r="F8" s="1871"/>
      <c r="G8" s="1869"/>
      <c r="H8" s="1870"/>
      <c r="I8" s="1870"/>
      <c r="J8" s="1870"/>
      <c r="K8" s="1870"/>
      <c r="L8" s="1871"/>
      <c r="M8" s="1863"/>
    </row>
    <row r="9" spans="1:13" ht="16" thickBot="1">
      <c r="A9" s="1863"/>
      <c r="B9" s="1276" t="s">
        <v>815</v>
      </c>
      <c r="C9" s="1289"/>
      <c r="D9" s="1290" t="s">
        <v>811</v>
      </c>
      <c r="E9" s="1290" t="s">
        <v>812</v>
      </c>
      <c r="F9" s="1291" t="s">
        <v>813</v>
      </c>
      <c r="G9" s="1802" t="s">
        <v>891</v>
      </c>
      <c r="H9" s="1290" t="s">
        <v>899</v>
      </c>
      <c r="I9" s="1290" t="s">
        <v>901</v>
      </c>
      <c r="J9" s="1290" t="s">
        <v>910</v>
      </c>
      <c r="K9" s="1290" t="s">
        <v>965</v>
      </c>
      <c r="L9" s="1291" t="s">
        <v>914</v>
      </c>
      <c r="M9" s="1863"/>
    </row>
    <row r="10" spans="1:13" ht="13">
      <c r="A10" s="1863"/>
      <c r="B10" s="1859" t="s">
        <v>747</v>
      </c>
      <c r="C10" s="1277" t="s">
        <v>748</v>
      </c>
      <c r="D10" s="1278">
        <v>4</v>
      </c>
      <c r="E10" s="1278">
        <v>4</v>
      </c>
      <c r="F10" s="1278">
        <v>4</v>
      </c>
      <c r="G10" s="1241">
        <v>3</v>
      </c>
      <c r="H10" s="1241">
        <v>4</v>
      </c>
      <c r="I10" s="1241"/>
      <c r="J10" s="1241"/>
      <c r="K10" s="1241">
        <v>1</v>
      </c>
      <c r="L10" s="1292">
        <v>2</v>
      </c>
      <c r="M10" s="1863"/>
    </row>
    <row r="11" spans="1:13" ht="13">
      <c r="A11" s="1863"/>
      <c r="B11" s="1860"/>
      <c r="C11" s="1279" t="s">
        <v>749</v>
      </c>
      <c r="D11" s="1280">
        <v>4</v>
      </c>
      <c r="E11" s="1278">
        <v>4</v>
      </c>
      <c r="F11" s="1278">
        <v>4</v>
      </c>
      <c r="G11" s="1241">
        <v>2</v>
      </c>
      <c r="H11" s="1242">
        <v>2</v>
      </c>
      <c r="I11" s="1242">
        <v>1</v>
      </c>
      <c r="J11" s="1241">
        <v>4</v>
      </c>
      <c r="K11" s="1241">
        <v>3</v>
      </c>
      <c r="L11" s="1293">
        <v>4</v>
      </c>
      <c r="M11" s="1863"/>
    </row>
    <row r="12" spans="1:13" ht="13">
      <c r="A12" s="1863"/>
      <c r="B12" s="1860"/>
      <c r="C12" s="1279" t="s">
        <v>750</v>
      </c>
      <c r="D12" s="1280">
        <v>3</v>
      </c>
      <c r="E12" s="1278">
        <v>3</v>
      </c>
      <c r="F12" s="1280">
        <v>3</v>
      </c>
      <c r="G12" s="1241">
        <v>3</v>
      </c>
      <c r="H12" s="1242">
        <v>3</v>
      </c>
      <c r="I12" s="1242">
        <v>3</v>
      </c>
      <c r="J12" s="1241">
        <v>3</v>
      </c>
      <c r="K12" s="1241">
        <v>2</v>
      </c>
      <c r="L12" s="1293">
        <v>3</v>
      </c>
      <c r="M12" s="1863"/>
    </row>
    <row r="13" spans="1:13" ht="13">
      <c r="A13" s="1863"/>
      <c r="B13" s="1860"/>
      <c r="C13" s="1279" t="s">
        <v>751</v>
      </c>
      <c r="D13" s="1280">
        <v>2</v>
      </c>
      <c r="E13" s="1280">
        <v>2</v>
      </c>
      <c r="F13" s="1280">
        <v>1</v>
      </c>
      <c r="G13" s="1242">
        <v>4</v>
      </c>
      <c r="H13" s="1242">
        <v>4</v>
      </c>
      <c r="I13" s="1242">
        <v>4</v>
      </c>
      <c r="J13" s="1242">
        <v>2</v>
      </c>
      <c r="K13" s="1242">
        <v>4</v>
      </c>
      <c r="L13" s="1293">
        <v>2</v>
      </c>
      <c r="M13" s="1863"/>
    </row>
    <row r="14" spans="1:13" ht="13">
      <c r="A14" s="1863"/>
      <c r="B14" s="1860"/>
      <c r="C14" s="1281" t="s">
        <v>752</v>
      </c>
      <c r="D14" s="1280">
        <v>1</v>
      </c>
      <c r="E14" s="1282">
        <v>2</v>
      </c>
      <c r="F14" s="1280">
        <v>3</v>
      </c>
      <c r="G14" s="1242">
        <v>4</v>
      </c>
      <c r="H14" s="1242">
        <v>1</v>
      </c>
      <c r="I14" s="1243">
        <v>2</v>
      </c>
      <c r="J14" s="1243">
        <v>2</v>
      </c>
      <c r="K14" s="1242">
        <v>3</v>
      </c>
      <c r="L14" s="1293">
        <v>3</v>
      </c>
      <c r="M14" s="1863"/>
    </row>
    <row r="15" spans="1:13" ht="14" thickBot="1">
      <c r="A15" s="1863"/>
      <c r="B15" s="1861"/>
      <c r="C15" s="1283" t="s">
        <v>753</v>
      </c>
      <c r="D15" s="1284">
        <v>5</v>
      </c>
      <c r="E15" s="1284">
        <v>4</v>
      </c>
      <c r="F15" s="1284">
        <v>5</v>
      </c>
      <c r="G15" s="1275">
        <v>5</v>
      </c>
      <c r="H15" s="1244">
        <v>1</v>
      </c>
      <c r="I15" s="1244">
        <v>4</v>
      </c>
      <c r="J15" s="1244">
        <v>3</v>
      </c>
      <c r="K15" s="1244">
        <v>5</v>
      </c>
      <c r="L15" s="1294">
        <v>2</v>
      </c>
      <c r="M15" s="1863"/>
    </row>
    <row r="16" spans="1:13">
      <c r="A16" s="1863"/>
      <c r="B16" s="1853"/>
      <c r="C16" s="1853"/>
      <c r="D16" s="1853"/>
      <c r="E16" s="1853"/>
      <c r="F16" s="1853"/>
      <c r="G16" s="1853"/>
      <c r="H16" s="1853"/>
      <c r="I16" s="1853"/>
      <c r="J16" s="1853"/>
      <c r="K16" s="1853"/>
      <c r="L16" s="1853"/>
      <c r="M16" s="1863"/>
    </row>
    <row r="17" spans="1:13" s="1274" customFormat="1">
      <c r="A17" s="1863"/>
      <c r="B17" s="1854"/>
      <c r="C17" s="1854"/>
      <c r="D17" s="1854"/>
      <c r="E17" s="1854"/>
      <c r="F17" s="1854"/>
      <c r="G17" s="1854"/>
      <c r="H17" s="1854"/>
      <c r="I17" s="1854"/>
      <c r="J17" s="1854"/>
      <c r="K17" s="1854"/>
      <c r="L17" s="1854"/>
      <c r="M17" s="1863"/>
    </row>
    <row r="18" spans="1:13" s="1274" customFormat="1">
      <c r="A18" s="1863"/>
      <c r="B18" s="1854"/>
      <c r="C18" s="1854"/>
      <c r="D18" s="1854"/>
      <c r="E18" s="1854"/>
      <c r="F18" s="1854"/>
      <c r="G18" s="1854"/>
      <c r="H18" s="1854"/>
      <c r="I18" s="1854"/>
      <c r="J18" s="1854"/>
      <c r="K18" s="1854"/>
      <c r="L18" s="1854"/>
      <c r="M18" s="1863"/>
    </row>
    <row r="19" spans="1:13" ht="13" thickBot="1">
      <c r="A19" s="1863"/>
      <c r="B19" s="1855"/>
      <c r="C19" s="1855"/>
      <c r="D19" s="1855"/>
      <c r="E19" s="1855"/>
      <c r="F19" s="1855"/>
      <c r="G19" s="1855"/>
      <c r="H19" s="1855"/>
      <c r="I19" s="1855"/>
      <c r="J19" s="1855"/>
      <c r="K19" s="1855"/>
      <c r="L19" s="1855"/>
      <c r="M19" s="1863"/>
    </row>
    <row r="20" spans="1:13" ht="13.5" customHeight="1" thickBot="1">
      <c r="A20" s="1863"/>
      <c r="B20" s="1288" t="s">
        <v>815</v>
      </c>
      <c r="C20" s="1295"/>
      <c r="D20" s="1296" t="s">
        <v>811</v>
      </c>
      <c r="E20" s="1296" t="s">
        <v>812</v>
      </c>
      <c r="F20" s="1296" t="s">
        <v>813</v>
      </c>
      <c r="G20" s="1803" t="s">
        <v>891</v>
      </c>
      <c r="H20" s="1803" t="s">
        <v>899</v>
      </c>
      <c r="I20" s="1803" t="s">
        <v>901</v>
      </c>
      <c r="J20" s="1803" t="s">
        <v>910</v>
      </c>
      <c r="K20" s="1803" t="s">
        <v>965</v>
      </c>
      <c r="L20" s="1804" t="s">
        <v>914</v>
      </c>
      <c r="M20" s="1863"/>
    </row>
    <row r="21" spans="1:13" ht="14.25" customHeight="1">
      <c r="A21" s="1863"/>
      <c r="B21" s="1859" t="s">
        <v>816</v>
      </c>
      <c r="C21" s="1285">
        <v>1</v>
      </c>
      <c r="D21" s="1811" t="s">
        <v>807</v>
      </c>
      <c r="E21" s="1811" t="s">
        <v>807</v>
      </c>
      <c r="F21" s="1811" t="s">
        <v>807</v>
      </c>
      <c r="G21" s="1807" t="s">
        <v>807</v>
      </c>
      <c r="H21" s="1807" t="s">
        <v>967</v>
      </c>
      <c r="I21" s="1807" t="s">
        <v>807</v>
      </c>
      <c r="J21" s="1808" t="s">
        <v>966</v>
      </c>
      <c r="K21" s="1807" t="s">
        <v>807</v>
      </c>
      <c r="L21" s="1817" t="s">
        <v>971</v>
      </c>
      <c r="M21" s="1863"/>
    </row>
    <row r="22" spans="1:13" ht="27" customHeight="1">
      <c r="A22" s="1863"/>
      <c r="B22" s="1860"/>
      <c r="C22" s="1286">
        <v>2</v>
      </c>
      <c r="D22" s="1812" t="s">
        <v>808</v>
      </c>
      <c r="E22" s="1812" t="s">
        <v>808</v>
      </c>
      <c r="F22" s="1812" t="s">
        <v>808</v>
      </c>
      <c r="G22" s="1809" t="s">
        <v>808</v>
      </c>
      <c r="H22" s="1789" t="s">
        <v>968</v>
      </c>
      <c r="I22" s="1789" t="s">
        <v>808</v>
      </c>
      <c r="J22" s="1809" t="s">
        <v>809</v>
      </c>
      <c r="K22" s="1789" t="s">
        <v>968</v>
      </c>
      <c r="L22" s="1816" t="s">
        <v>808</v>
      </c>
      <c r="M22" s="1863"/>
    </row>
    <row r="23" spans="1:13" ht="28.5" customHeight="1" thickBot="1">
      <c r="A23" s="1863"/>
      <c r="B23" s="1861"/>
      <c r="C23" s="1287">
        <v>3</v>
      </c>
      <c r="D23" s="1813" t="s">
        <v>809</v>
      </c>
      <c r="E23" s="1813" t="s">
        <v>809</v>
      </c>
      <c r="F23" s="1813" t="s">
        <v>809</v>
      </c>
      <c r="G23" s="1810" t="s">
        <v>966</v>
      </c>
      <c r="H23" s="1805" t="s">
        <v>966</v>
      </c>
      <c r="I23" s="1806" t="s">
        <v>969</v>
      </c>
      <c r="J23" s="1810" t="s">
        <v>970</v>
      </c>
      <c r="K23" s="1806" t="s">
        <v>969</v>
      </c>
      <c r="L23" s="1818" t="s">
        <v>969</v>
      </c>
      <c r="M23" s="1863"/>
    </row>
    <row r="24" spans="1:13">
      <c r="A24" s="1863"/>
      <c r="B24" s="1853"/>
      <c r="C24" s="1853"/>
      <c r="D24" s="1853"/>
      <c r="E24" s="1853"/>
      <c r="F24" s="1853"/>
      <c r="G24" s="1853"/>
      <c r="H24" s="1853"/>
      <c r="I24" s="1853"/>
      <c r="J24" s="1853"/>
      <c r="K24" s="1853"/>
      <c r="L24" s="1853"/>
      <c r="M24" s="1863"/>
    </row>
    <row r="25" spans="1:13">
      <c r="A25" s="1863"/>
      <c r="B25" s="1854"/>
      <c r="C25" s="1854"/>
      <c r="D25" s="1854"/>
      <c r="E25" s="1854"/>
      <c r="F25" s="1854"/>
      <c r="G25" s="1854"/>
      <c r="H25" s="1854"/>
      <c r="I25" s="1854"/>
      <c r="J25" s="1854"/>
      <c r="K25" s="1854"/>
      <c r="L25" s="1854"/>
      <c r="M25" s="1863"/>
    </row>
    <row r="26" spans="1:13" ht="13" thickBot="1">
      <c r="A26" s="1863"/>
      <c r="B26" s="1854"/>
      <c r="C26" s="1854"/>
      <c r="D26" s="1854"/>
      <c r="E26" s="1854"/>
      <c r="F26" s="1854"/>
      <c r="G26" s="1854"/>
      <c r="H26" s="1854"/>
      <c r="I26" s="1854"/>
      <c r="J26" s="1854"/>
      <c r="K26" s="1854"/>
      <c r="L26" s="1854"/>
      <c r="M26" s="1863"/>
    </row>
    <row r="27" spans="1:13">
      <c r="A27" s="1863"/>
      <c r="B27" s="1856" t="s">
        <v>818</v>
      </c>
      <c r="C27" s="1235">
        <v>5</v>
      </c>
      <c r="D27" s="1873" t="s">
        <v>819</v>
      </c>
      <c r="E27" s="1873"/>
      <c r="F27" s="1873"/>
      <c r="G27" s="1873"/>
      <c r="H27" s="1872"/>
      <c r="I27" s="1872"/>
      <c r="J27" s="1872"/>
      <c r="K27" s="1872"/>
      <c r="L27" s="1872"/>
      <c r="M27" s="1863"/>
    </row>
    <row r="28" spans="1:13">
      <c r="A28" s="1863"/>
      <c r="B28" s="1857"/>
      <c r="C28" s="1235">
        <v>4</v>
      </c>
      <c r="D28" s="1873" t="s">
        <v>820</v>
      </c>
      <c r="E28" s="1873"/>
      <c r="F28" s="1873"/>
      <c r="G28" s="1873"/>
      <c r="H28" s="1872"/>
      <c r="I28" s="1872"/>
      <c r="J28" s="1872"/>
      <c r="K28" s="1872"/>
      <c r="L28" s="1872"/>
      <c r="M28" s="1863"/>
    </row>
    <row r="29" spans="1:13">
      <c r="A29" s="1863"/>
      <c r="B29" s="1857"/>
      <c r="C29" s="1235">
        <v>3</v>
      </c>
      <c r="D29" s="1873" t="s">
        <v>821</v>
      </c>
      <c r="E29" s="1873"/>
      <c r="F29" s="1873"/>
      <c r="G29" s="1873"/>
      <c r="H29" s="1872"/>
      <c r="I29" s="1872"/>
      <c r="J29" s="1872"/>
      <c r="K29" s="1872"/>
      <c r="L29" s="1872"/>
      <c r="M29" s="1863"/>
    </row>
    <row r="30" spans="1:13">
      <c r="A30" s="1863"/>
      <c r="B30" s="1857"/>
      <c r="C30" s="1235">
        <v>2</v>
      </c>
      <c r="D30" s="1873" t="s">
        <v>822</v>
      </c>
      <c r="E30" s="1873"/>
      <c r="F30" s="1873"/>
      <c r="G30" s="1873"/>
      <c r="H30" s="1872"/>
      <c r="I30" s="1872"/>
      <c r="J30" s="1872"/>
      <c r="K30" s="1872"/>
      <c r="L30" s="1872"/>
      <c r="M30" s="1863"/>
    </row>
    <row r="31" spans="1:13" ht="13" thickBot="1">
      <c r="A31" s="1863"/>
      <c r="B31" s="1858"/>
      <c r="C31" s="1235">
        <v>1</v>
      </c>
      <c r="D31" s="1300" t="s">
        <v>823</v>
      </c>
      <c r="E31" s="1301"/>
      <c r="F31" s="1301"/>
      <c r="G31" s="1235"/>
      <c r="H31" s="1872"/>
      <c r="I31" s="1872"/>
      <c r="J31" s="1872"/>
      <c r="K31" s="1872"/>
      <c r="L31" s="1872"/>
      <c r="M31" s="1863"/>
    </row>
    <row r="32" spans="1:13">
      <c r="A32" s="1854"/>
      <c r="B32" s="1854"/>
      <c r="C32" s="1854"/>
      <c r="D32" s="1854"/>
      <c r="E32" s="1854"/>
      <c r="F32" s="1854"/>
      <c r="G32" s="1854"/>
      <c r="H32" s="1854"/>
      <c r="I32" s="1854"/>
      <c r="J32" s="1854"/>
      <c r="K32" s="1854"/>
      <c r="L32" s="1854"/>
      <c r="M32" s="1863"/>
    </row>
    <row r="33" spans="1:13">
      <c r="A33" s="1854"/>
      <c r="B33" s="1854"/>
      <c r="C33" s="1854"/>
      <c r="D33" s="1854"/>
      <c r="E33" s="1854"/>
      <c r="F33" s="1854"/>
      <c r="G33" s="1854"/>
      <c r="H33" s="1854"/>
      <c r="I33" s="1854"/>
      <c r="J33" s="1854"/>
      <c r="K33" s="1854"/>
      <c r="L33" s="1854"/>
      <c r="M33" s="1863"/>
    </row>
    <row r="34" spans="1:13">
      <c r="A34" s="1854"/>
      <c r="B34" s="1854"/>
      <c r="C34" s="1854"/>
      <c r="D34" s="1854"/>
      <c r="E34" s="1854"/>
      <c r="F34" s="1854"/>
      <c r="G34" s="1854"/>
      <c r="H34" s="1854"/>
      <c r="I34" s="1854"/>
      <c r="J34" s="1854"/>
      <c r="K34" s="1854"/>
      <c r="L34" s="1854"/>
      <c r="M34" s="1863"/>
    </row>
    <row r="35" spans="1:13">
      <c r="A35" s="1854"/>
      <c r="B35" s="1854"/>
      <c r="C35" s="1854"/>
      <c r="D35" s="1854"/>
      <c r="E35" s="1854"/>
      <c r="F35" s="1854"/>
      <c r="G35" s="1854"/>
      <c r="H35" s="1854"/>
      <c r="I35" s="1854"/>
      <c r="J35" s="1854"/>
      <c r="K35" s="1854"/>
      <c r="L35" s="1854"/>
      <c r="M35" s="1863"/>
    </row>
    <row r="36" spans="1:13">
      <c r="A36" s="1854"/>
      <c r="B36" s="1854"/>
      <c r="C36" s="1854"/>
      <c r="D36" s="1854"/>
      <c r="E36" s="1854"/>
      <c r="F36" s="1854"/>
      <c r="G36" s="1854"/>
      <c r="H36" s="1854"/>
      <c r="I36" s="1854"/>
      <c r="J36" s="1854"/>
      <c r="K36" s="1854"/>
      <c r="L36" s="1854"/>
      <c r="M36" s="1863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88" t="s">
        <v>754</v>
      </c>
    </row>
    <row r="2" spans="1:11" ht="16" thickBot="1">
      <c r="B2" s="1874" t="s">
        <v>950</v>
      </c>
      <c r="C2" s="1875"/>
      <c r="D2" s="1876"/>
      <c r="E2" s="1874" t="s">
        <v>951</v>
      </c>
      <c r="F2" s="1875"/>
      <c r="G2" s="1875"/>
      <c r="H2" s="1875"/>
      <c r="I2" s="1875"/>
      <c r="J2" s="1876"/>
    </row>
    <row r="3" spans="1:11" ht="13" thickBot="1">
      <c r="A3" s="1230" t="s">
        <v>758</v>
      </c>
      <c r="B3" s="1787" t="s">
        <v>932</v>
      </c>
      <c r="C3" s="1787" t="s">
        <v>933</v>
      </c>
      <c r="D3" s="1787" t="s">
        <v>934</v>
      </c>
      <c r="E3" s="1787" t="s">
        <v>935</v>
      </c>
      <c r="F3" s="1787" t="s">
        <v>936</v>
      </c>
      <c r="G3" s="1787" t="s">
        <v>931</v>
      </c>
      <c r="H3" s="1787" t="s">
        <v>937</v>
      </c>
      <c r="I3" s="1787" t="s">
        <v>939</v>
      </c>
      <c r="J3" s="1787" t="s">
        <v>938</v>
      </c>
      <c r="K3" s="1231"/>
    </row>
    <row r="4" spans="1:11" ht="13" thickBot="1">
      <c r="A4" s="1248" t="s">
        <v>755</v>
      </c>
      <c r="B4" s="1249"/>
      <c r="C4" s="1249"/>
      <c r="D4" s="1249"/>
      <c r="E4" s="1249"/>
      <c r="F4" s="1249"/>
      <c r="G4" s="1249"/>
      <c r="H4" s="1249"/>
      <c r="I4" s="1249"/>
      <c r="J4" s="1249"/>
      <c r="K4" s="1249"/>
    </row>
    <row r="5" spans="1:11">
      <c r="A5" s="1232"/>
      <c r="B5" s="1250"/>
      <c r="C5" s="1250"/>
      <c r="D5" s="1250"/>
      <c r="E5" s="1250"/>
      <c r="F5" s="1250"/>
      <c r="G5" s="1250"/>
      <c r="H5" s="1250"/>
      <c r="I5" s="1250"/>
      <c r="J5" s="1250"/>
      <c r="K5" s="1250"/>
    </row>
    <row r="6" spans="1:11">
      <c r="A6" s="1233"/>
      <c r="B6" s="1239"/>
      <c r="C6" s="1239"/>
      <c r="D6" s="1234"/>
      <c r="E6" s="1234"/>
      <c r="F6" s="1234"/>
      <c r="G6" s="1235"/>
      <c r="H6" s="1235"/>
      <c r="I6" s="1234"/>
      <c r="J6" s="1235"/>
      <c r="K6" s="1234"/>
    </row>
    <row r="7" spans="1:11">
      <c r="A7" s="1233"/>
      <c r="B7" s="1234"/>
      <c r="C7" s="1234"/>
      <c r="D7" s="1234"/>
      <c r="E7" s="1234"/>
      <c r="F7" s="1234"/>
      <c r="G7" s="1235"/>
      <c r="H7" s="1235"/>
      <c r="I7" s="1234"/>
      <c r="J7" s="1235"/>
      <c r="K7" s="1234"/>
    </row>
    <row r="8" spans="1:11">
      <c r="A8" s="1233"/>
      <c r="B8" s="1234"/>
      <c r="C8" s="1235"/>
      <c r="D8" s="1234"/>
      <c r="E8" s="1234"/>
      <c r="F8" s="1234"/>
      <c r="G8" s="1235"/>
      <c r="H8" s="1235"/>
      <c r="I8" s="1235"/>
      <c r="J8" s="1235"/>
      <c r="K8" s="1235"/>
    </row>
    <row r="9" spans="1:11">
      <c r="A9" s="1233"/>
      <c r="B9" s="1234"/>
      <c r="C9" s="1235"/>
      <c r="D9" s="1234"/>
      <c r="E9" s="1234"/>
      <c r="F9" s="1235"/>
      <c r="G9" s="1235"/>
      <c r="H9" s="1234"/>
      <c r="I9" s="1235"/>
      <c r="J9" s="1234"/>
      <c r="K9" s="1235"/>
    </row>
    <row r="10" spans="1:11">
      <c r="A10" s="1251"/>
      <c r="B10" s="1252"/>
      <c r="C10" s="1253"/>
      <c r="D10" s="1252"/>
      <c r="E10" s="1252"/>
      <c r="F10" s="1253"/>
      <c r="G10" s="1253"/>
      <c r="H10" s="1253"/>
      <c r="I10" s="1253"/>
      <c r="J10" s="1253"/>
      <c r="K10" s="1253"/>
    </row>
    <row r="11" spans="1:11" ht="13" thickBot="1">
      <c r="A11" s="1236"/>
      <c r="B11" s="1238"/>
      <c r="C11" s="1238"/>
      <c r="D11" s="1237"/>
      <c r="E11" s="1237"/>
      <c r="F11" s="1238"/>
      <c r="G11" s="1238"/>
      <c r="H11" s="1238"/>
      <c r="I11" s="1238"/>
      <c r="J11" s="1238"/>
      <c r="K11" s="1238"/>
    </row>
    <row r="12" spans="1:11" ht="13" thickBot="1">
      <c r="A12" s="1248" t="s">
        <v>756</v>
      </c>
      <c r="B12" s="1778"/>
      <c r="C12" s="1778"/>
      <c r="D12" s="1778"/>
      <c r="E12" s="1778"/>
      <c r="F12" s="1778"/>
      <c r="G12" s="1778"/>
      <c r="H12" s="1778"/>
      <c r="I12" s="1778"/>
      <c r="J12" s="1778"/>
      <c r="K12" s="1778"/>
    </row>
    <row r="13" spans="1:11" ht="24">
      <c r="A13" s="1233"/>
      <c r="B13" s="1778" t="s">
        <v>955</v>
      </c>
      <c r="C13" s="1778" t="s">
        <v>955</v>
      </c>
      <c r="D13" s="1778" t="s">
        <v>955</v>
      </c>
      <c r="E13" s="1778" t="s">
        <v>955</v>
      </c>
      <c r="F13" s="1778" t="s">
        <v>955</v>
      </c>
      <c r="G13" s="1778" t="s">
        <v>955</v>
      </c>
      <c r="H13" s="1778" t="s">
        <v>955</v>
      </c>
      <c r="I13" s="1778" t="s">
        <v>955</v>
      </c>
      <c r="J13" s="1778" t="s">
        <v>955</v>
      </c>
      <c r="K13" s="1234"/>
    </row>
    <row r="14" spans="1:11" ht="27.75" customHeight="1">
      <c r="A14" s="1254"/>
      <c r="B14" s="1777" t="s">
        <v>956</v>
      </c>
      <c r="C14" s="1777" t="s">
        <v>956</v>
      </c>
      <c r="D14" s="1777" t="s">
        <v>956</v>
      </c>
      <c r="E14" s="1777" t="s">
        <v>956</v>
      </c>
      <c r="F14" s="1777" t="s">
        <v>956</v>
      </c>
      <c r="G14" s="1777" t="s">
        <v>956</v>
      </c>
      <c r="H14" s="1777" t="s">
        <v>956</v>
      </c>
      <c r="I14" s="1777" t="s">
        <v>956</v>
      </c>
      <c r="J14" s="1777" t="s">
        <v>956</v>
      </c>
      <c r="K14" s="1235"/>
    </row>
    <row r="15" spans="1:11" ht="27.75" customHeight="1">
      <c r="A15" s="1233"/>
      <c r="B15" s="1798" t="s">
        <v>954</v>
      </c>
      <c r="C15" s="1798" t="s">
        <v>954</v>
      </c>
      <c r="D15" s="1798" t="s">
        <v>954</v>
      </c>
      <c r="E15" s="1798" t="s">
        <v>954</v>
      </c>
      <c r="F15" s="1798" t="s">
        <v>954</v>
      </c>
      <c r="G15" s="1798" t="s">
        <v>954</v>
      </c>
      <c r="H15" s="1798" t="s">
        <v>954</v>
      </c>
      <c r="I15" s="1798" t="s">
        <v>954</v>
      </c>
      <c r="J15" s="1798" t="s">
        <v>954</v>
      </c>
      <c r="K15" s="1234"/>
    </row>
    <row r="16" spans="1:11" ht="24">
      <c r="A16" s="1233"/>
      <c r="B16" s="1799" t="s">
        <v>959</v>
      </c>
      <c r="C16" s="1799" t="s">
        <v>959</v>
      </c>
      <c r="D16" s="1799" t="s">
        <v>959</v>
      </c>
      <c r="E16" s="1799" t="s">
        <v>959</v>
      </c>
      <c r="F16" s="1799" t="s">
        <v>959</v>
      </c>
      <c r="G16" s="1799" t="s">
        <v>959</v>
      </c>
      <c r="H16" s="1799" t="s">
        <v>959</v>
      </c>
      <c r="I16" s="1799" t="s">
        <v>959</v>
      </c>
      <c r="J16" s="1799" t="s">
        <v>959</v>
      </c>
      <c r="K16" s="1234"/>
    </row>
    <row r="17" spans="1:11" ht="24">
      <c r="A17" s="1233"/>
      <c r="B17" s="1799" t="s">
        <v>961</v>
      </c>
      <c r="C17" s="1799" t="s">
        <v>961</v>
      </c>
      <c r="D17" s="1799" t="s">
        <v>961</v>
      </c>
      <c r="E17" s="1799" t="s">
        <v>961</v>
      </c>
      <c r="F17" s="1799" t="s">
        <v>961</v>
      </c>
      <c r="G17" s="1799" t="s">
        <v>961</v>
      </c>
      <c r="H17" s="1799" t="s">
        <v>961</v>
      </c>
      <c r="I17" s="1799" t="s">
        <v>961</v>
      </c>
      <c r="J17" s="1799" t="s">
        <v>961</v>
      </c>
      <c r="K17" s="1234"/>
    </row>
    <row r="18" spans="1:11" ht="24">
      <c r="A18" s="1233"/>
      <c r="B18" s="1799" t="s">
        <v>962</v>
      </c>
      <c r="C18" s="1799" t="s">
        <v>962</v>
      </c>
      <c r="D18" s="1799" t="s">
        <v>962</v>
      </c>
      <c r="E18" s="1799" t="s">
        <v>962</v>
      </c>
      <c r="F18" s="1799" t="s">
        <v>962</v>
      </c>
      <c r="G18" s="1799" t="s">
        <v>962</v>
      </c>
      <c r="H18" s="1799" t="s">
        <v>962</v>
      </c>
      <c r="I18" s="1799" t="s">
        <v>962</v>
      </c>
      <c r="J18" s="1799" t="s">
        <v>962</v>
      </c>
      <c r="K18" s="1234"/>
    </row>
    <row r="19" spans="1:11" ht="30.75" customHeight="1" thickBot="1">
      <c r="A19" s="1236"/>
      <c r="B19" s="1801" t="s">
        <v>964</v>
      </c>
      <c r="C19" s="1801" t="s">
        <v>964</v>
      </c>
      <c r="D19" s="1801" t="s">
        <v>964</v>
      </c>
      <c r="E19" s="1801" t="s">
        <v>964</v>
      </c>
      <c r="F19" s="1801" t="s">
        <v>964</v>
      </c>
      <c r="G19" s="1801" t="s">
        <v>964</v>
      </c>
      <c r="H19" s="1801" t="s">
        <v>964</v>
      </c>
      <c r="I19" s="1801" t="s">
        <v>964</v>
      </c>
      <c r="J19" s="1801" t="s">
        <v>964</v>
      </c>
      <c r="K19" s="1238"/>
    </row>
    <row r="20" spans="1:11" ht="13" thickBot="1">
      <c r="A20" s="1248" t="s">
        <v>35</v>
      </c>
      <c r="B20" s="1249"/>
      <c r="C20" s="1249"/>
      <c r="D20" s="1249"/>
      <c r="E20" s="1249"/>
      <c r="F20" s="1249"/>
      <c r="G20" s="1249"/>
      <c r="H20" s="1249"/>
      <c r="I20" s="1249"/>
      <c r="J20" s="1249"/>
      <c r="K20" s="1249"/>
    </row>
    <row r="21" spans="1:11" ht="24">
      <c r="A21" s="1232"/>
      <c r="B21" s="1778" t="s">
        <v>955</v>
      </c>
      <c r="C21" s="1778" t="s">
        <v>955</v>
      </c>
      <c r="D21" s="1778" t="s">
        <v>955</v>
      </c>
      <c r="E21" s="1778" t="s">
        <v>955</v>
      </c>
      <c r="F21" s="1778" t="s">
        <v>955</v>
      </c>
      <c r="G21" s="1778" t="s">
        <v>955</v>
      </c>
      <c r="H21" s="1778" t="s">
        <v>955</v>
      </c>
      <c r="I21" s="1778" t="s">
        <v>955</v>
      </c>
      <c r="J21" s="1778" t="s">
        <v>955</v>
      </c>
      <c r="K21" s="1250"/>
    </row>
    <row r="22" spans="1:11" ht="24">
      <c r="A22" s="1254"/>
      <c r="B22" s="1777" t="s">
        <v>956</v>
      </c>
      <c r="C22" s="1777" t="s">
        <v>956</v>
      </c>
      <c r="D22" s="1777" t="s">
        <v>956</v>
      </c>
      <c r="E22" s="1777" t="s">
        <v>956</v>
      </c>
      <c r="F22" s="1777" t="s">
        <v>956</v>
      </c>
      <c r="G22" s="1777" t="s">
        <v>956</v>
      </c>
      <c r="H22" s="1777" t="s">
        <v>956</v>
      </c>
      <c r="I22" s="1777" t="s">
        <v>956</v>
      </c>
      <c r="J22" s="1777" t="s">
        <v>956</v>
      </c>
      <c r="K22" s="1234"/>
    </row>
    <row r="23" spans="1:11" ht="27.75" customHeight="1">
      <c r="A23" s="1233"/>
      <c r="B23" s="1798" t="s">
        <v>954</v>
      </c>
      <c r="C23" s="1798" t="s">
        <v>954</v>
      </c>
      <c r="D23" s="1798" t="s">
        <v>954</v>
      </c>
      <c r="E23" s="1798" t="s">
        <v>954</v>
      </c>
      <c r="F23" s="1798" t="s">
        <v>954</v>
      </c>
      <c r="G23" s="1798" t="s">
        <v>954</v>
      </c>
      <c r="H23" s="1798" t="s">
        <v>954</v>
      </c>
      <c r="I23" s="1798" t="s">
        <v>954</v>
      </c>
      <c r="J23" s="1798" t="s">
        <v>954</v>
      </c>
      <c r="K23" s="1234"/>
    </row>
    <row r="24" spans="1:11" ht="24">
      <c r="A24" s="1233"/>
      <c r="B24" s="1799" t="s">
        <v>959</v>
      </c>
      <c r="C24" s="1799" t="s">
        <v>959</v>
      </c>
      <c r="D24" s="1799" t="s">
        <v>959</v>
      </c>
      <c r="E24" s="1799" t="s">
        <v>959</v>
      </c>
      <c r="F24" s="1799" t="s">
        <v>959</v>
      </c>
      <c r="G24" s="1799" t="s">
        <v>959</v>
      </c>
      <c r="H24" s="1799" t="s">
        <v>959</v>
      </c>
      <c r="I24" s="1799" t="s">
        <v>959</v>
      </c>
      <c r="J24" s="1799" t="s">
        <v>959</v>
      </c>
      <c r="K24" s="1235"/>
    </row>
    <row r="25" spans="1:11" ht="24">
      <c r="A25" s="1233"/>
      <c r="B25" s="1799" t="s">
        <v>961</v>
      </c>
      <c r="C25" s="1799" t="s">
        <v>961</v>
      </c>
      <c r="D25" s="1799" t="s">
        <v>961</v>
      </c>
      <c r="E25" s="1799" t="s">
        <v>961</v>
      </c>
      <c r="F25" s="1799" t="s">
        <v>961</v>
      </c>
      <c r="G25" s="1799" t="s">
        <v>961</v>
      </c>
      <c r="H25" s="1799" t="s">
        <v>961</v>
      </c>
      <c r="I25" s="1799" t="s">
        <v>961</v>
      </c>
      <c r="J25" s="1799" t="s">
        <v>961</v>
      </c>
      <c r="K25" s="1234"/>
    </row>
    <row r="26" spans="1:11" ht="24">
      <c r="A26" s="1233"/>
      <c r="B26" s="1799" t="s">
        <v>962</v>
      </c>
      <c r="C26" s="1799" t="s">
        <v>962</v>
      </c>
      <c r="D26" s="1799" t="s">
        <v>962</v>
      </c>
      <c r="E26" s="1799" t="s">
        <v>962</v>
      </c>
      <c r="F26" s="1799" t="s">
        <v>962</v>
      </c>
      <c r="G26" s="1799" t="s">
        <v>962</v>
      </c>
      <c r="H26" s="1799" t="s">
        <v>962</v>
      </c>
      <c r="I26" s="1799" t="s">
        <v>962</v>
      </c>
      <c r="J26" s="1799" t="s">
        <v>962</v>
      </c>
      <c r="K26" s="1235"/>
    </row>
    <row r="27" spans="1:11" ht="31.5" customHeight="1" thickBot="1">
      <c r="A27" s="1236"/>
      <c r="B27" s="1801" t="s">
        <v>964</v>
      </c>
      <c r="C27" s="1801" t="s">
        <v>964</v>
      </c>
      <c r="D27" s="1801" t="s">
        <v>964</v>
      </c>
      <c r="E27" s="1801" t="s">
        <v>964</v>
      </c>
      <c r="F27" s="1801" t="s">
        <v>964</v>
      </c>
      <c r="G27" s="1801" t="s">
        <v>964</v>
      </c>
      <c r="H27" s="1801" t="s">
        <v>964</v>
      </c>
      <c r="I27" s="1801" t="s">
        <v>964</v>
      </c>
      <c r="J27" s="1801" t="s">
        <v>964</v>
      </c>
      <c r="K27" s="1238"/>
    </row>
    <row r="28" spans="1:11" ht="13" thickBot="1">
      <c r="A28" s="1248" t="s">
        <v>36</v>
      </c>
      <c r="B28" s="1249"/>
      <c r="C28" s="1249"/>
      <c r="D28" s="1249"/>
      <c r="E28" s="1249"/>
      <c r="F28" s="1249"/>
      <c r="G28" s="1249"/>
      <c r="H28" s="1249"/>
      <c r="I28" s="1249"/>
      <c r="J28" s="1249"/>
      <c r="K28" s="1249"/>
    </row>
    <row r="29" spans="1:11" ht="24">
      <c r="A29" s="1232"/>
      <c r="B29" s="1778" t="s">
        <v>957</v>
      </c>
      <c r="C29" s="1778" t="s">
        <v>957</v>
      </c>
      <c r="D29" s="1778" t="s">
        <v>957</v>
      </c>
      <c r="E29" s="1778" t="s">
        <v>957</v>
      </c>
      <c r="F29" s="1778" t="s">
        <v>957</v>
      </c>
      <c r="G29" s="1778" t="s">
        <v>957</v>
      </c>
      <c r="H29" s="1778" t="s">
        <v>957</v>
      </c>
      <c r="I29" s="1778" t="s">
        <v>957</v>
      </c>
      <c r="J29" s="1778" t="s">
        <v>957</v>
      </c>
      <c r="K29" s="1250"/>
    </row>
    <row r="30" spans="1:11" ht="36">
      <c r="A30" s="1233"/>
      <c r="B30" s="1797" t="s">
        <v>958</v>
      </c>
      <c r="C30" s="1797" t="s">
        <v>958</v>
      </c>
      <c r="D30" s="1797" t="s">
        <v>958</v>
      </c>
      <c r="E30" s="1797" t="s">
        <v>958</v>
      </c>
      <c r="F30" s="1797" t="s">
        <v>958</v>
      </c>
      <c r="G30" s="1797" t="s">
        <v>958</v>
      </c>
      <c r="H30" s="1797" t="s">
        <v>958</v>
      </c>
      <c r="I30" s="1797" t="s">
        <v>958</v>
      </c>
      <c r="J30" s="1797" t="s">
        <v>958</v>
      </c>
      <c r="K30" s="1234"/>
    </row>
    <row r="31" spans="1:11" ht="36">
      <c r="A31" s="1233"/>
      <c r="B31" s="1797" t="s">
        <v>960</v>
      </c>
      <c r="C31" s="1797" t="s">
        <v>960</v>
      </c>
      <c r="D31" s="1797" t="s">
        <v>960</v>
      </c>
      <c r="E31" s="1797" t="s">
        <v>960</v>
      </c>
      <c r="F31" s="1797" t="s">
        <v>960</v>
      </c>
      <c r="G31" s="1797" t="s">
        <v>960</v>
      </c>
      <c r="H31" s="1797" t="s">
        <v>960</v>
      </c>
      <c r="I31" s="1797" t="s">
        <v>960</v>
      </c>
      <c r="J31" s="1797" t="s">
        <v>960</v>
      </c>
      <c r="K31" s="1234"/>
    </row>
    <row r="32" spans="1:11" ht="24">
      <c r="A32" s="1233"/>
      <c r="B32" s="1799" t="s">
        <v>962</v>
      </c>
      <c r="C32" s="1799" t="s">
        <v>962</v>
      </c>
      <c r="D32" s="1799" t="s">
        <v>962</v>
      </c>
      <c r="E32" s="1799" t="s">
        <v>962</v>
      </c>
      <c r="F32" s="1799" t="s">
        <v>962</v>
      </c>
      <c r="G32" s="1799" t="s">
        <v>962</v>
      </c>
      <c r="H32" s="1799" t="s">
        <v>962</v>
      </c>
      <c r="I32" s="1799" t="s">
        <v>962</v>
      </c>
      <c r="J32" s="1799" t="s">
        <v>962</v>
      </c>
      <c r="K32" s="1234"/>
    </row>
    <row r="33" spans="1:11" ht="48">
      <c r="A33" s="1233"/>
      <c r="B33" s="1782" t="s">
        <v>963</v>
      </c>
      <c r="C33" s="1782" t="s">
        <v>963</v>
      </c>
      <c r="D33" s="1782" t="s">
        <v>963</v>
      </c>
      <c r="E33" s="1782" t="s">
        <v>963</v>
      </c>
      <c r="F33" s="1782" t="s">
        <v>963</v>
      </c>
      <c r="G33" s="1782" t="s">
        <v>963</v>
      </c>
      <c r="H33" s="1782" t="s">
        <v>963</v>
      </c>
      <c r="I33" s="1782" t="s">
        <v>963</v>
      </c>
      <c r="J33" s="1782" t="s">
        <v>963</v>
      </c>
      <c r="K33" s="1234"/>
    </row>
    <row r="34" spans="1:11">
      <c r="A34" s="1233"/>
      <c r="B34" s="1235"/>
      <c r="C34" s="1234"/>
      <c r="D34" s="1235"/>
      <c r="E34" s="1234"/>
      <c r="F34" s="1235"/>
      <c r="G34" s="1235"/>
      <c r="H34" s="1235"/>
      <c r="I34" s="1234"/>
      <c r="J34" s="1235"/>
      <c r="K34" s="1234"/>
    </row>
    <row r="35" spans="1:11" ht="13" thickBot="1">
      <c r="A35" s="1236"/>
      <c r="B35" s="1238"/>
      <c r="C35" s="1237"/>
      <c r="D35" s="1238"/>
      <c r="E35" s="1238"/>
      <c r="F35" s="1238"/>
      <c r="G35" s="1238"/>
      <c r="H35" s="1238"/>
      <c r="I35" s="1238"/>
      <c r="J35" s="1238"/>
      <c r="K35" s="1238"/>
    </row>
    <row r="36" spans="1:11" ht="13" thickBot="1">
      <c r="A36" s="1248" t="s">
        <v>757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</row>
    <row r="37" spans="1:11" ht="29.25" customHeight="1">
      <c r="A37" s="1232"/>
      <c r="B37" s="1778" t="s">
        <v>957</v>
      </c>
      <c r="C37" s="1778" t="s">
        <v>957</v>
      </c>
      <c r="D37" s="1778" t="s">
        <v>957</v>
      </c>
      <c r="E37" s="1778" t="s">
        <v>957</v>
      </c>
      <c r="F37" s="1778" t="s">
        <v>957</v>
      </c>
      <c r="G37" s="1778" t="s">
        <v>957</v>
      </c>
      <c r="H37" s="1778" t="s">
        <v>957</v>
      </c>
      <c r="I37" s="1778" t="s">
        <v>957</v>
      </c>
      <c r="J37" s="1778" t="s">
        <v>957</v>
      </c>
      <c r="K37" s="1250"/>
    </row>
    <row r="38" spans="1:11" ht="36">
      <c r="A38" s="1233"/>
      <c r="B38" s="1797" t="s">
        <v>958</v>
      </c>
      <c r="C38" s="1797" t="s">
        <v>958</v>
      </c>
      <c r="D38" s="1797" t="s">
        <v>958</v>
      </c>
      <c r="E38" s="1797" t="s">
        <v>958</v>
      </c>
      <c r="F38" s="1797" t="s">
        <v>958</v>
      </c>
      <c r="G38" s="1797" t="s">
        <v>958</v>
      </c>
      <c r="H38" s="1797" t="s">
        <v>958</v>
      </c>
      <c r="I38" s="1797" t="s">
        <v>958</v>
      </c>
      <c r="J38" s="1797" t="s">
        <v>958</v>
      </c>
      <c r="K38" s="1234"/>
    </row>
    <row r="39" spans="1:11" ht="36">
      <c r="A39" s="1233"/>
      <c r="B39" s="1797" t="s">
        <v>960</v>
      </c>
      <c r="C39" s="1797" t="s">
        <v>960</v>
      </c>
      <c r="D39" s="1797" t="s">
        <v>960</v>
      </c>
      <c r="E39" s="1797" t="s">
        <v>960</v>
      </c>
      <c r="F39" s="1797" t="s">
        <v>960</v>
      </c>
      <c r="G39" s="1797" t="s">
        <v>960</v>
      </c>
      <c r="H39" s="1797" t="s">
        <v>960</v>
      </c>
      <c r="I39" s="1797" t="s">
        <v>960</v>
      </c>
      <c r="J39" s="1797" t="s">
        <v>960</v>
      </c>
      <c r="K39" s="1234"/>
    </row>
    <row r="40" spans="1:11" ht="24">
      <c r="A40" s="1233"/>
      <c r="B40" s="1799" t="s">
        <v>962</v>
      </c>
      <c r="C40" s="1799" t="s">
        <v>962</v>
      </c>
      <c r="D40" s="1799" t="s">
        <v>962</v>
      </c>
      <c r="E40" s="1799" t="s">
        <v>962</v>
      </c>
      <c r="F40" s="1799" t="s">
        <v>962</v>
      </c>
      <c r="G40" s="1799" t="s">
        <v>962</v>
      </c>
      <c r="H40" s="1799" t="s">
        <v>962</v>
      </c>
      <c r="I40" s="1799" t="s">
        <v>962</v>
      </c>
      <c r="J40" s="1799" t="s">
        <v>962</v>
      </c>
      <c r="K40" s="1234"/>
    </row>
    <row r="41" spans="1:11" ht="48">
      <c r="A41" s="1233"/>
      <c r="B41" s="1782" t="s">
        <v>963</v>
      </c>
      <c r="C41" s="1782" t="s">
        <v>963</v>
      </c>
      <c r="D41" s="1782" t="s">
        <v>963</v>
      </c>
      <c r="E41" s="1782" t="s">
        <v>963</v>
      </c>
      <c r="F41" s="1782" t="s">
        <v>963</v>
      </c>
      <c r="G41" s="1782" t="s">
        <v>963</v>
      </c>
      <c r="H41" s="1782" t="s">
        <v>963</v>
      </c>
      <c r="I41" s="1782" t="s">
        <v>963</v>
      </c>
      <c r="J41" s="1782" t="s">
        <v>963</v>
      </c>
      <c r="K41" s="1234"/>
    </row>
    <row r="42" spans="1:11">
      <c r="A42" s="1251"/>
      <c r="B42" s="1253"/>
      <c r="C42" s="1252"/>
      <c r="D42" s="1253"/>
      <c r="E42" s="1252"/>
      <c r="F42" s="1253"/>
      <c r="G42" s="1253"/>
      <c r="H42" s="1252"/>
      <c r="I42" s="1252"/>
      <c r="J42" s="1252"/>
      <c r="K42" s="1252"/>
    </row>
    <row r="43" spans="1:11" ht="13" thickBot="1">
      <c r="A43" s="1236"/>
      <c r="B43" s="1238"/>
      <c r="C43" s="1237"/>
      <c r="D43" s="1238"/>
      <c r="E43" s="1237"/>
      <c r="F43" s="1238"/>
      <c r="G43" s="1238"/>
      <c r="H43" s="1237"/>
      <c r="I43" s="1237"/>
      <c r="J43" s="1237"/>
      <c r="K43" s="1237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7" t="s">
        <v>759</v>
      </c>
    </row>
    <row r="2" spans="1:11" s="1774" customFormat="1" ht="13">
      <c r="A2" s="1247"/>
    </row>
    <row r="3" spans="1:11" ht="16" thickBot="1">
      <c r="B3" s="1874" t="s">
        <v>950</v>
      </c>
      <c r="C3" s="1875"/>
      <c r="D3" s="1876"/>
      <c r="E3" s="1874" t="s">
        <v>951</v>
      </c>
      <c r="F3" s="1875"/>
      <c r="G3" s="1875"/>
      <c r="H3" s="1875"/>
      <c r="I3" s="1875"/>
      <c r="J3" s="1876"/>
    </row>
    <row r="4" spans="1:11" ht="13" thickBot="1">
      <c r="A4" s="1230" t="s">
        <v>758</v>
      </c>
      <c r="B4" s="1787" t="s">
        <v>932</v>
      </c>
      <c r="C4" s="1787" t="s">
        <v>933</v>
      </c>
      <c r="D4" s="1787" t="s">
        <v>934</v>
      </c>
      <c r="E4" s="1787" t="s">
        <v>935</v>
      </c>
      <c r="F4" s="1787" t="s">
        <v>936</v>
      </c>
      <c r="G4" s="1787" t="s">
        <v>931</v>
      </c>
      <c r="H4" s="1787" t="s">
        <v>937</v>
      </c>
      <c r="I4" s="1787" t="s">
        <v>939</v>
      </c>
      <c r="J4" s="1787" t="s">
        <v>938</v>
      </c>
      <c r="K4" s="1231"/>
    </row>
    <row r="5" spans="1:11" ht="13" thickBot="1">
      <c r="A5" s="1248" t="s">
        <v>755</v>
      </c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775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54"/>
      <c r="B7" s="1245"/>
      <c r="C7" s="1245"/>
      <c r="D7" s="1245"/>
      <c r="E7" s="1245"/>
      <c r="F7" s="1245"/>
      <c r="G7" s="1245"/>
      <c r="H7" s="1245"/>
      <c r="I7" s="1245"/>
      <c r="J7" s="1245"/>
      <c r="K7" s="1245"/>
    </row>
    <row r="8" spans="1:11">
      <c r="A8" s="1233"/>
      <c r="B8" s="1234"/>
      <c r="C8" s="1234"/>
      <c r="D8" s="1234"/>
      <c r="E8" s="1234"/>
      <c r="F8" s="1235"/>
      <c r="G8" s="1245"/>
      <c r="H8" s="1235"/>
      <c r="I8" s="1234"/>
      <c r="J8" s="1235"/>
      <c r="K8" s="1234"/>
    </row>
    <row r="9" spans="1:11">
      <c r="A9" s="1233"/>
      <c r="B9" s="1234"/>
      <c r="C9" s="1234"/>
      <c r="D9" s="1234"/>
      <c r="E9" s="1234"/>
      <c r="F9" s="1253"/>
      <c r="G9" s="1234"/>
      <c r="H9" s="1253"/>
      <c r="I9" s="1252"/>
      <c r="J9" s="1253"/>
      <c r="K9" s="1252"/>
    </row>
    <row r="10" spans="1:11">
      <c r="A10" s="1233"/>
      <c r="B10" s="1234"/>
      <c r="C10" s="1234"/>
      <c r="D10" s="1234"/>
      <c r="E10" s="1234"/>
      <c r="F10" s="1234"/>
      <c r="G10" s="1235"/>
      <c r="H10" s="1234"/>
      <c r="I10" s="1252"/>
      <c r="J10" s="1234"/>
      <c r="K10" s="1252"/>
    </row>
    <row r="11" spans="1:11">
      <c r="A11" s="1233"/>
      <c r="B11" s="1235"/>
      <c r="C11" s="1235"/>
      <c r="D11" s="1234"/>
      <c r="E11" s="1235"/>
      <c r="F11" s="1234"/>
      <c r="G11" s="1235"/>
      <c r="H11" s="1234"/>
      <c r="I11" s="1235"/>
      <c r="J11" s="1234"/>
      <c r="K11" s="1235"/>
    </row>
    <row r="12" spans="1:11" ht="13" thickBot="1">
      <c r="A12" s="1236"/>
      <c r="B12" s="1238"/>
      <c r="C12" s="1238"/>
      <c r="D12" s="1237"/>
      <c r="E12" s="1238"/>
      <c r="F12" s="1237"/>
      <c r="G12" s="1238"/>
      <c r="H12" s="1238"/>
      <c r="I12" s="1238"/>
      <c r="J12" s="1238"/>
      <c r="K12" s="1238"/>
    </row>
    <row r="13" spans="1:11" ht="13" thickBot="1">
      <c r="A13" s="1248" t="s">
        <v>756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</row>
    <row r="14" spans="1:11" ht="24">
      <c r="A14" s="1232"/>
      <c r="B14" s="1780" t="s">
        <v>942</v>
      </c>
      <c r="C14" s="1780" t="s">
        <v>942</v>
      </c>
      <c r="D14" s="1780" t="s">
        <v>942</v>
      </c>
      <c r="E14" s="1780" t="s">
        <v>942</v>
      </c>
      <c r="F14" s="1780" t="s">
        <v>942</v>
      </c>
      <c r="G14" s="1780" t="s">
        <v>942</v>
      </c>
      <c r="H14" s="1780" t="s">
        <v>942</v>
      </c>
      <c r="I14" s="1780" t="s">
        <v>942</v>
      </c>
      <c r="J14" s="1780" t="s">
        <v>942</v>
      </c>
      <c r="K14" s="1250"/>
    </row>
    <row r="15" spans="1:11" ht="36">
      <c r="A15" s="1254"/>
      <c r="B15" s="1777" t="s">
        <v>943</v>
      </c>
      <c r="C15" s="1777" t="s">
        <v>943</v>
      </c>
      <c r="D15" s="1777" t="s">
        <v>943</v>
      </c>
      <c r="E15" s="1777" t="s">
        <v>943</v>
      </c>
      <c r="F15" s="1777" t="s">
        <v>943</v>
      </c>
      <c r="G15" s="1777" t="s">
        <v>943</v>
      </c>
      <c r="H15" s="1777" t="s">
        <v>943</v>
      </c>
      <c r="I15" s="1777" t="s">
        <v>943</v>
      </c>
      <c r="J15" s="1777" t="s">
        <v>943</v>
      </c>
      <c r="K15" s="1245"/>
    </row>
    <row r="16" spans="1:11" ht="36">
      <c r="A16" s="1233"/>
      <c r="B16" s="1782" t="s">
        <v>944</v>
      </c>
      <c r="C16" s="1782" t="s">
        <v>944</v>
      </c>
      <c r="D16" s="1782" t="s">
        <v>944</v>
      </c>
      <c r="E16" s="1782" t="s">
        <v>944</v>
      </c>
      <c r="F16" s="1782" t="s">
        <v>944</v>
      </c>
      <c r="G16" s="1782" t="s">
        <v>944</v>
      </c>
      <c r="H16" s="1782" t="s">
        <v>944</v>
      </c>
      <c r="I16" s="1782" t="s">
        <v>944</v>
      </c>
      <c r="J16" s="1782" t="s">
        <v>944</v>
      </c>
      <c r="K16" s="1234"/>
    </row>
    <row r="17" spans="1:11">
      <c r="A17" s="1233"/>
      <c r="B17" s="1781" t="s">
        <v>945</v>
      </c>
      <c r="C17" s="1781" t="s">
        <v>945</v>
      </c>
      <c r="D17" s="1781" t="s">
        <v>945</v>
      </c>
      <c r="E17" s="1781" t="s">
        <v>945</v>
      </c>
      <c r="F17" s="1781" t="s">
        <v>945</v>
      </c>
      <c r="G17" s="1781" t="s">
        <v>945</v>
      </c>
      <c r="H17" s="1781" t="s">
        <v>945</v>
      </c>
      <c r="I17" s="1781" t="s">
        <v>945</v>
      </c>
      <c r="J17" s="1781" t="s">
        <v>945</v>
      </c>
      <c r="K17" s="1234"/>
    </row>
    <row r="18" spans="1:11" ht="24">
      <c r="A18" s="1233"/>
      <c r="B18" s="1782" t="s">
        <v>946</v>
      </c>
      <c r="C18" s="1782" t="s">
        <v>946</v>
      </c>
      <c r="D18" s="1782" t="s">
        <v>946</v>
      </c>
      <c r="E18" s="1782" t="s">
        <v>946</v>
      </c>
      <c r="F18" s="1782" t="s">
        <v>946</v>
      </c>
      <c r="G18" s="1782" t="s">
        <v>946</v>
      </c>
      <c r="H18" s="1782" t="s">
        <v>946</v>
      </c>
      <c r="I18" s="1782" t="s">
        <v>946</v>
      </c>
      <c r="J18" s="1782" t="s">
        <v>946</v>
      </c>
      <c r="K18" s="1235"/>
    </row>
    <row r="19" spans="1:11" ht="41.25" customHeight="1">
      <c r="A19" s="1233"/>
      <c r="B19" s="1782" t="s">
        <v>947</v>
      </c>
      <c r="C19" s="1782" t="s">
        <v>947</v>
      </c>
      <c r="D19" s="1782" t="s">
        <v>947</v>
      </c>
      <c r="E19" s="1782" t="s">
        <v>947</v>
      </c>
      <c r="F19" s="1782" t="s">
        <v>947</v>
      </c>
      <c r="G19" s="1782" t="s">
        <v>947</v>
      </c>
      <c r="H19" s="1782" t="s">
        <v>947</v>
      </c>
      <c r="I19" s="1782" t="s">
        <v>947</v>
      </c>
      <c r="J19" s="1782" t="s">
        <v>947</v>
      </c>
      <c r="K19" s="1235"/>
    </row>
    <row r="20" spans="1:11" ht="37" thickBot="1">
      <c r="A20" s="1306"/>
      <c r="B20" s="1782" t="s">
        <v>948</v>
      </c>
      <c r="C20" s="1782" t="s">
        <v>948</v>
      </c>
      <c r="D20" s="1782" t="s">
        <v>948</v>
      </c>
      <c r="E20" s="1782" t="s">
        <v>948</v>
      </c>
      <c r="F20" s="1782" t="s">
        <v>948</v>
      </c>
      <c r="G20" s="1782" t="s">
        <v>948</v>
      </c>
      <c r="H20" s="1782" t="s">
        <v>948</v>
      </c>
      <c r="I20" s="1782" t="s">
        <v>948</v>
      </c>
      <c r="J20" s="1782" t="s">
        <v>948</v>
      </c>
      <c r="K20" s="1238"/>
    </row>
    <row r="21" spans="1:11" s="1774" customFormat="1" ht="24">
      <c r="A21" s="1306"/>
      <c r="B21" s="1782" t="s">
        <v>949</v>
      </c>
      <c r="C21" s="1782" t="s">
        <v>949</v>
      </c>
      <c r="D21" s="1782" t="s">
        <v>949</v>
      </c>
      <c r="E21" s="1782" t="s">
        <v>949</v>
      </c>
      <c r="F21" s="1782" t="s">
        <v>949</v>
      </c>
      <c r="G21" s="1782" t="s">
        <v>949</v>
      </c>
      <c r="H21" s="1782" t="s">
        <v>949</v>
      </c>
      <c r="I21" s="1782" t="s">
        <v>949</v>
      </c>
      <c r="J21" s="1782" t="s">
        <v>949</v>
      </c>
      <c r="K21" s="1785"/>
    </row>
    <row r="22" spans="1:11" s="1774" customFormat="1">
      <c r="A22" s="1306"/>
      <c r="B22" s="1782"/>
      <c r="C22" s="1782"/>
      <c r="D22" s="1782"/>
      <c r="E22" s="1782" t="s">
        <v>952</v>
      </c>
      <c r="F22" s="1782" t="s">
        <v>952</v>
      </c>
      <c r="G22" s="1782" t="s">
        <v>952</v>
      </c>
      <c r="H22" s="1782" t="s">
        <v>952</v>
      </c>
      <c r="I22" s="1782" t="s">
        <v>952</v>
      </c>
      <c r="J22" s="1782" t="s">
        <v>952</v>
      </c>
      <c r="K22" s="1785"/>
    </row>
    <row r="23" spans="1:11" s="1774" customFormat="1">
      <c r="A23" s="1306"/>
      <c r="B23" s="1790" t="s">
        <v>315</v>
      </c>
      <c r="C23" s="1790" t="s">
        <v>315</v>
      </c>
      <c r="D23" s="1790" t="s">
        <v>315</v>
      </c>
      <c r="E23" s="1790" t="s">
        <v>315</v>
      </c>
      <c r="F23" s="1790" t="s">
        <v>315</v>
      </c>
      <c r="G23" s="1790" t="s">
        <v>315</v>
      </c>
      <c r="H23" s="1790" t="s">
        <v>315</v>
      </c>
      <c r="I23" s="1790" t="s">
        <v>315</v>
      </c>
      <c r="J23" s="1790" t="s">
        <v>315</v>
      </c>
      <c r="K23" s="1785"/>
    </row>
    <row r="24" spans="1:11" s="1774" customFormat="1">
      <c r="A24" s="1306"/>
      <c r="B24" s="1790" t="s">
        <v>930</v>
      </c>
      <c r="C24" s="1790" t="s">
        <v>930</v>
      </c>
      <c r="D24" s="1790" t="s">
        <v>930</v>
      </c>
      <c r="E24" s="1790" t="s">
        <v>930</v>
      </c>
      <c r="F24" s="1790" t="s">
        <v>930</v>
      </c>
      <c r="G24" s="1790" t="s">
        <v>930</v>
      </c>
      <c r="H24" s="1790" t="s">
        <v>930</v>
      </c>
      <c r="I24" s="1790" t="s">
        <v>930</v>
      </c>
      <c r="J24" s="1790" t="s">
        <v>930</v>
      </c>
      <c r="K24" s="1785"/>
    </row>
    <row r="25" spans="1:11" s="1774" customFormat="1" ht="25" thickBot="1">
      <c r="A25" s="1795"/>
      <c r="B25" s="1779" t="s">
        <v>940</v>
      </c>
      <c r="C25" s="1779" t="s">
        <v>940</v>
      </c>
      <c r="D25" s="1779" t="s">
        <v>940</v>
      </c>
      <c r="E25" s="1779" t="s">
        <v>940</v>
      </c>
      <c r="F25" s="1779" t="s">
        <v>940</v>
      </c>
      <c r="G25" s="1779" t="s">
        <v>940</v>
      </c>
      <c r="H25" s="1779" t="s">
        <v>940</v>
      </c>
      <c r="I25" s="1779" t="s">
        <v>940</v>
      </c>
      <c r="J25" s="1779" t="s">
        <v>940</v>
      </c>
      <c r="K25" s="1785"/>
    </row>
    <row r="26" spans="1:11" s="1774" customFormat="1" ht="54" customHeight="1" thickBot="1">
      <c r="A26" s="1795"/>
      <c r="B26" s="1778" t="s">
        <v>941</v>
      </c>
      <c r="C26" s="1778" t="s">
        <v>941</v>
      </c>
      <c r="D26" s="1778" t="s">
        <v>941</v>
      </c>
      <c r="E26" s="1778" t="s">
        <v>941</v>
      </c>
      <c r="F26" s="1778" t="s">
        <v>941</v>
      </c>
      <c r="G26" s="1778" t="s">
        <v>941</v>
      </c>
      <c r="H26" s="1778" t="s">
        <v>941</v>
      </c>
      <c r="I26" s="1778" t="s">
        <v>941</v>
      </c>
      <c r="J26" s="1778" t="s">
        <v>941</v>
      </c>
      <c r="K26" s="1785"/>
    </row>
    <row r="27" spans="1:11" ht="13" thickBot="1">
      <c r="A27" s="1794" t="s">
        <v>35</v>
      </c>
      <c r="B27" s="1791"/>
      <c r="C27" s="1791"/>
      <c r="D27" s="1791"/>
      <c r="E27" s="1791"/>
      <c r="F27" s="1791"/>
      <c r="G27" s="1791"/>
      <c r="H27" s="1791"/>
      <c r="I27" s="1791"/>
      <c r="J27" s="1791"/>
      <c r="K27" s="1249"/>
    </row>
    <row r="28" spans="1:11" ht="24">
      <c r="A28" s="1250"/>
      <c r="B28" s="1780" t="s">
        <v>942</v>
      </c>
      <c r="C28" s="1780" t="s">
        <v>942</v>
      </c>
      <c r="D28" s="1780" t="s">
        <v>942</v>
      </c>
      <c r="E28" s="1780" t="s">
        <v>942</v>
      </c>
      <c r="F28" s="1780" t="s">
        <v>942</v>
      </c>
      <c r="G28" s="1780" t="s">
        <v>942</v>
      </c>
      <c r="H28" s="1780" t="s">
        <v>942</v>
      </c>
      <c r="I28" s="1780" t="s">
        <v>942</v>
      </c>
      <c r="J28" s="1780" t="s">
        <v>942</v>
      </c>
      <c r="K28" s="1250"/>
    </row>
    <row r="29" spans="1:11" ht="36">
      <c r="A29" s="1245"/>
      <c r="B29" s="1777" t="s">
        <v>943</v>
      </c>
      <c r="C29" s="1777" t="s">
        <v>943</v>
      </c>
      <c r="D29" s="1777" t="s">
        <v>943</v>
      </c>
      <c r="E29" s="1777" t="s">
        <v>943</v>
      </c>
      <c r="F29" s="1777" t="s">
        <v>943</v>
      </c>
      <c r="G29" s="1777" t="s">
        <v>943</v>
      </c>
      <c r="H29" s="1777" t="s">
        <v>943</v>
      </c>
      <c r="I29" s="1777" t="s">
        <v>943</v>
      </c>
      <c r="J29" s="1777" t="s">
        <v>943</v>
      </c>
      <c r="K29" s="1245"/>
    </row>
    <row r="30" spans="1:11" ht="36">
      <c r="A30" s="1245"/>
      <c r="B30" s="1782" t="s">
        <v>944</v>
      </c>
      <c r="C30" s="1782" t="s">
        <v>944</v>
      </c>
      <c r="D30" s="1782" t="s">
        <v>944</v>
      </c>
      <c r="E30" s="1782" t="s">
        <v>944</v>
      </c>
      <c r="F30" s="1782" t="s">
        <v>944</v>
      </c>
      <c r="G30" s="1782" t="s">
        <v>944</v>
      </c>
      <c r="H30" s="1782" t="s">
        <v>944</v>
      </c>
      <c r="I30" s="1782" t="s">
        <v>944</v>
      </c>
      <c r="J30" s="1782" t="s">
        <v>944</v>
      </c>
      <c r="K30" s="1245"/>
    </row>
    <row r="31" spans="1:11">
      <c r="A31" s="1234"/>
      <c r="B31" s="1781" t="s">
        <v>945</v>
      </c>
      <c r="C31" s="1781" t="s">
        <v>945</v>
      </c>
      <c r="D31" s="1781" t="s">
        <v>945</v>
      </c>
      <c r="E31" s="1781" t="s">
        <v>945</v>
      </c>
      <c r="F31" s="1781" t="s">
        <v>945</v>
      </c>
      <c r="G31" s="1781" t="s">
        <v>945</v>
      </c>
      <c r="H31" s="1781" t="s">
        <v>945</v>
      </c>
      <c r="I31" s="1781" t="s">
        <v>945</v>
      </c>
      <c r="J31" s="1781" t="s">
        <v>945</v>
      </c>
      <c r="K31" s="1234"/>
    </row>
    <row r="32" spans="1:11" ht="24">
      <c r="A32" s="1255"/>
      <c r="B32" s="1782" t="s">
        <v>946</v>
      </c>
      <c r="C32" s="1782" t="s">
        <v>946</v>
      </c>
      <c r="D32" s="1782" t="s">
        <v>946</v>
      </c>
      <c r="E32" s="1782" t="s">
        <v>946</v>
      </c>
      <c r="F32" s="1782" t="s">
        <v>946</v>
      </c>
      <c r="G32" s="1782" t="s">
        <v>946</v>
      </c>
      <c r="H32" s="1782" t="s">
        <v>946</v>
      </c>
      <c r="I32" s="1782" t="s">
        <v>946</v>
      </c>
      <c r="J32" s="1782" t="s">
        <v>946</v>
      </c>
      <c r="K32" s="1246"/>
    </row>
    <row r="33" spans="1:11" ht="36">
      <c r="A33" s="1233"/>
      <c r="B33" s="1782" t="s">
        <v>947</v>
      </c>
      <c r="C33" s="1782" t="s">
        <v>947</v>
      </c>
      <c r="D33" s="1782" t="s">
        <v>947</v>
      </c>
      <c r="E33" s="1782" t="s">
        <v>947</v>
      </c>
      <c r="F33" s="1782" t="s">
        <v>947</v>
      </c>
      <c r="G33" s="1782" t="s">
        <v>947</v>
      </c>
      <c r="H33" s="1782" t="s">
        <v>947</v>
      </c>
      <c r="I33" s="1782" t="s">
        <v>947</v>
      </c>
      <c r="J33" s="1782" t="s">
        <v>947</v>
      </c>
      <c r="K33" s="1234"/>
    </row>
    <row r="34" spans="1:11" ht="37" thickBot="1">
      <c r="A34" s="1306"/>
      <c r="B34" s="1782" t="s">
        <v>948</v>
      </c>
      <c r="C34" s="1782" t="s">
        <v>948</v>
      </c>
      <c r="D34" s="1782" t="s">
        <v>948</v>
      </c>
      <c r="E34" s="1782" t="s">
        <v>948</v>
      </c>
      <c r="F34" s="1782" t="s">
        <v>948</v>
      </c>
      <c r="G34" s="1782" t="s">
        <v>948</v>
      </c>
      <c r="H34" s="1782" t="s">
        <v>948</v>
      </c>
      <c r="I34" s="1782" t="s">
        <v>948</v>
      </c>
      <c r="J34" s="1782" t="s">
        <v>948</v>
      </c>
      <c r="K34" s="1238"/>
    </row>
    <row r="35" spans="1:11" s="1774" customFormat="1" ht="24">
      <c r="A35" s="1306"/>
      <c r="B35" s="1782" t="s">
        <v>949</v>
      </c>
      <c r="C35" s="1782" t="s">
        <v>949</v>
      </c>
      <c r="D35" s="1782" t="s">
        <v>949</v>
      </c>
      <c r="E35" s="1782" t="s">
        <v>949</v>
      </c>
      <c r="F35" s="1782" t="s">
        <v>949</v>
      </c>
      <c r="G35" s="1782" t="s">
        <v>949</v>
      </c>
      <c r="H35" s="1782" t="s">
        <v>949</v>
      </c>
      <c r="I35" s="1782" t="s">
        <v>949</v>
      </c>
      <c r="J35" s="1782" t="s">
        <v>949</v>
      </c>
      <c r="K35" s="1785"/>
    </row>
    <row r="36" spans="1:11" s="1774" customFormat="1">
      <c r="A36" s="1306"/>
      <c r="B36" s="1782"/>
      <c r="C36" s="1782"/>
      <c r="D36" s="1782"/>
      <c r="E36" s="1782" t="s">
        <v>952</v>
      </c>
      <c r="F36" s="1782" t="s">
        <v>952</v>
      </c>
      <c r="G36" s="1782" t="s">
        <v>952</v>
      </c>
      <c r="H36" s="1782" t="s">
        <v>952</v>
      </c>
      <c r="I36" s="1782" t="s">
        <v>952</v>
      </c>
      <c r="J36" s="1782" t="s">
        <v>952</v>
      </c>
      <c r="K36" s="1785"/>
    </row>
    <row r="37" spans="1:11" s="1774" customFormat="1">
      <c r="A37" s="1306"/>
      <c r="B37" s="1790" t="s">
        <v>315</v>
      </c>
      <c r="C37" s="1790" t="s">
        <v>315</v>
      </c>
      <c r="D37" s="1790" t="s">
        <v>315</v>
      </c>
      <c r="E37" s="1790" t="s">
        <v>315</v>
      </c>
      <c r="F37" s="1790" t="s">
        <v>315</v>
      </c>
      <c r="G37" s="1790" t="s">
        <v>315</v>
      </c>
      <c r="H37" s="1790" t="s">
        <v>315</v>
      </c>
      <c r="I37" s="1790" t="s">
        <v>315</v>
      </c>
      <c r="J37" s="1790" t="s">
        <v>315</v>
      </c>
      <c r="K37" s="1785"/>
    </row>
    <row r="38" spans="1:11" s="1774" customFormat="1">
      <c r="A38" s="1784"/>
      <c r="B38" s="1776" t="s">
        <v>930</v>
      </c>
      <c r="C38" s="1776" t="s">
        <v>930</v>
      </c>
      <c r="D38" s="1776" t="s">
        <v>930</v>
      </c>
      <c r="E38" s="1776" t="s">
        <v>930</v>
      </c>
      <c r="F38" s="1776" t="s">
        <v>930</v>
      </c>
      <c r="G38" s="1776" t="s">
        <v>930</v>
      </c>
      <c r="H38" s="1776" t="s">
        <v>930</v>
      </c>
      <c r="I38" s="1776" t="s">
        <v>930</v>
      </c>
      <c r="J38" s="1776" t="s">
        <v>930</v>
      </c>
      <c r="K38" s="1785"/>
    </row>
    <row r="39" spans="1:11" s="1774" customFormat="1" ht="24">
      <c r="A39" s="1784"/>
      <c r="B39" s="1796" t="s">
        <v>940</v>
      </c>
      <c r="C39" s="1796" t="s">
        <v>940</v>
      </c>
      <c r="D39" s="1796" t="s">
        <v>940</v>
      </c>
      <c r="E39" s="1796" t="s">
        <v>940</v>
      </c>
      <c r="F39" s="1796" t="s">
        <v>940</v>
      </c>
      <c r="G39" s="1796" t="s">
        <v>940</v>
      </c>
      <c r="H39" s="1796" t="s">
        <v>940</v>
      </c>
      <c r="I39" s="1796" t="s">
        <v>940</v>
      </c>
      <c r="J39" s="1796" t="s">
        <v>940</v>
      </c>
      <c r="K39" s="1785"/>
    </row>
    <row r="40" spans="1:11" s="1774" customFormat="1" ht="54.75" customHeight="1" thickBot="1">
      <c r="A40" s="1784"/>
      <c r="B40" s="1789" t="s">
        <v>941</v>
      </c>
      <c r="C40" s="1789" t="s">
        <v>941</v>
      </c>
      <c r="D40" s="1789" t="s">
        <v>941</v>
      </c>
      <c r="E40" s="1789" t="s">
        <v>941</v>
      </c>
      <c r="F40" s="1789" t="s">
        <v>941</v>
      </c>
      <c r="G40" s="1789" t="s">
        <v>941</v>
      </c>
      <c r="H40" s="1789" t="s">
        <v>941</v>
      </c>
      <c r="I40" s="1789" t="s">
        <v>941</v>
      </c>
      <c r="J40" s="1789" t="s">
        <v>941</v>
      </c>
      <c r="K40" s="1785"/>
    </row>
    <row r="41" spans="1:11">
      <c r="A41" s="1248" t="s">
        <v>36</v>
      </c>
      <c r="B41" s="1791"/>
      <c r="C41" s="1791"/>
      <c r="D41" s="1791"/>
      <c r="E41" s="1791"/>
      <c r="F41" s="1791"/>
      <c r="G41" s="1791"/>
      <c r="H41" s="1791"/>
      <c r="I41" s="1791"/>
      <c r="J41" s="1791"/>
      <c r="K41" s="1249"/>
    </row>
    <row r="42" spans="1:11" s="1774" customFormat="1">
      <c r="A42" s="1254"/>
      <c r="B42" s="1245"/>
      <c r="C42" s="1245"/>
      <c r="D42" s="1245"/>
      <c r="E42" s="1245"/>
      <c r="F42" s="1245"/>
      <c r="G42" s="1245"/>
      <c r="H42" s="1779"/>
      <c r="I42" s="1245"/>
      <c r="J42" s="1245"/>
      <c r="K42" s="1245"/>
    </row>
    <row r="43" spans="1:11">
      <c r="A43" s="1254"/>
      <c r="B43" s="1781" t="s">
        <v>945</v>
      </c>
      <c r="C43" s="1781" t="s">
        <v>945</v>
      </c>
      <c r="D43" s="1781" t="s">
        <v>945</v>
      </c>
      <c r="E43" s="1781" t="s">
        <v>945</v>
      </c>
      <c r="F43" s="1781" t="s">
        <v>945</v>
      </c>
      <c r="G43" s="1781" t="s">
        <v>945</v>
      </c>
      <c r="H43" s="1781" t="s">
        <v>945</v>
      </c>
      <c r="I43" s="1781" t="s">
        <v>945</v>
      </c>
      <c r="J43" s="1781" t="s">
        <v>945</v>
      </c>
      <c r="K43" s="1245"/>
    </row>
    <row r="44" spans="1:11" ht="24">
      <c r="A44" s="1233"/>
      <c r="B44" s="1782" t="s">
        <v>946</v>
      </c>
      <c r="C44" s="1782" t="s">
        <v>946</v>
      </c>
      <c r="D44" s="1782" t="s">
        <v>946</v>
      </c>
      <c r="E44" s="1782" t="s">
        <v>946</v>
      </c>
      <c r="F44" s="1782" t="s">
        <v>946</v>
      </c>
      <c r="G44" s="1782" t="s">
        <v>946</v>
      </c>
      <c r="H44" s="1782" t="s">
        <v>946</v>
      </c>
      <c r="I44" s="1782" t="s">
        <v>946</v>
      </c>
      <c r="J44" s="1782" t="s">
        <v>946</v>
      </c>
      <c r="K44" s="1234"/>
    </row>
    <row r="45" spans="1:11" ht="36">
      <c r="A45" s="1233"/>
      <c r="B45" s="1782" t="s">
        <v>947</v>
      </c>
      <c r="C45" s="1782" t="s">
        <v>947</v>
      </c>
      <c r="D45" s="1782" t="s">
        <v>947</v>
      </c>
      <c r="E45" s="1782" t="s">
        <v>947</v>
      </c>
      <c r="F45" s="1782" t="s">
        <v>947</v>
      </c>
      <c r="G45" s="1782" t="s">
        <v>947</v>
      </c>
      <c r="H45" s="1782" t="s">
        <v>947</v>
      </c>
      <c r="I45" s="1782" t="s">
        <v>947</v>
      </c>
      <c r="J45" s="1782" t="s">
        <v>947</v>
      </c>
      <c r="K45" s="1234"/>
    </row>
    <row r="46" spans="1:11" ht="37" thickBot="1">
      <c r="A46" s="1306"/>
      <c r="B46" s="1782" t="s">
        <v>948</v>
      </c>
      <c r="C46" s="1782" t="s">
        <v>948</v>
      </c>
      <c r="D46" s="1782" t="s">
        <v>948</v>
      </c>
      <c r="E46" s="1782" t="s">
        <v>948</v>
      </c>
      <c r="F46" s="1782" t="s">
        <v>948</v>
      </c>
      <c r="G46" s="1782" t="s">
        <v>948</v>
      </c>
      <c r="H46" s="1782" t="s">
        <v>948</v>
      </c>
      <c r="I46" s="1782" t="s">
        <v>948</v>
      </c>
      <c r="J46" s="1782" t="s">
        <v>948</v>
      </c>
      <c r="K46" s="1238"/>
    </row>
    <row r="47" spans="1:11" s="1774" customFormat="1" ht="24">
      <c r="A47" s="1306"/>
      <c r="B47" s="1782" t="s">
        <v>949</v>
      </c>
      <c r="C47" s="1782" t="s">
        <v>949</v>
      </c>
      <c r="D47" s="1782" t="s">
        <v>949</v>
      </c>
      <c r="E47" s="1782" t="s">
        <v>949</v>
      </c>
      <c r="F47" s="1782" t="s">
        <v>949</v>
      </c>
      <c r="G47" s="1782" t="s">
        <v>949</v>
      </c>
      <c r="H47" s="1782" t="s">
        <v>949</v>
      </c>
      <c r="I47" s="1782" t="s">
        <v>949</v>
      </c>
      <c r="J47" s="1782" t="s">
        <v>949</v>
      </c>
      <c r="K47" s="1785"/>
    </row>
    <row r="48" spans="1:11" s="1774" customFormat="1">
      <c r="A48" s="1784"/>
      <c r="B48" s="1793"/>
      <c r="C48" s="1793"/>
      <c r="D48" s="1793"/>
      <c r="E48" s="1793" t="s">
        <v>952</v>
      </c>
      <c r="F48" s="1793" t="s">
        <v>952</v>
      </c>
      <c r="G48" s="1793" t="s">
        <v>952</v>
      </c>
      <c r="H48" s="1793" t="s">
        <v>952</v>
      </c>
      <c r="I48" s="1793" t="s">
        <v>952</v>
      </c>
      <c r="J48" s="1793" t="s">
        <v>952</v>
      </c>
      <c r="K48" s="1785"/>
    </row>
    <row r="49" spans="1:11" s="1774" customFormat="1">
      <c r="A49" s="1784"/>
      <c r="B49" s="1790" t="s">
        <v>315</v>
      </c>
      <c r="C49" s="1790" t="s">
        <v>315</v>
      </c>
      <c r="D49" s="1790" t="s">
        <v>315</v>
      </c>
      <c r="E49" s="1790" t="s">
        <v>315</v>
      </c>
      <c r="F49" s="1790" t="s">
        <v>315</v>
      </c>
      <c r="G49" s="1790" t="s">
        <v>315</v>
      </c>
      <c r="H49" s="1790" t="s">
        <v>315</v>
      </c>
      <c r="I49" s="1790" t="s">
        <v>315</v>
      </c>
      <c r="J49" s="1790" t="s">
        <v>315</v>
      </c>
      <c r="K49" s="1785"/>
    </row>
    <row r="50" spans="1:11" s="1774" customFormat="1">
      <c r="A50" s="1784"/>
      <c r="B50" s="1790" t="s">
        <v>930</v>
      </c>
      <c r="C50" s="1790" t="s">
        <v>930</v>
      </c>
      <c r="D50" s="1790" t="s">
        <v>930</v>
      </c>
      <c r="E50" s="1790" t="s">
        <v>930</v>
      </c>
      <c r="F50" s="1790" t="s">
        <v>930</v>
      </c>
      <c r="G50" s="1790" t="s">
        <v>930</v>
      </c>
      <c r="H50" s="1790" t="s">
        <v>930</v>
      </c>
      <c r="I50" s="1790" t="s">
        <v>930</v>
      </c>
      <c r="J50" s="1790" t="s">
        <v>930</v>
      </c>
      <c r="K50" s="1785"/>
    </row>
    <row r="51" spans="1:11" s="1774" customFormat="1" ht="24">
      <c r="A51" s="1784"/>
      <c r="B51" s="1779" t="s">
        <v>940</v>
      </c>
      <c r="C51" s="1779" t="s">
        <v>940</v>
      </c>
      <c r="D51" s="1779" t="s">
        <v>940</v>
      </c>
      <c r="E51" s="1779" t="s">
        <v>940</v>
      </c>
      <c r="F51" s="1779" t="s">
        <v>940</v>
      </c>
      <c r="G51" s="1779" t="s">
        <v>940</v>
      </c>
      <c r="H51" s="1779" t="s">
        <v>940</v>
      </c>
      <c r="I51" s="1779" t="s">
        <v>940</v>
      </c>
      <c r="J51" s="1779" t="s">
        <v>940</v>
      </c>
      <c r="K51" s="1785"/>
    </row>
    <row r="52" spans="1:11" s="1774" customFormat="1" ht="53.25" customHeight="1" thickBot="1">
      <c r="A52" s="1784"/>
      <c r="B52" s="1789" t="s">
        <v>941</v>
      </c>
      <c r="C52" s="1789" t="s">
        <v>941</v>
      </c>
      <c r="D52" s="1789" t="s">
        <v>941</v>
      </c>
      <c r="E52" s="1789" t="s">
        <v>941</v>
      </c>
      <c r="F52" s="1789" t="s">
        <v>941</v>
      </c>
      <c r="G52" s="1789" t="s">
        <v>941</v>
      </c>
      <c r="H52" s="1789" t="s">
        <v>941</v>
      </c>
      <c r="I52" s="1789" t="s">
        <v>941</v>
      </c>
      <c r="J52" s="1789" t="s">
        <v>941</v>
      </c>
      <c r="K52" s="1785"/>
    </row>
    <row r="53" spans="1:11" s="1774" customFormat="1" ht="29.25" customHeight="1" thickBot="1">
      <c r="A53" s="1784"/>
      <c r="B53" s="1778" t="s">
        <v>953</v>
      </c>
      <c r="C53" s="1778" t="s">
        <v>953</v>
      </c>
      <c r="D53" s="1778" t="s">
        <v>953</v>
      </c>
      <c r="E53" s="1778" t="s">
        <v>953</v>
      </c>
      <c r="F53" s="1778" t="s">
        <v>953</v>
      </c>
      <c r="G53" s="1778" t="s">
        <v>953</v>
      </c>
      <c r="H53" s="1778" t="s">
        <v>953</v>
      </c>
      <c r="I53" s="1778" t="s">
        <v>953</v>
      </c>
      <c r="J53" s="1778" t="s">
        <v>953</v>
      </c>
      <c r="K53" s="1785"/>
    </row>
    <row r="54" spans="1:11">
      <c r="A54" s="1248" t="s">
        <v>757</v>
      </c>
      <c r="B54" s="1791"/>
      <c r="C54" s="1791"/>
      <c r="D54" s="1791"/>
      <c r="E54" s="1791"/>
      <c r="F54" s="1791"/>
      <c r="G54" s="1791"/>
      <c r="H54" s="1791"/>
      <c r="I54" s="1792"/>
      <c r="J54" s="1791"/>
      <c r="K54" s="1249"/>
    </row>
    <row r="55" spans="1:11" s="1774" customFormat="1">
      <c r="A55" s="1254"/>
      <c r="B55" s="1245"/>
      <c r="C55" s="1245"/>
      <c r="D55" s="1245"/>
      <c r="E55" s="1245"/>
      <c r="F55" s="1245"/>
      <c r="G55" s="1245"/>
      <c r="H55" s="1779"/>
      <c r="I55" s="1245"/>
      <c r="J55" s="1245"/>
      <c r="K55" s="1245"/>
    </row>
    <row r="56" spans="1:11">
      <c r="A56" s="1233"/>
      <c r="B56" s="1781" t="s">
        <v>945</v>
      </c>
      <c r="C56" s="1781" t="s">
        <v>945</v>
      </c>
      <c r="D56" s="1781" t="s">
        <v>945</v>
      </c>
      <c r="E56" s="1781" t="s">
        <v>945</v>
      </c>
      <c r="F56" s="1781" t="s">
        <v>945</v>
      </c>
      <c r="G56" s="1781" t="s">
        <v>945</v>
      </c>
      <c r="H56" s="1781" t="s">
        <v>945</v>
      </c>
      <c r="I56" s="1781" t="s">
        <v>945</v>
      </c>
      <c r="J56" s="1781" t="s">
        <v>945</v>
      </c>
      <c r="K56" s="1234"/>
    </row>
    <row r="57" spans="1:11" ht="24">
      <c r="A57" s="1251"/>
      <c r="B57" s="1782" t="s">
        <v>946</v>
      </c>
      <c r="C57" s="1782" t="s">
        <v>946</v>
      </c>
      <c r="D57" s="1782" t="s">
        <v>946</v>
      </c>
      <c r="E57" s="1782" t="s">
        <v>946</v>
      </c>
      <c r="F57" s="1782" t="s">
        <v>946</v>
      </c>
      <c r="G57" s="1782" t="s">
        <v>946</v>
      </c>
      <c r="H57" s="1782" t="s">
        <v>946</v>
      </c>
      <c r="I57" s="1782" t="s">
        <v>946</v>
      </c>
      <c r="J57" s="1782" t="s">
        <v>946</v>
      </c>
      <c r="K57" s="1252"/>
    </row>
    <row r="58" spans="1:11" ht="36">
      <c r="A58" s="1251"/>
      <c r="B58" s="1782" t="s">
        <v>947</v>
      </c>
      <c r="C58" s="1782" t="s">
        <v>947</v>
      </c>
      <c r="D58" s="1782" t="s">
        <v>947</v>
      </c>
      <c r="E58" s="1782" t="s">
        <v>947</v>
      </c>
      <c r="F58" s="1782" t="s">
        <v>947</v>
      </c>
      <c r="G58" s="1782" t="s">
        <v>947</v>
      </c>
      <c r="H58" s="1782" t="s">
        <v>947</v>
      </c>
      <c r="I58" s="1782" t="s">
        <v>947</v>
      </c>
      <c r="J58" s="1782" t="s">
        <v>947</v>
      </c>
      <c r="K58" s="1252"/>
    </row>
    <row r="59" spans="1:11" ht="36">
      <c r="A59" s="1251"/>
      <c r="B59" s="1783" t="s">
        <v>948</v>
      </c>
      <c r="C59" s="1783" t="s">
        <v>948</v>
      </c>
      <c r="D59" s="1783" t="s">
        <v>948</v>
      </c>
      <c r="E59" s="1783" t="s">
        <v>948</v>
      </c>
      <c r="F59" s="1783" t="s">
        <v>948</v>
      </c>
      <c r="G59" s="1783" t="s">
        <v>948</v>
      </c>
      <c r="H59" s="1783" t="s">
        <v>948</v>
      </c>
      <c r="I59" s="1783" t="s">
        <v>948</v>
      </c>
      <c r="J59" s="1783" t="s">
        <v>948</v>
      </c>
      <c r="K59" s="1253"/>
    </row>
    <row r="60" spans="1:11" s="1774" customFormat="1" ht="24">
      <c r="A60" s="1306"/>
      <c r="B60" s="1782" t="s">
        <v>949</v>
      </c>
      <c r="C60" s="1782" t="s">
        <v>949</v>
      </c>
      <c r="D60" s="1782" t="s">
        <v>949</v>
      </c>
      <c r="E60" s="1782" t="s">
        <v>949</v>
      </c>
      <c r="F60" s="1782" t="s">
        <v>949</v>
      </c>
      <c r="G60" s="1782" t="s">
        <v>949</v>
      </c>
      <c r="H60" s="1782" t="s">
        <v>949</v>
      </c>
      <c r="I60" s="1782" t="s">
        <v>949</v>
      </c>
      <c r="J60" s="1782" t="s">
        <v>949</v>
      </c>
      <c r="K60" s="1235"/>
    </row>
    <row r="61" spans="1:11" s="1774" customFormat="1">
      <c r="A61" s="1306"/>
      <c r="B61" s="1782"/>
      <c r="C61" s="1782"/>
      <c r="D61" s="1782"/>
      <c r="E61" s="1782" t="s">
        <v>952</v>
      </c>
      <c r="F61" s="1782" t="s">
        <v>952</v>
      </c>
      <c r="G61" s="1782" t="s">
        <v>952</v>
      </c>
      <c r="H61" s="1782" t="s">
        <v>952</v>
      </c>
      <c r="I61" s="1782" t="s">
        <v>952</v>
      </c>
      <c r="J61" s="1782" t="s">
        <v>952</v>
      </c>
      <c r="K61" s="1235"/>
    </row>
    <row r="62" spans="1:11">
      <c r="A62" s="1786"/>
      <c r="B62" s="1790" t="s">
        <v>315</v>
      </c>
      <c r="C62" s="1790" t="s">
        <v>315</v>
      </c>
      <c r="D62" s="1790" t="s">
        <v>315</v>
      </c>
      <c r="E62" s="1790" t="s">
        <v>315</v>
      </c>
      <c r="F62" s="1790" t="s">
        <v>315</v>
      </c>
      <c r="G62" s="1790" t="s">
        <v>315</v>
      </c>
      <c r="H62" s="1790" t="s">
        <v>315</v>
      </c>
      <c r="I62" s="1790" t="s">
        <v>315</v>
      </c>
      <c r="J62" s="1790" t="s">
        <v>315</v>
      </c>
      <c r="K62" s="1786"/>
    </row>
    <row r="63" spans="1:11">
      <c r="A63" s="1786"/>
      <c r="B63" s="1790" t="s">
        <v>930</v>
      </c>
      <c r="C63" s="1776" t="s">
        <v>930</v>
      </c>
      <c r="D63" s="1776" t="s">
        <v>930</v>
      </c>
      <c r="E63" s="1776" t="s">
        <v>930</v>
      </c>
      <c r="F63" s="1776" t="s">
        <v>930</v>
      </c>
      <c r="G63" s="1776" t="s">
        <v>930</v>
      </c>
      <c r="H63" s="1776" t="s">
        <v>930</v>
      </c>
      <c r="I63" s="1776" t="s">
        <v>930</v>
      </c>
      <c r="J63" s="1776" t="s">
        <v>930</v>
      </c>
      <c r="K63" s="1786"/>
    </row>
    <row r="64" spans="1:11" ht="24">
      <c r="A64" s="1305"/>
      <c r="B64" s="1779" t="s">
        <v>940</v>
      </c>
      <c r="C64" s="1779" t="s">
        <v>940</v>
      </c>
      <c r="D64" s="1779" t="s">
        <v>940</v>
      </c>
      <c r="E64" s="1779" t="s">
        <v>940</v>
      </c>
      <c r="F64" s="1779" t="s">
        <v>940</v>
      </c>
      <c r="G64" s="1779" t="s">
        <v>940</v>
      </c>
      <c r="H64" s="1779" t="s">
        <v>940</v>
      </c>
      <c r="I64" s="1779" t="s">
        <v>940</v>
      </c>
      <c r="J64" s="1779" t="s">
        <v>940</v>
      </c>
      <c r="K64" s="1786"/>
    </row>
    <row r="65" spans="1:11" ht="49.5" customHeight="1" thickBot="1">
      <c r="A65" s="1786"/>
      <c r="B65" s="1789" t="s">
        <v>941</v>
      </c>
      <c r="C65" s="1789" t="s">
        <v>941</v>
      </c>
      <c r="D65" s="1789" t="s">
        <v>941</v>
      </c>
      <c r="E65" s="1789" t="s">
        <v>941</v>
      </c>
      <c r="F65" s="1789" t="s">
        <v>941</v>
      </c>
      <c r="G65" s="1789" t="s">
        <v>941</v>
      </c>
      <c r="H65" s="1789" t="s">
        <v>941</v>
      </c>
      <c r="I65" s="1789" t="s">
        <v>941</v>
      </c>
      <c r="J65" s="1789" t="s">
        <v>941</v>
      </c>
      <c r="K65" s="1786"/>
    </row>
    <row r="66" spans="1:11" ht="24">
      <c r="A66" s="1786"/>
      <c r="B66" s="1778" t="s">
        <v>953</v>
      </c>
      <c r="C66" s="1778" t="s">
        <v>953</v>
      </c>
      <c r="D66" s="1778" t="s">
        <v>953</v>
      </c>
      <c r="E66" s="1778" t="s">
        <v>953</v>
      </c>
      <c r="F66" s="1778" t="s">
        <v>953</v>
      </c>
      <c r="G66" s="1778" t="s">
        <v>953</v>
      </c>
      <c r="H66" s="1778" t="s">
        <v>953</v>
      </c>
      <c r="I66" s="1778" t="s">
        <v>953</v>
      </c>
      <c r="J66" s="1778" t="s">
        <v>953</v>
      </c>
      <c r="K66" s="1786"/>
    </row>
    <row r="67" spans="1:11">
      <c r="B67" s="1240"/>
    </row>
    <row r="68" spans="1:11">
      <c r="B68" s="1240"/>
    </row>
    <row r="69" spans="1:11">
      <c r="B69" s="1240"/>
    </row>
    <row r="70" spans="1:11">
      <c r="B70" s="1240"/>
    </row>
    <row r="73" spans="1:11">
      <c r="A73" s="639"/>
      <c r="B73" s="1240"/>
    </row>
    <row r="74" spans="1:11">
      <c r="B74" s="1240"/>
    </row>
    <row r="75" spans="1:11">
      <c r="B75" s="1240"/>
    </row>
    <row r="76" spans="1:11">
      <c r="B76" s="1240"/>
    </row>
    <row r="77" spans="1:11">
      <c r="B77" s="1240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2016-11-22T09:35:25Z</dcterms:modified>
</cp:coreProperties>
</file>