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styles+xml" PartName="/xl/styles.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Camry XLE Hybrid" sheetId="1" r:id="rId3"/>
    <sheet state="hidden" name="Camry XLEOld" sheetId="2" r:id="rId4"/>
    <sheet state="hidden" name="Camry SE Hybrid" sheetId="3" r:id="rId5"/>
    <sheet state="hidden" name="Camry L" sheetId="4" r:id="rId6"/>
    <sheet state="visible" name="Camry SE" sheetId="5" r:id="rId7"/>
    <sheet state="visible" name="Camry XLE" sheetId="6" r:id="rId8"/>
    <sheet state="visible" name="Camry XSE" sheetId="7" r:id="rId9"/>
    <sheet state="visible" name="Accord LX" sheetId="8" r:id="rId10"/>
    <sheet state="visible" name="Accord EX" sheetId="9" r:id="rId11"/>
    <sheet state="visible" name="Accord Touring" sheetId="10" r:id="rId12"/>
    <sheet state="hidden" name="Model 3 vs BMW 230i" sheetId="11" r:id="rId13"/>
    <sheet state="visible" name="Model 3 vs BMW 330i" sheetId="12" r:id="rId14"/>
    <sheet state="visible" name="Model 3 vs BMW 440i" sheetId="13" r:id="rId15"/>
    <sheet state="visible" name="Model 3 vs Audi A4" sheetId="14" r:id="rId16"/>
    <sheet state="visible" name="Model 3 vs Audi A4 PP" sheetId="15" r:id="rId17"/>
    <sheet state="visible" name="Model 3 vs Mercedes C300" sheetId="16" r:id="rId18"/>
    <sheet state="visible" name="Model 3 vs Mercedes C300 4MATIC" sheetId="17" r:id="rId19"/>
    <sheet state="visible" name="Model 3 vs Civic Touring" sheetId="18" r:id="rId20"/>
    <sheet state="visible" name="Model 3 vs Civic EX" sheetId="19" r:id="rId21"/>
    <sheet state="visible" name="Model 3 vs Civic LX" sheetId="20" r:id="rId22"/>
    <sheet state="visible" name="Model 3 vs Corolla XSE" sheetId="21" r:id="rId23"/>
    <sheet state="visible" name="Model 3 vs Corolla Hybrid LE" sheetId="22" r:id="rId24"/>
    <sheet state="visible" name="Model 3 vs Corolla L" sheetId="23" r:id="rId25"/>
    <sheet state="visible" name="Model 3 vs Maxima &amp; Altima SV" sheetId="24" r:id="rId26"/>
    <sheet state="visible" name="Model 3 vs Maxima &amp; Altima Plat" sheetId="25" r:id="rId27"/>
    <sheet state="visible" name="VW ID.3 vs. Golf" sheetId="26" r:id="rId28"/>
    <sheet state="visible" name="VW ID.3 vs. Skoda Octavia" sheetId="27" r:id="rId29"/>
    <sheet state="visible" name="VW ID.3 vs. Renault Megane" sheetId="28" r:id="rId30"/>
    <sheet state="visible" name="VW ID.3 vs. Peugeot 308" sheetId="29" r:id="rId31"/>
    <sheet state="visible" name="USA — BMW i3" sheetId="30" r:id="rId32"/>
    <sheet state="hidden" name="Model 3 vs Honda Accord" sheetId="31" r:id="rId33"/>
    <sheet state="hidden" name="Curacao" sheetId="32" r:id="rId34"/>
    <sheet state="hidden" name="Accord Touring Hybrid E-CVT" sheetId="33" r:id="rId35"/>
    <sheet state="hidden" name="Accord EX-L Hybrid" sheetId="34" r:id="rId36"/>
    <sheet state="hidden" name="Accord EX Hybrid" sheetId="35" r:id="rId37"/>
    <sheet state="hidden" name="Accord Sport" sheetId="36" r:id="rId38"/>
    <sheet state="hidden" name="Accord LX CVT" sheetId="37" r:id="rId39"/>
    <sheet state="hidden" name="Germany" sheetId="38" r:id="rId40"/>
    <sheet state="hidden" name="Sheet1" sheetId="39" r:id="rId41"/>
  </sheets>
  <definedNames/>
  <calcPr/>
</workbook>
</file>

<file path=xl/comments1.xml><?xml version="1.0" encoding="utf-8"?>
<comments xmlns:r="http://schemas.openxmlformats.org/officeDocument/2006/relationships" xmlns="http://schemas.openxmlformats.org/spreadsheetml/2006/main">
  <authors>
    <author/>
  </authors>
  <commentList>
    <comment authorId="0" ref="D4">
      <text>
        <t xml:space="preserve">https://www.toyotaofsarasota.com/new-vehicles/#action=im_ajax_call&amp;perform=get_results&amp;page=1&amp;type%5B%5D=New&amp;make%5B%5D=Toyota&amp;year%5B%5D=2020&amp;model%5B%5D=Camry&amp;trim%5B%5D=SE
	-Zachary Shahan</t>
      </text>
    </comment>
  </commentList>
</comments>
</file>

<file path=xl/comments10.xml><?xml version="1.0" encoding="utf-8"?>
<comments xmlns:r="http://schemas.openxmlformats.org/officeDocument/2006/relationships" xmlns="http://schemas.openxmlformats.org/spreadsheetml/2006/main">
  <authors>
    <author/>
  </authors>
  <commentList>
    <comment authorId="0" ref="D3">
      <text>
        <t xml:space="preserve">https://www.audisarasota.com/new-inventory/index.htm?start=16&amp;sortBy=internetPrice+asc&amp;compositeType=new&amp;year=2019&amp;make=Audi&amp;model=A4&amp;
	-Zachary Shahan</t>
      </text>
    </comment>
  </commentList>
</comments>
</file>

<file path=xl/comments11.xml><?xml version="1.0" encoding="utf-8"?>
<comments xmlns:r="http://schemas.openxmlformats.org/officeDocument/2006/relationships" xmlns="http://schemas.openxmlformats.org/spreadsheetml/2006/main">
  <authors>
    <author/>
  </authors>
  <commentList>
    <comment authorId="0" ref="D3">
      <text>
        <t xml:space="preserve">https://www.mbusa.com/en/vehicles/build/c-class/sedan
	-Zachary Shahan</t>
      </text>
    </comment>
  </commentList>
</comments>
</file>

<file path=xl/comments12.xml><?xml version="1.0" encoding="utf-8"?>
<comments xmlns:r="http://schemas.openxmlformats.org/officeDocument/2006/relationships" xmlns="http://schemas.openxmlformats.org/spreadsheetml/2006/main">
  <authors>
    <author/>
  </authors>
  <commentList>
    <comment authorId="0" ref="D3">
      <text>
        <t xml:space="preserve">https://www.mbusa.com/en/vehicles/build/c-class/sedan
	-Zachary Shahan</t>
      </text>
    </comment>
  </commentList>
</comments>
</file>

<file path=xl/comments13.xml><?xml version="1.0" encoding="utf-8"?>
<comments xmlns:r="http://schemas.openxmlformats.org/officeDocument/2006/relationships" xmlns="http://schemas.openxmlformats.org/spreadsheetml/2006/main">
  <authors>
    <author/>
  </authors>
  <commentList>
    <comment authorId="0" ref="D6">
      <text>
        <t xml:space="preserve">Did not find Corolla's resale value estimate, so used Camry's.
	-Zachary Shahan
Hey,can you check up on this? This is highly inaccurate. Corollas hold their value extremely well.
	-John Bood
Sad to hear, but nice work! Better than some of the work i see outside
	-John Bood</t>
      </text>
    </comment>
  </commentList>
</comments>
</file>

<file path=xl/comments14.xml><?xml version="1.0" encoding="utf-8"?>
<comments xmlns:r="http://schemas.openxmlformats.org/officeDocument/2006/relationships" xmlns="http://schemas.openxmlformats.org/spreadsheetml/2006/main">
  <authors>
    <author/>
  </authors>
  <commentList>
    <comment authorId="0" ref="D3">
      <text>
        <t xml:space="preserve">With extra $199 for Phone Charge Package, incl. 2 smart USB ports
	-Zachary Shahan</t>
      </text>
    </comment>
  </commentList>
</comments>
</file>

<file path=xl/comments15.xml><?xml version="1.0" encoding="utf-8"?>
<comments xmlns:r="http://schemas.openxmlformats.org/officeDocument/2006/relationships" xmlns="http://schemas.openxmlformats.org/spreadsheetml/2006/main">
  <authors>
    <author/>
  </authors>
  <commentList>
    <comment authorId="0" ref="C13">
      <text>
        <t xml:space="preserve">The cost you are using here is based on the owner doing much of that work themselves.  The costs for the Corolla include the cost of mechanics labor.  So these are not apples to apples comparisons.  You need to increase the Tesla maintenance cost estimate.
	-David Campain
_Marked as resolved_
	-Zachary Shahan
_Re-opened_
:-)
	-David Campain</t>
      </text>
    </comment>
    <comment authorId="0" ref="D8">
      <text>
        <t xml:space="preserve">missing dest fee
	-Anonymous
yes
	-Vladimir Novak</t>
      </text>
    </comment>
  </commentList>
</comments>
</file>

<file path=xl/comments16.xml><?xml version="1.0" encoding="utf-8"?>
<comments xmlns:r="http://schemas.openxmlformats.org/officeDocument/2006/relationships" xmlns="http://schemas.openxmlformats.org/spreadsheetml/2006/main">
  <authors>
    <author/>
  </authors>
  <commentList>
    <comment authorId="0" ref="E4">
      <text>
        <t xml:space="preserve">With $215 impact sensor added.
	-Zachary Shahan</t>
      </text>
    </comment>
  </commentList>
</comments>
</file>

<file path=xl/comments17.xml><?xml version="1.0" encoding="utf-8"?>
<comments xmlns:r="http://schemas.openxmlformats.org/officeDocument/2006/relationships" xmlns="http://schemas.openxmlformats.org/spreadsheetml/2006/main">
  <authors>
    <author/>
  </authors>
  <commentList>
    <comment authorId="0" ref="E4">
      <text>
        <t xml:space="preserve">With $215 impact sensor added.
	-Zachary Shahan</t>
      </text>
    </comment>
    <comment authorId="0" ref="D4">
      <text>
        <t xml:space="preserve">With $215 impact sensor added.
	-Zachary Shahan</t>
      </text>
    </comment>
  </commentList>
</comments>
</file>

<file path=xl/comments18.xml><?xml version="1.0" encoding="utf-8"?>
<comments xmlns:r="http://schemas.openxmlformats.org/officeDocument/2006/relationships" xmlns="http://schemas.openxmlformats.org/spreadsheetml/2006/main">
  <authors>
    <author/>
  </authors>
  <commentList>
    <comment authorId="0" ref="D4">
      <text>
        <t xml:space="preserve">Current purchase price is 39,900 on tesla.com
	-Mike Connors</t>
      </text>
    </comment>
    <comment authorId="0" ref="E14">
      <text>
        <t xml:space="preserve">No oil changes?
	-Mike Connors</t>
      </text>
    </comment>
    <comment authorId="0" ref="D18">
      <text>
        <t xml:space="preserve">You forgot to factor in the EV station installation cost (in my case $2.5K).
	-Moe Al
you don't have to install that every 5 years.....mine cost $150 since I did it myself.....just connecting a dryer/stove outlet to the main panel.
	-Daniel Brown
You don't need a Tesla Wall Connector charging station??
	-Chris Valiante
no.....just the right outlet type....Nema 14-50 ($11 on Amazon).  You get 32Amp charging which equates to 30 miles of charge every hour.  Buying the charger gets you to 44 miles per hour charge if you connect to 60A breaker.
	-Daniel Brown
Installing a EVSE to charge the car will var considerably depending on the individual's situation.  I generally estimate about $1000 before tax credits for an average situation involving an electrician.
	-Gary Thompson</t>
      </text>
    </comment>
    <comment authorId="0" ref="D15">
      <text>
        <t xml:space="preserve">The EPA claims this vehicles is capable of 3.096 miles per kWh.
	-Christopher
It seems you're looking at a different Model 3 trim. SR+ = 25 kWh per 100 miles: https://en.wikipedia.org/wiki/Tesla_Model_3
	-Zachary Shahan
My VW e-golf averages 4.3 kWh per mile (4 year avg.)
	-Steve L
your units are backward.....4.3 miles per KWh  (my model 3 averages ~4 miles per KWh if I'm not blasting the heater or airconditioner).
	-Daniel Brown</t>
      </text>
    </comment>
    <comment authorId="0" ref="D11">
      <text>
        <t xml:space="preserve">Granted this may be possible during non peak times, but Duke has the 2nd lowest blended rate at 11.2 cents per kWh.
	-Christopher
There are actually several factors that go into this calculation:
—Do you use free/paid public charging? (I drove an electric car in Florida for 9 months and spent $0 charging because I didn't have home charging and all public charging was free.)
—Do you use workplace charging, and is it free?
—Your electricity rate when charging, which may be a normal rate or may be a low TOU rate.
—Any costly fast charging you do.
In the end, this is a highly personalized number (as I said, my figure for this would be $0). I think $0.10 is a decent guess for a nationwide median, but people really need to input for their own situation to compare better for themselves.
	-Zachary Shahan
I pay 4.5 cents / kWh because I charge offpeak.....this option is open to most homeowners who have a large utility company that provides electricity.
	-Daniel Brown
In my area of California, PG&amp;E off=peak rate is $.21/kWh
	-Anonymous</t>
      </text>
    </comment>
  </commentList>
</comments>
</file>

<file path=xl/comments19.xml><?xml version="1.0" encoding="utf-8"?>
<comments xmlns:r="http://schemas.openxmlformats.org/officeDocument/2006/relationships" xmlns="http://schemas.openxmlformats.org/spreadsheetml/2006/main">
  <authors>
    <author/>
  </authors>
  <commentList>
    <comment authorId="0" ref="D11">
      <text>
        <t xml:space="preserve">How do I get electricity as cheap?
	-John Buckley</t>
      </text>
    </comment>
    <comment authorId="0" ref="E10">
      <text>
        <t xml:space="preserve">What are these California prices?
	-John Buckley</t>
      </text>
    </comment>
  </commentList>
</comments>
</file>

<file path=xl/comments2.xml><?xml version="1.0" encoding="utf-8"?>
<comments xmlns:r="http://schemas.openxmlformats.org/officeDocument/2006/relationships" xmlns="http://schemas.openxmlformats.org/spreadsheetml/2006/main">
  <authors>
    <author/>
  </authors>
  <commentList>
    <comment authorId="0" ref="D4">
      <text>
        <t xml:space="preserve">https://www.toyotaofsarasota.com/new-vehicles/#action=im_ajax_call&amp;perform=get_results&amp;page=1&amp;type%5B%5D=New&amp;make%5B%5D=Toyota&amp;year%5B%5D=2020&amp;model%5B%5D=Camry&amp;trim%5B%5D=SE
	-Zachary Shahan
_Marked as resolved_
	-Sean L
_Re-opened_
Why price for camry 29k? It is starts from 24k. Here is difference 5k)
	-Pavel Pestov</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https://www.toyotaofsarasota.com/new-vehicles/#action=im_ajax_call&amp;perform=get_results&amp;page=1&amp;type%5B%5D=New&amp;make%5B%5D=Toyota&amp;year%5B%5D=2020&amp;model%5B%5D=Camry&amp;trim%5B%5D=XLE
	-Zachary Shahan</t>
      </text>
    </comment>
  </commentList>
</comments>
</file>

<file path=xl/comments4.xml><?xml version="1.0" encoding="utf-8"?>
<comments xmlns:r="http://schemas.openxmlformats.org/officeDocument/2006/relationships" xmlns="http://schemas.openxmlformats.org/spreadsheetml/2006/main">
  <authors>
    <author/>
  </authors>
  <commentList>
    <comment authorId="0" ref="D4">
      <text>
        <t xml:space="preserve">https://www.toyotaofsarasota.com/new-vehicles/#action=im_ajax_call&amp;perform=get_results&amp;page=1&amp;type%5B%5D=New&amp;make%5B%5D=Toyota&amp;year%5B%5D=2020&amp;model%5B%5D=Camry&amp;trim%5B%5D=XSE
	-Zachary Shahan</t>
      </text>
    </comment>
  </commentList>
</comments>
</file>

<file path=xl/comments5.xml><?xml version="1.0" encoding="utf-8"?>
<comments xmlns:r="http://schemas.openxmlformats.org/officeDocument/2006/relationships" xmlns="http://schemas.openxmlformats.org/spreadsheetml/2006/main">
  <authors>
    <author/>
  </authors>
  <commentList>
    <comment authorId="0" ref="D4">
      <text>
        <t xml:space="preserve">https://automobiles.honda.com/tools/build-and-price-result?modelid=&amp;modelseries=Accord-Sedan&amp;modelyear=2020&amp;extcolorcode=#
	-Zachary Shahan</t>
      </text>
    </comment>
  </commentList>
</comments>
</file>

<file path=xl/comments6.xml><?xml version="1.0" encoding="utf-8"?>
<comments xmlns:r="http://schemas.openxmlformats.org/officeDocument/2006/relationships" xmlns="http://schemas.openxmlformats.org/spreadsheetml/2006/main">
  <authors>
    <author/>
  </authors>
  <commentList>
    <comment authorId="0" ref="D4">
      <text>
        <t xml:space="preserve">https://automobiles.honda.com/tools/build-and-price-result?modelid=&amp;modelseries=Accord-Sedan&amp;modelyear=2020&amp;extcolorcode=#
	-Zachary Shahan</t>
      </text>
    </comment>
  </commentList>
</comments>
</file>

<file path=xl/comments7.xml><?xml version="1.0" encoding="utf-8"?>
<comments xmlns:r="http://schemas.openxmlformats.org/officeDocument/2006/relationships" xmlns="http://schemas.openxmlformats.org/spreadsheetml/2006/main">
  <authors>
    <author/>
  </authors>
  <commentList>
    <comment authorId="0" ref="D3">
      <text>
        <t xml:space="preserve">Try the EX hybrid trim - $28k, 47mpg.  Looks a lot different in 5 years.
	-Anonymous</t>
      </text>
    </comment>
    <comment authorId="0" ref="D4">
      <text>
        <t xml:space="preserve">https://automobiles.honda.com/tools/build-and-price-result?modelid=CV2F9LKNW&amp;modelseries=accord-sedan&amp;modelyear=2020&amp;extcolorcode=NH-797M#build-price
	-Zachary Shahan</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Now that there are a few manufacturers that make very similar EV and ICE vehicles, it would be interesting to compare them to each other.  And throw in the model 3 at the same time.  The Kona may be the best example!
	-Bob Erdman</t>
      </text>
    </comment>
    <comment authorId="0" ref="D3">
      <text>
        <t xml:space="preserve">Using MSRP because it's much less than prices from local dealer: https://www.bmwofsarasota.com/new-inventory/index.htm?search=&amp;payment-selection=payment-panel-paymentLease&amp;superModel=3+Series&amp;normalExteriorColor=&amp;driveLine=&amp;compositeType=new&amp;showSubmit=true&amp;newListingAlias=%2Fnew-inventory%2Findex.htm&amp;quick=true&amp;showInvTotals=false&amp;payment-selection=payment-panel-paymentLease&amp;facetbrowse=true&amp;showRadius=false&amp;usedListingAlias=%2Fused-inventory%2Findex.htm&amp;dependencies=model%3Amake%2Ccity%3Aprovince%2Ccity%3Astate&amp;suppressAllConditions=true&amp;searchLinkText=SEARCH&amp;certifiedListingAlias=%2Fcertified-inventory%2Findex.htm&amp;saveFacetState=true&amp;showReset=false&amp;facetbrowseGridUnit=BLANK&amp;showSelections=true&amp;lastFacetInteracted=inventory-listing1-facet-anchor-superModel-1
	-Zachary Shahan</t>
      </text>
    </comment>
  </commentList>
</comments>
</file>

<file path=xl/comments9.xml><?xml version="1.0" encoding="utf-8"?>
<comments xmlns:r="http://schemas.openxmlformats.org/officeDocument/2006/relationships" xmlns="http://schemas.openxmlformats.org/spreadsheetml/2006/main">
  <authors>
    <author/>
  </authors>
  <commentList>
    <comment authorId="0" ref="D3">
      <text>
        <t xml:space="preserve">https://www.audisarasota.com/new-inventory/index.htm?compositeType=new&amp;year=2019&amp;make=Audi&amp;model=A4&amp;sortBy=internetPrice+asc&amp;
	-Zachary Shahan</t>
      </text>
    </comment>
  </commentList>
</comments>
</file>

<file path=xl/sharedStrings.xml><?xml version="1.0" encoding="utf-8"?>
<sst xmlns="http://schemas.openxmlformats.org/spreadsheetml/2006/main" count="1526" uniqueCount="143">
  <si>
    <t>If you would like to use this sheet, simply copy/duplicate it and paste into a Google Sheet.</t>
  </si>
  <si>
    <t>Model</t>
  </si>
  <si>
    <t>Tesla Model 3</t>
  </si>
  <si>
    <t>Toyota Camry XLE</t>
  </si>
  <si>
    <t>Toyota Camry SE</t>
  </si>
  <si>
    <t>Sources</t>
  </si>
  <si>
    <t>Toyota Camry XLE Hybrid</t>
  </si>
  <si>
    <t>Purchase Price</t>
  </si>
  <si>
    <t>*Variables You Can Change Have Grey Background</t>
  </si>
  <si>
    <t>Avg miles/year</t>
  </si>
  <si>
    <t>http://www.fhwa.dot.gov/ohim/onh00/bar8.htm</t>
  </si>
  <si>
    <t>5 Year Resale Value (via KBB)</t>
  </si>
  <si>
    <t>Cash Cost after Resale</t>
  </si>
  <si>
    <t>Incentives</t>
  </si>
  <si>
    <t>Avg price of gas</t>
  </si>
  <si>
    <t>http://www.eia.gov/petroleum/gasdiesel/</t>
  </si>
  <si>
    <t>Cash Cost after Incentives &amp; Resale Deduction</t>
  </si>
  <si>
    <t>1 gallon of gasoline = 33.7 kWh</t>
  </si>
  <si>
    <t>http://www.fueleconomy.gov/feg/evsbs.shtml</t>
  </si>
  <si>
    <t>Interest after 5 years (assuming $5000 down and 5.5% interest rate)</t>
  </si>
  <si>
    <t>Price of Gas</t>
  </si>
  <si>
    <t>—</t>
  </si>
  <si>
    <t>Avg ICEV maintenance costs</t>
  </si>
  <si>
    <t>http://newsroom.aaa.com/2012/04/cost-of-owning-and-operating-vehicle-in-u-s-increased-1-9-percent-according-to-aaa%E2%80%99s-2012-%E2%80%98your-driving-costs%E2%80%99-study/</t>
  </si>
  <si>
    <t>Average Price of Electricity for Car</t>
  </si>
  <si>
    <t>Average Miles Per Year</t>
  </si>
  <si>
    <t>Maintenance Costs Per Mile</t>
  </si>
  <si>
    <t>Maintenance Costs Per Year</t>
  </si>
  <si>
    <t>Miles/kWh or MPG</t>
  </si>
  <si>
    <t>Average Gallons of Gas Per Year (Miles/MPG)</t>
  </si>
  <si>
    <t>Average kWh of Electricity Per Year for Car (Miles/4.24)</t>
  </si>
  <si>
    <t>Average kWh of Electricity Per Year for Car (Miles/4)</t>
  </si>
  <si>
    <t>Average Cost of Fuel Per Year</t>
  </si>
  <si>
    <t>5 Year Total Cost of Ownership</t>
  </si>
  <si>
    <t>Total Cost Of Car After Year...</t>
  </si>
  <si>
    <t>... Savings</t>
  </si>
  <si>
    <t>Toyota Camry SE Hybrid</t>
  </si>
  <si>
    <t>Tesla Model 3 SR+</t>
  </si>
  <si>
    <t>Toyota Camry L</t>
  </si>
  <si>
    <t>Sales tax</t>
  </si>
  <si>
    <t>Destination &amp; doc fee</t>
  </si>
  <si>
    <t>Interest after 5 years (assuming $5000 down and 4.25% interest rate)</t>
  </si>
  <si>
    <t>Maintenance Costs (5 Years)</t>
  </si>
  <si>
    <t>https://www.edmunds.com/toyota/camry/2019/cost-to-own/#style=401771278</t>
  </si>
  <si>
    <t>https://www.fueleconomy.gov/feg/PowerSearch.do?action=noform&amp;path=1&amp;year1=2019&amp;year2=2019&amp;make=Toyota&amp;baseModel=Camry&amp;srchtyp=ymm</t>
  </si>
  <si>
    <t>Toyota Camry XLE V6</t>
  </si>
  <si>
    <t>Toyota Camry XSE</t>
  </si>
  <si>
    <t>Honda Accord LX</t>
  </si>
  <si>
    <t>Honda Accord EX</t>
  </si>
  <si>
    <t>https://www.edmunds.com/honda/accord/2019/cost-to-own/#style=401779179</t>
  </si>
  <si>
    <t>https://www.edmunds.com/honda/accord/2019/cost-to-own/#style=401779177</t>
  </si>
  <si>
    <t>Honda Accord Touring</t>
  </si>
  <si>
    <t>Allowing access to this sheet, even just certain cells, created quite a mess. If you would like to use the sheet, simply copy/duplicate it for your own private use. Thank you.</t>
  </si>
  <si>
    <t>Car</t>
  </si>
  <si>
    <t>BMW 230i</t>
  </si>
  <si>
    <t>"Premium" Package</t>
  </si>
  <si>
    <t>Adaptive Cruise Control</t>
  </si>
  <si>
    <t>BMW 330i xDrive Sedan</t>
  </si>
  <si>
    <t>5 Year Resale Value (via KBB &amp; Edmunds)</t>
  </si>
  <si>
    <t>Convenience Package</t>
  </si>
  <si>
    <t>Cash Cost after Incentives &amp; Resale Deduction &amp; Taxes/Fees</t>
  </si>
  <si>
    <t>Interest after 5 years (assuming $5000 down and 4% interest rate)</t>
  </si>
  <si>
    <t>https://www.edmunds.com/honda/accord/2019/cost-to-own/#style=401779176</t>
  </si>
  <si>
    <t>Avg Price Of Electricity For Car</t>
  </si>
  <si>
    <t>Miles/kWh</t>
  </si>
  <si>
    <t>Average Gallons Of Gas Per Year (Miles/MPG)</t>
  </si>
  <si>
    <t>Average kWh Of Electricity Per Year For Car (Miles/4)</t>
  </si>
  <si>
    <t>Average Cost Of Fuel Per Year</t>
  </si>
  <si>
    <t>BMW 2 Series</t>
  </si>
  <si>
    <t>BMW 3 Series</t>
  </si>
  <si>
    <t>Audi A4 Premium</t>
  </si>
  <si>
    <t>BMW 440i Coupe</t>
  </si>
  <si>
    <t>Audi A4 Premium Plus</t>
  </si>
  <si>
    <t>BMW 4 Series</t>
  </si>
  <si>
    <t>If you would like to use the sheet, simply copy/duplicate it for your own private use. Thank you.</t>
  </si>
  <si>
    <t>Mercedes-Benz C300</t>
  </si>
  <si>
    <t>Honda Civic Touring</t>
  </si>
  <si>
    <t>https://investinganswers.com/calculators/loan/loan-interest-calculator-how-much-interest-will-i-pay-my-lender-3191</t>
  </si>
  <si>
    <t>https://gasprices.aaa.com/state-gas-price-averages/</t>
  </si>
  <si>
    <t>https://www.edmunds.com/honda/civic/2019/cost-to-own/#style=401773860</t>
  </si>
  <si>
    <t>Mercedes-Benz C-Class</t>
  </si>
  <si>
    <t>https://cleantechnica.com/2019/06/12/tesla-model-3-maintenance-guide-costs-even-lower-than-i-thought/</t>
  </si>
  <si>
    <t>https://www.fueleconomy.gov/feg/PowerSearch.do?action=noform&amp;path=1&amp;year1=2019&amp;year2=2019&amp;make=Honda&amp;baseModel=Civic&amp;srchtyp=ymm&amp;pageno=1&amp;sortBy=Comb&amp;tabView=0&amp;rowLimit=10</t>
  </si>
  <si>
    <t>Honda Civic EX</t>
  </si>
  <si>
    <t>Honda Civic LX</t>
  </si>
  <si>
    <t>Toyota Corolla XSE</t>
  </si>
  <si>
    <t>https://www.edmunds.com/honda/civic/2019/cost-to-own/#style=401773862</t>
  </si>
  <si>
    <t>https://www.edmunds.com/toyota/corolla/2019/cost-to-own/#style=401756838</t>
  </si>
  <si>
    <t>https://www.fueleconomy.gov/feg/PowerSearch.do?action=noform&amp;path=1&amp;year1=2019&amp;year2=2019&amp;make=Toyota&amp;baseModel=Corolla&amp;srchtyp=ymm</t>
  </si>
  <si>
    <t>Toyota Corolla Hybrid LE</t>
  </si>
  <si>
    <t>Toyota Corolla L</t>
  </si>
  <si>
    <t>Nissan Maxima SV</t>
  </si>
  <si>
    <t>Nissan Altima SV</t>
  </si>
  <si>
    <t>VW ID.3 (low est.)*</t>
  </si>
  <si>
    <t>Nissan Maxima Platinum Reserve</t>
  </si>
  <si>
    <t>VW ID.3 (high est.)</t>
  </si>
  <si>
    <t>VW Golf (low end)</t>
  </si>
  <si>
    <t>Nissan Altima Platinum VC-Turbo</t>
  </si>
  <si>
    <t>VW Golf (high end)</t>
  </si>
  <si>
    <t>5 Year Resale Value (est.)</t>
  </si>
  <si>
    <t>Skoda Octavia</t>
  </si>
  <si>
    <t>Skoda Octavia Sport Ed.</t>
  </si>
  <si>
    <t>Interest after 5 years (assuming 3000 euros down and 4% interest rate)</t>
  </si>
  <si>
    <t>Average Kilometers Per Year</t>
  </si>
  <si>
    <t>https://www.fueleconomy.gov/feg/Find.do?action=sbs&amp;id=41141</t>
  </si>
  <si>
    <t>l/100km</t>
  </si>
  <si>
    <t>https://www.fueleconomy.gov/feg/PowerSearch.do?action=noform&amp;path=1&amp;year1=2019&amp;year2=2019&amp;make=Nissan&amp;baseModel=Altima&amp;srchtyp=ymm</t>
  </si>
  <si>
    <t>Average Liters Of Gas Per Year</t>
  </si>
  <si>
    <t>Average kWh Of Electricity Per Year (15kWh/100km)</t>
  </si>
  <si>
    <t xml:space="preserve">*Assumes €4000 subsidy or €2000 subsidy and a base price €2000 below €30,000.
</t>
  </si>
  <si>
    <t>Renault Megane Life</t>
  </si>
  <si>
    <t>Renault Megane GT</t>
  </si>
  <si>
    <t>Peugeot 308 Access</t>
  </si>
  <si>
    <t>Peugeot 308 GT</t>
  </si>
  <si>
    <t>BMW i3</t>
  </si>
  <si>
    <t>Tech &amp; Driving Assistant Package</t>
  </si>
  <si>
    <t>Better audio system + moonroof</t>
  </si>
  <si>
    <t>5 Year Cost (est.)</t>
  </si>
  <si>
    <t>Honda Accord Touring Hybrid E-CVT</t>
  </si>
  <si>
    <t>Honda Accord EX-L Hybrid E-CVT</t>
  </si>
  <si>
    <t>Honda Accord EX Hybrid E-CVT</t>
  </si>
  <si>
    <t>Honda Accord Sport CVT</t>
  </si>
  <si>
    <t>Honda Accord LX CVT</t>
  </si>
  <si>
    <t>Cars</t>
  </si>
  <si>
    <t>Kia Soul</t>
  </si>
  <si>
    <t>Kia Soul EV</t>
  </si>
  <si>
    <t>Remote engine start, adaptive cruise control, heated front seats</t>
  </si>
  <si>
    <t>Better audio system</t>
  </si>
  <si>
    <t>Cash Cost after Incentives &amp; Resale</t>
  </si>
  <si>
    <t>Average miles Per Year</t>
  </si>
  <si>
    <t>Maintenance Costs Per mile</t>
  </si>
  <si>
    <t>Average kWh Of Electricity Per Year For Car (Miles/4.24)</t>
  </si>
  <si>
    <t>5 Year Cost</t>
  </si>
  <si>
    <t xml:space="preserve">X </t>
  </si>
  <si>
    <t>Nissan Leaf</t>
  </si>
  <si>
    <t>Gas Car</t>
  </si>
  <si>
    <t>Driving Assist Features</t>
  </si>
  <si>
    <t>Price After Incentives</t>
  </si>
  <si>
    <t>Average m's Per Year</t>
  </si>
  <si>
    <t>MPGe or MPG</t>
  </si>
  <si>
    <t>Average kWh Of Electricity Per Year For Car (Miles/(MPGe/34)</t>
  </si>
  <si>
    <t>used leaf SL</t>
  </si>
  <si>
    <t>Used Car X</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</si>
</sst>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
    <numFmt numFmtId="165" formatCode="&quot;$&quot;#,##0.00"/>
    <numFmt numFmtId="166" formatCode="[$€]#,##0"/>
    <numFmt numFmtId="167" formatCode="[$€]#,##0.00"/>
    <numFmt numFmtId="168" formatCode="#,##0.0000"/>
  </numFmts>
  <fonts count="16">
    <font>
      <sz val="10.0"/>
      <color rgb="FF000000"/>
      <name val="Arial"/>
    </font>
    <font>
      <b/>
      <name val="Arial"/>
    </font>
    <font>
      <b/>
      <sz val="14.0"/>
      <color rgb="FF666666"/>
      <name val="Arial"/>
    </font>
    <font>
      <name val="Arial"/>
    </font>
    <font>
      <b/>
      <sz val="10.0"/>
      <color rgb="FF000000"/>
      <name val="Arial"/>
    </font>
    <font>
      <u/>
      <color rgb="FF1155CC"/>
      <name val="Arial"/>
    </font>
    <font/>
    <font>
      <u/>
      <color rgb="FF0000FF"/>
    </font>
    <font>
      <u/>
      <color rgb="FF0000FF"/>
    </font>
    <font>
      <b/>
      <sz val="17.0"/>
      <color rgb="FF666666"/>
      <name val="Arial"/>
    </font>
    <font>
      <color rgb="FF000000"/>
      <name val="Arial"/>
    </font>
    <font>
      <b/>
      <sz val="12.0"/>
      <name val="Arial"/>
    </font>
    <font>
      <b/>
      <sz val="12.0"/>
      <color rgb="FF000000"/>
      <name val="Arial"/>
    </font>
    <font>
      <b/>
      <sz val="11.0"/>
      <name val="Arial"/>
    </font>
    <font>
      <sz val="11.0"/>
      <name val="Arial"/>
    </font>
    <font>
      <i/>
      <color rgb="FF666666"/>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CFE2F3"/>
        <bgColor rgb="FFCFE2F3"/>
      </patternFill>
    </fill>
    <fill>
      <patternFill patternType="solid">
        <fgColor rgb="FFD9EAD3"/>
        <bgColor rgb="FFD9EAD3"/>
      </patternFill>
    </fill>
    <fill>
      <patternFill patternType="solid">
        <fgColor rgb="FFF3F3F3"/>
        <bgColor rgb="FFF3F3F3"/>
      </patternFill>
    </fill>
  </fills>
  <borders count="1">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horizontal="center"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0" fontId="1" numFmtId="0" xfId="0" applyAlignment="1" applyFont="1">
      <alignment readingOrder="0" vertical="bottom"/>
    </xf>
    <xf borderId="0" fillId="0" fontId="1" numFmtId="0" xfId="0" applyAlignment="1" applyFont="1">
      <alignment horizontal="center" readingOrder="0" vertical="bottom"/>
    </xf>
    <xf borderId="0" fillId="2" fontId="4" numFmtId="0" xfId="0" applyAlignment="1" applyFont="1">
      <alignment horizontal="center" readingOrder="0"/>
    </xf>
    <xf borderId="0" fillId="2" fontId="3" numFmtId="0" xfId="0" applyAlignment="1" applyFont="1">
      <alignment vertical="bottom"/>
    </xf>
    <xf borderId="0" fillId="3" fontId="3" numFmtId="0" xfId="0" applyAlignment="1" applyFill="1" applyFont="1">
      <alignment vertical="bottom"/>
    </xf>
    <xf borderId="0" fillId="3" fontId="3" numFmtId="164" xfId="0" applyAlignment="1" applyFont="1" applyNumberFormat="1">
      <alignment horizontal="center" readingOrder="0" vertical="bottom"/>
    </xf>
    <xf borderId="0" fillId="3" fontId="3" numFmtId="0" xfId="0" applyAlignment="1" applyFont="1">
      <alignment readingOrder="0" vertical="bottom"/>
    </xf>
    <xf borderId="0" fillId="0" fontId="5" numFmtId="0" xfId="0" applyAlignment="1" applyFont="1">
      <alignment vertical="bottom"/>
    </xf>
    <xf borderId="0" fillId="2" fontId="3" numFmtId="0" xfId="0" applyAlignment="1" applyFont="1">
      <alignment vertical="bottom"/>
    </xf>
    <xf borderId="0" fillId="3" fontId="3" numFmtId="165" xfId="0" applyAlignment="1" applyFont="1" applyNumberFormat="1">
      <alignment horizontal="center" readingOrder="0" vertical="bottom"/>
    </xf>
    <xf borderId="0" fillId="0" fontId="6" numFmtId="0" xfId="0" applyAlignment="1" applyFont="1">
      <alignment readingOrder="0"/>
    </xf>
    <xf borderId="0" fillId="3" fontId="3" numFmtId="0" xfId="0" applyAlignment="1" applyFont="1">
      <alignment vertical="bottom"/>
    </xf>
    <xf borderId="0" fillId="3" fontId="3" numFmtId="164" xfId="0" applyAlignment="1" applyFont="1" applyNumberFormat="1">
      <alignment horizontal="center" vertical="bottom"/>
    </xf>
    <xf borderId="0" fillId="0" fontId="3" numFmtId="165" xfId="0" applyAlignment="1" applyFont="1" applyNumberFormat="1">
      <alignment horizontal="center" vertical="bottom"/>
    </xf>
    <xf borderId="0" fillId="0" fontId="3" numFmtId="165" xfId="0" applyAlignment="1" applyFont="1" applyNumberFormat="1">
      <alignment horizontal="right" vertical="bottom"/>
    </xf>
    <xf borderId="0" fillId="2" fontId="3" numFmtId="165" xfId="0" applyAlignment="1" applyFont="1" applyNumberFormat="1">
      <alignment horizontal="right" readingOrder="0" vertical="bottom"/>
    </xf>
    <xf borderId="0" fillId="3" fontId="3" numFmtId="3" xfId="0" applyAlignment="1" applyFont="1" applyNumberFormat="1">
      <alignment horizontal="center" readingOrder="0" vertical="bottom"/>
    </xf>
    <xf borderId="0" fillId="0" fontId="3" numFmtId="164" xfId="0" applyAlignment="1" applyFont="1" applyNumberFormat="1">
      <alignment horizontal="center" vertical="bottom"/>
    </xf>
    <xf borderId="0" fillId="3" fontId="3" numFmtId="0" xfId="0" applyAlignment="1" applyFont="1">
      <alignment horizontal="center" readingOrder="0" vertical="bottom"/>
    </xf>
    <xf borderId="0" fillId="0" fontId="3" numFmtId="0" xfId="0" applyAlignment="1" applyFont="1">
      <alignment horizontal="center" readingOrder="0" vertical="bottom"/>
    </xf>
    <xf borderId="0" fillId="0" fontId="3" numFmtId="4" xfId="0" applyAlignment="1" applyFont="1" applyNumberFormat="1">
      <alignment horizontal="center" readingOrder="0" vertical="bottom"/>
    </xf>
    <xf borderId="0" fillId="0" fontId="3" numFmtId="3" xfId="0" applyAlignment="1" applyFont="1" applyNumberFormat="1">
      <alignment horizontal="center" readingOrder="0" vertical="bottom"/>
    </xf>
    <xf borderId="0" fillId="0" fontId="3" numFmtId="165" xfId="0" applyAlignment="1" applyFont="1" applyNumberFormat="1">
      <alignment horizontal="center" readingOrder="0" vertical="bottom"/>
    </xf>
    <xf borderId="0" fillId="4" fontId="1" numFmtId="0" xfId="0" applyAlignment="1" applyFill="1" applyFont="1">
      <alignment readingOrder="0" vertical="bottom"/>
    </xf>
    <xf borderId="0" fillId="4" fontId="1" numFmtId="164" xfId="0" applyAlignment="1" applyFont="1" applyNumberFormat="1">
      <alignment horizontal="center" vertical="bottom"/>
    </xf>
    <xf borderId="0" fillId="2" fontId="3" numFmtId="165" xfId="0" applyAlignment="1" applyFont="1" applyNumberFormat="1">
      <alignment horizontal="right" vertical="bottom"/>
    </xf>
    <xf borderId="0" fillId="0" fontId="1" numFmtId="0" xfId="0" applyAlignment="1" applyFont="1">
      <alignment vertical="bottom"/>
    </xf>
    <xf borderId="0" fillId="0" fontId="3" numFmtId="0" xfId="0" applyAlignment="1" applyFont="1">
      <alignment horizontal="right" vertical="bottom"/>
    </xf>
    <xf borderId="0" fillId="0" fontId="3" numFmtId="164" xfId="0" applyAlignment="1" applyFont="1" applyNumberFormat="1">
      <alignment horizontal="right" vertical="bottom"/>
    </xf>
    <xf borderId="0" fillId="0" fontId="3" numFmtId="164" xfId="0" applyAlignment="1" applyFont="1" applyNumberForma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3" xfId="0" applyAlignment="1" applyFont="1" applyNumberFormat="1">
      <alignment horizontal="right" vertical="bottom"/>
    </xf>
    <xf borderId="0" fillId="0" fontId="6" numFmtId="164" xfId="0" applyAlignment="1" applyFont="1" applyNumberFormat="1">
      <alignment readingOrder="0"/>
    </xf>
    <xf borderId="0" fillId="2" fontId="3" numFmtId="0" xfId="0" applyAlignment="1" applyFont="1">
      <alignment readingOrder="0" vertical="bottom"/>
    </xf>
    <xf borderId="0" fillId="2" fontId="3" numFmtId="164" xfId="0" applyAlignment="1" applyFont="1" applyNumberFormat="1">
      <alignment horizontal="center" readingOrder="0" vertical="bottom"/>
    </xf>
    <xf borderId="0" fillId="0" fontId="3" numFmtId="164" xfId="0" applyAlignment="1" applyFont="1" applyNumberFormat="1">
      <alignment horizontal="center" readingOrder="0" vertical="bottom"/>
    </xf>
    <xf borderId="0" fillId="0" fontId="7" numFmtId="165" xfId="0" applyAlignment="1" applyFont="1" applyNumberFormat="1">
      <alignment readingOrder="0"/>
    </xf>
    <xf borderId="0" fillId="0" fontId="8" numFmtId="0" xfId="0" applyAlignment="1" applyFont="1">
      <alignment readingOrder="0"/>
    </xf>
    <xf borderId="0" fillId="3" fontId="3" numFmtId="4" xfId="0" applyAlignment="1" applyFont="1" applyNumberFormat="1">
      <alignment horizontal="center" readingOrder="0" vertical="bottom"/>
    </xf>
    <xf borderId="0" fillId="3" fontId="3" numFmtId="3" xfId="0" applyAlignment="1" applyFont="1" applyNumberFormat="1">
      <alignment horizontal="center" readingOrder="0" vertical="bottom"/>
    </xf>
    <xf borderId="0" fillId="2" fontId="1" numFmtId="0" xfId="0" applyAlignment="1" applyFont="1">
      <alignment readingOrder="0" vertical="bottom"/>
    </xf>
    <xf borderId="0" fillId="0" fontId="9" numFmtId="0" xfId="0" applyAlignment="1" applyFont="1">
      <alignment readingOrder="0" shrinkToFit="0" vertical="bottom" wrapText="1"/>
    </xf>
    <xf borderId="0" fillId="0" fontId="3" numFmtId="165" xfId="0" applyAlignment="1" applyFont="1" applyNumberFormat="1">
      <alignment readingOrder="0" vertical="bottom"/>
    </xf>
    <xf borderId="0" fillId="5" fontId="2" numFmtId="0" xfId="0" applyAlignment="1" applyFill="1" applyFont="1">
      <alignment horizontal="center" readingOrder="0" shrinkToFit="0" vertical="bottom" wrapText="1"/>
    </xf>
    <xf borderId="0" fillId="3" fontId="10" numFmtId="3" xfId="0" applyAlignment="1" applyFont="1" applyNumberFormat="1">
      <alignment horizontal="center" readingOrder="0"/>
    </xf>
    <xf borderId="0" fillId="6" fontId="3" numFmtId="0" xfId="0" applyAlignment="1" applyFill="1" applyFont="1">
      <alignment vertical="bottom"/>
    </xf>
    <xf borderId="0" fillId="6" fontId="3" numFmtId="0" xfId="0" applyAlignment="1" applyFont="1">
      <alignment horizontal="center" readingOrder="0" vertical="bottom"/>
    </xf>
    <xf borderId="0" fillId="6" fontId="3" numFmtId="4" xfId="0" applyAlignment="1" applyFont="1" applyNumberFormat="1">
      <alignment horizontal="center" readingOrder="0" vertical="bottom"/>
    </xf>
    <xf borderId="0" fillId="6" fontId="3" numFmtId="0" xfId="0" applyAlignment="1" applyFont="1">
      <alignment readingOrder="0" vertical="bottom"/>
    </xf>
    <xf borderId="0" fillId="4" fontId="1" numFmtId="0" xfId="0" applyAlignment="1" applyFont="1">
      <alignment readingOrder="0" shrinkToFit="0" vertical="bottom" wrapText="1"/>
    </xf>
    <xf borderId="0" fillId="4" fontId="1" numFmtId="164" xfId="0" applyAlignment="1" applyFont="1" applyNumberFormat="1">
      <alignment horizontal="center" readingOrder="0" vertical="bottom"/>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vertical="bottom" wrapText="1"/>
    </xf>
    <xf borderId="0" fillId="0" fontId="3" numFmtId="0" xfId="0" applyAlignment="1" applyFont="1">
      <alignment readingOrder="0" shrinkToFit="0" vertical="bottom" wrapText="1"/>
    </xf>
    <xf borderId="0" fillId="2" fontId="3" numFmtId="0" xfId="0" applyAlignment="1" applyFont="1">
      <alignment readingOrder="0" shrinkToFit="0" vertical="bottom" wrapText="1"/>
    </xf>
    <xf borderId="0" fillId="6" fontId="3" numFmtId="0" xfId="0" applyAlignment="1" applyFont="1">
      <alignment shrinkToFit="0" vertical="bottom" wrapText="1"/>
    </xf>
    <xf borderId="0" fillId="6" fontId="3" numFmtId="0" xfId="0" applyAlignment="1" applyFont="1">
      <alignment readingOrder="0" shrinkToFit="0" vertical="bottom" wrapText="1"/>
    </xf>
    <xf borderId="0" fillId="0" fontId="3" numFmtId="0" xfId="0" applyAlignment="1" applyFont="1">
      <alignment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11" numFmtId="0" xfId="0" applyAlignment="1" applyFont="1">
      <alignment readingOrder="0" vertical="bottom"/>
    </xf>
    <xf borderId="0" fillId="0" fontId="1" numFmtId="0" xfId="0" applyAlignment="1" applyFont="1">
      <alignment horizontal="center" readingOrder="0" shrinkToFit="0" vertical="bottom" wrapText="1"/>
    </xf>
    <xf borderId="0" fillId="0" fontId="11" numFmtId="0" xfId="0" applyAlignment="1" applyFont="1">
      <alignment horizontal="center" readingOrder="0" vertical="bottom"/>
    </xf>
    <xf borderId="0" fillId="2" fontId="4" numFmtId="0" xfId="0" applyAlignment="1" applyFont="1">
      <alignment horizontal="center" readingOrder="0" shrinkToFit="0" wrapText="1"/>
    </xf>
    <xf borderId="0" fillId="2" fontId="12" numFmtId="0" xfId="0" applyAlignment="1" applyFont="1">
      <alignment horizontal="center" readingOrder="0"/>
    </xf>
    <xf borderId="0" fillId="4" fontId="13" numFmtId="0" xfId="0" applyAlignment="1" applyFont="1">
      <alignment readingOrder="0" shrinkToFit="0" vertical="bottom" wrapText="1"/>
    </xf>
    <xf borderId="0" fillId="4" fontId="13" numFmtId="166" xfId="0" applyAlignment="1" applyFont="1" applyNumberFormat="1">
      <alignment horizontal="center" readingOrder="0" vertical="bottom"/>
    </xf>
    <xf borderId="0" fillId="3" fontId="14" numFmtId="0" xfId="0" applyAlignment="1" applyFont="1">
      <alignment shrinkToFit="0" vertical="bottom" wrapText="1"/>
    </xf>
    <xf borderId="0" fillId="3" fontId="14" numFmtId="166" xfId="0" applyAlignment="1" applyFont="1" applyNumberFormat="1">
      <alignment horizontal="center" vertical="bottom"/>
    </xf>
    <xf borderId="0" fillId="3" fontId="14" numFmtId="0" xfId="0" applyAlignment="1" applyFont="1">
      <alignment readingOrder="0" shrinkToFit="0" vertical="bottom" wrapText="1"/>
    </xf>
    <xf borderId="0" fillId="3" fontId="14" numFmtId="166" xfId="0" applyAlignment="1" applyFont="1" applyNumberFormat="1">
      <alignment horizontal="center" readingOrder="0" vertical="bottom"/>
    </xf>
    <xf borderId="0" fillId="3" fontId="14" numFmtId="166" xfId="0" applyAlignment="1" applyFont="1" applyNumberFormat="1">
      <alignment horizontal="center" vertical="bottom"/>
    </xf>
    <xf borderId="0" fillId="4" fontId="14" numFmtId="0" xfId="0" applyAlignment="1" applyFont="1">
      <alignment readingOrder="0" shrinkToFit="0" vertical="bottom" wrapText="1"/>
    </xf>
    <xf borderId="0" fillId="4" fontId="14" numFmtId="166" xfId="0" applyAlignment="1" applyFont="1" applyNumberFormat="1">
      <alignment horizontal="center" vertical="bottom"/>
    </xf>
    <xf borderId="0" fillId="4" fontId="14" numFmtId="166" xfId="0" applyAlignment="1" applyFont="1" applyNumberFormat="1">
      <alignment horizontal="center" readingOrder="0" vertical="bottom"/>
    </xf>
    <xf borderId="0" fillId="3" fontId="14" numFmtId="165" xfId="0" applyAlignment="1" applyFont="1" applyNumberFormat="1">
      <alignment horizontal="center" readingOrder="0" vertical="bottom"/>
    </xf>
    <xf borderId="0" fillId="3" fontId="14" numFmtId="167" xfId="0" applyAlignment="1" applyFont="1" applyNumberFormat="1">
      <alignment horizontal="center" readingOrder="0" vertical="bottom"/>
    </xf>
    <xf borderId="0" fillId="3" fontId="14" numFmtId="3" xfId="0" applyAlignment="1" applyFont="1" applyNumberFormat="1">
      <alignment horizontal="center" readingOrder="0" vertical="bottom"/>
    </xf>
    <xf borderId="0" fillId="3" fontId="14" numFmtId="0" xfId="0" applyAlignment="1" applyFont="1">
      <alignment horizontal="center" readingOrder="0" vertical="bottom"/>
    </xf>
    <xf borderId="0" fillId="6" fontId="14" numFmtId="0" xfId="0" applyAlignment="1" applyFont="1">
      <alignment readingOrder="0" shrinkToFit="0" vertical="bottom" wrapText="1"/>
    </xf>
    <xf borderId="0" fillId="6" fontId="14" numFmtId="0" xfId="0" applyAlignment="1" applyFont="1">
      <alignment horizontal="center" readingOrder="0" vertical="bottom"/>
    </xf>
    <xf borderId="0" fillId="6" fontId="14" numFmtId="4" xfId="0" applyAlignment="1" applyFont="1" applyNumberFormat="1">
      <alignment horizontal="center" readingOrder="0" vertical="bottom"/>
    </xf>
    <xf borderId="0" fillId="6" fontId="14" numFmtId="3" xfId="0" applyAlignment="1" applyFont="1" applyNumberFormat="1">
      <alignment horizontal="center" readingOrder="0" vertical="bottom"/>
    </xf>
    <xf borderId="0" fillId="6" fontId="14" numFmtId="3" xfId="0" applyAlignment="1" applyFont="1" applyNumberFormat="1">
      <alignment horizontal="center" readingOrder="0" vertical="bottom"/>
    </xf>
    <xf borderId="0" fillId="4" fontId="14" numFmtId="0" xfId="0" applyAlignment="1" applyFont="1">
      <alignment shrinkToFit="0" vertical="bottom" wrapText="1"/>
    </xf>
    <xf borderId="0" fillId="2" fontId="15" numFmtId="0" xfId="0" applyAlignment="1" applyFont="1">
      <alignment readingOrder="0" shrinkToFit="0" vertical="bottom" wrapText="0"/>
    </xf>
    <xf borderId="0" fillId="2" fontId="1" numFmtId="164" xfId="0" applyAlignment="1" applyFont="1" applyNumberFormat="1">
      <alignment horizontal="center" vertical="bottom"/>
    </xf>
    <xf borderId="0" fillId="3" fontId="3" numFmtId="165" xfId="0" applyAlignment="1" applyFont="1" applyNumberFormat="1">
      <alignment horizontal="center" readingOrder="0" vertical="bottom"/>
    </xf>
    <xf borderId="0" fillId="3" fontId="3" numFmtId="165" xfId="0" applyAlignment="1" applyFont="1" applyNumberFormat="1">
      <alignment horizontal="center" vertical="bottom"/>
    </xf>
    <xf borderId="0" fillId="2" fontId="3" numFmtId="165" xfId="0" applyAlignment="1" applyFont="1" applyNumberFormat="1">
      <alignment horizontal="center" readingOrder="0" vertical="bottom"/>
    </xf>
    <xf borderId="0" fillId="4" fontId="1" numFmtId="0" xfId="0" applyAlignment="1" applyFont="1">
      <alignment horizontal="center" readingOrder="0" vertical="bottom"/>
    </xf>
    <xf borderId="0" fillId="4" fontId="6" numFmtId="164" xfId="0" applyAlignment="1" applyFont="1" applyNumberFormat="1">
      <alignment horizontal="center" readingOrder="0"/>
    </xf>
    <xf borderId="0" fillId="4" fontId="4" numFmtId="0" xfId="0" applyAlignment="1" applyFont="1">
      <alignment horizontal="center" readingOrder="0"/>
    </xf>
    <xf borderId="0" fillId="4" fontId="4" numFmtId="164" xfId="0" applyAlignment="1" applyFont="1" applyNumberFormat="1">
      <alignment horizontal="center" readingOrder="0"/>
    </xf>
    <xf borderId="0" fillId="0" fontId="2" numFmtId="0" xfId="0" applyAlignment="1" applyFont="1">
      <alignment readingOrder="0" shrinkToFit="0" vertical="bottom" wrapText="1"/>
    </xf>
    <xf borderId="0" fillId="3" fontId="3" numFmtId="165" xfId="0" applyAlignment="1" applyFont="1" applyNumberFormat="1">
      <alignment horizontal="right" readingOrder="0" vertical="bottom"/>
    </xf>
    <xf borderId="0" fillId="3" fontId="3" numFmtId="166" xfId="0" applyAlignment="1" applyFont="1" applyNumberFormat="1">
      <alignment horizontal="right" readingOrder="0" vertical="bottom"/>
    </xf>
    <xf borderId="0" fillId="3" fontId="3" numFmtId="166" xfId="0" applyAlignment="1" applyFont="1" applyNumberFormat="1">
      <alignment horizontal="right" readingOrder="0" vertical="bottom"/>
    </xf>
    <xf borderId="0" fillId="0" fontId="3" numFmtId="0" xfId="0" applyAlignment="1" applyFont="1">
      <alignment vertical="bottom"/>
    </xf>
    <xf borderId="0" fillId="3" fontId="3" numFmtId="166" xfId="0" applyAlignment="1" applyFont="1" applyNumberFormat="1">
      <alignment horizontal="right" vertical="bottom"/>
    </xf>
    <xf borderId="0" fillId="0" fontId="3" numFmtId="166" xfId="0" applyAlignment="1" applyFont="1" applyNumberFormat="1">
      <alignment horizontal="right" vertical="bottom"/>
    </xf>
    <xf borderId="0" fillId="3" fontId="3" numFmtId="165" xfId="0" applyAlignment="1" applyFont="1" applyNumberFormat="1">
      <alignment readingOrder="0" vertical="bottom"/>
    </xf>
    <xf borderId="0" fillId="3" fontId="3" numFmtId="167" xfId="0" applyAlignment="1" applyFont="1" applyNumberFormat="1">
      <alignment readingOrder="0" vertical="bottom"/>
    </xf>
    <xf borderId="0" fillId="3" fontId="3" numFmtId="167" xfId="0" applyAlignment="1" applyFont="1" applyNumberFormat="1">
      <alignment horizontal="right" readingOrder="0" vertical="bottom"/>
    </xf>
    <xf borderId="0" fillId="0" fontId="3" numFmtId="167" xfId="0" applyAlignment="1" applyFont="1" applyNumberFormat="1">
      <alignment readingOrder="0" vertical="bottom"/>
    </xf>
    <xf borderId="0" fillId="3" fontId="3" numFmtId="3" xfId="0" applyAlignment="1" applyFont="1" applyNumberFormat="1">
      <alignment horizontal="right" readingOrder="0" vertical="bottom"/>
    </xf>
    <xf borderId="0" fillId="3" fontId="10" numFmtId="3" xfId="0" applyAlignment="1" applyFont="1" applyNumberFormat="1">
      <alignment horizontal="right" readingOrder="0"/>
    </xf>
    <xf borderId="0" fillId="3" fontId="3" numFmtId="168" xfId="0" applyAlignment="1" applyFont="1" applyNumberFormat="1">
      <alignment horizontal="right" readingOrder="0" vertical="bottom"/>
    </xf>
    <xf borderId="0" fillId="3" fontId="3" numFmtId="167" xfId="0" applyAlignment="1" applyFont="1" applyNumberFormat="1">
      <alignment readingOrder="0" vertical="bottom"/>
    </xf>
    <xf borderId="0" fillId="3" fontId="3" numFmtId="0" xfId="0" applyAlignment="1" applyFont="1">
      <alignment horizontal="right" readingOrder="0" vertical="bottom"/>
    </xf>
    <xf borderId="0" fillId="0" fontId="3" numFmtId="167" xfId="0" applyAlignment="1" applyFont="1" applyNumberFormat="1">
      <alignment horizontal="right" vertical="bottom"/>
    </xf>
    <xf borderId="0" fillId="0" fontId="3" numFmtId="4" xfId="0" applyAlignment="1" applyFont="1" applyNumberFormat="1">
      <alignment horizontal="right" vertical="bottom"/>
    </xf>
    <xf borderId="0" fillId="0" fontId="3" numFmtId="4" xfId="0" applyAlignment="1" applyFont="1" applyNumberFormat="1">
      <alignment horizontal="right" readingOrder="0" vertical="bottom"/>
    </xf>
    <xf borderId="0" fillId="0" fontId="3" numFmtId="166" xfId="0" applyAlignment="1" applyFont="1" applyNumberFormat="1">
      <alignment horizontal="right" readingOrder="0" vertical="bottom"/>
    </xf>
    <xf borderId="0" fillId="3" fontId="3" numFmtId="165" xfId="0" applyAlignment="1" applyFont="1" applyNumberFormat="1">
      <alignment horizontal="right" vertical="bottom"/>
    </xf>
    <xf borderId="0" fillId="0" fontId="3" numFmtId="166" xfId="0" applyAlignment="1" applyFont="1" applyNumberForma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20" Type="http://schemas.openxmlformats.org/officeDocument/2006/relationships/worksheet" Target="worksheets/sheet18.xml"/><Relationship Id="rId41" Type="http://schemas.openxmlformats.org/officeDocument/2006/relationships/worksheet" Target="worksheets/sheet39.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5" Type="http://schemas.openxmlformats.org/officeDocument/2006/relationships/worksheet" Target="worksheets/sheet3.xml"/><Relationship Id="rId6" Type="http://schemas.openxmlformats.org/officeDocument/2006/relationships/worksheet" Target="worksheets/sheet4.xml"/><Relationship Id="rId29" Type="http://schemas.openxmlformats.org/officeDocument/2006/relationships/worksheet" Target="worksheets/sheet27.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11" Type="http://schemas.openxmlformats.org/officeDocument/2006/relationships/worksheet" Target="worksheets/sheet9.xml"/><Relationship Id="rId33" Type="http://schemas.openxmlformats.org/officeDocument/2006/relationships/worksheet" Target="worksheets/sheet31.xml"/><Relationship Id="rId10" Type="http://schemas.openxmlformats.org/officeDocument/2006/relationships/worksheet" Target="worksheets/sheet8.xml"/><Relationship Id="rId32" Type="http://schemas.openxmlformats.org/officeDocument/2006/relationships/worksheet" Target="worksheets/sheet30.xml"/><Relationship Id="rId13" Type="http://schemas.openxmlformats.org/officeDocument/2006/relationships/worksheet" Target="worksheets/sheet11.xml"/><Relationship Id="rId35" Type="http://schemas.openxmlformats.org/officeDocument/2006/relationships/worksheet" Target="worksheets/sheet33.xml"/><Relationship Id="rId12" Type="http://schemas.openxmlformats.org/officeDocument/2006/relationships/worksheet" Target="worksheets/sheet10.xml"/><Relationship Id="rId34" Type="http://schemas.openxmlformats.org/officeDocument/2006/relationships/worksheet" Target="worksheets/sheet32.xml"/><Relationship Id="rId15" Type="http://schemas.openxmlformats.org/officeDocument/2006/relationships/worksheet" Target="worksheets/sheet13.xml"/><Relationship Id="rId37" Type="http://schemas.openxmlformats.org/officeDocument/2006/relationships/worksheet" Target="worksheets/sheet35.xml"/><Relationship Id="rId14" Type="http://schemas.openxmlformats.org/officeDocument/2006/relationships/worksheet" Target="worksheets/sheet12.xml"/><Relationship Id="rId36" Type="http://schemas.openxmlformats.org/officeDocument/2006/relationships/worksheet" Target="worksheets/sheet34.xml"/><Relationship Id="rId17" Type="http://schemas.openxmlformats.org/officeDocument/2006/relationships/worksheet" Target="worksheets/sheet15.xml"/><Relationship Id="rId39" Type="http://schemas.openxmlformats.org/officeDocument/2006/relationships/worksheet" Target="worksheets/sheet37.xml"/><Relationship Id="rId16" Type="http://schemas.openxmlformats.org/officeDocument/2006/relationships/worksheet" Target="worksheets/sheet14.xml"/><Relationship Id="rId38" Type="http://schemas.openxmlformats.org/officeDocument/2006/relationships/worksheet" Target="worksheets/sheet36.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9" Type="http://schemas.openxmlformats.org/officeDocument/2006/relationships/vmlDrawing" Target="../drawings/vmlDrawing7.v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honda/accord/2019/cost-to-own/" TargetMode="External"/><Relationship Id="rId7" Type="http://schemas.openxmlformats.org/officeDocument/2006/relationships/hyperlink" Target="https://www.fueleconomy.gov/feg/PowerSearch.do?action=noform&amp;path=1&amp;year1=2019&amp;year2=2019&amp;make=Toyota&amp;baseModel=Camry&amp;srchtyp=ymm"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12.xml"/><Relationship Id="rId7" Type="http://schemas.openxmlformats.org/officeDocument/2006/relationships/vmlDrawing" Target="../drawings/vmlDrawing8.vml"/></Relationships>
</file>

<file path=xl/worksheets/_rels/sheet13.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14.xml"/><Relationship Id="rId7" Type="http://schemas.openxmlformats.org/officeDocument/2006/relationships/vmlDrawing" Target="../drawings/vmlDrawing9.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15.xml"/><Relationship Id="rId7"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16.xml"/><Relationship Id="rId7"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17.xml"/><Relationship Id="rId7" Type="http://schemas.openxmlformats.org/officeDocument/2006/relationships/vmlDrawing" Target="../drawings/vmlDrawing12.vml"/></Relationships>
</file>

<file path=xl/worksheets/_rels/sheet18.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s://investinganswers.com/calculators/loan/loan-interest-calculator-how-much-interest-will-i-pay-my-lender-3191" TargetMode="External"/><Relationship Id="rId10" Type="http://schemas.openxmlformats.org/officeDocument/2006/relationships/drawing" Target="../drawings/drawing18.xml"/><Relationship Id="rId9" Type="http://schemas.openxmlformats.org/officeDocument/2006/relationships/hyperlink" Target="https://www.fueleconomy.gov/feg/PowerSearch.do?action=noform&amp;path=1&amp;year1=2019&amp;year2=2019&amp;make=Honda&amp;baseModel=Civic&amp;srchtyp=ymm&amp;pageno=1&amp;sortBy=Comb&amp;tabView=0&amp;rowLimit=10" TargetMode="External"/><Relationship Id="rId5" Type="http://schemas.openxmlformats.org/officeDocument/2006/relationships/hyperlink" Target="https://gasprices.aaa.com/state-gas-price-averages/" TargetMode="External"/><Relationship Id="rId6" Type="http://schemas.openxmlformats.org/officeDocument/2006/relationships/hyperlink" Target="http://newsroom.aaa.com/2012/04/cost-of-owning-and-operating-vehicle-in-u-s-increased-1-9-percent-according-to-aaa%E2%80%99s-2012-%E2%80%98your-driving-costs%E2%80%99-study/" TargetMode="External"/><Relationship Id="rId7" Type="http://schemas.openxmlformats.org/officeDocument/2006/relationships/hyperlink" Target="https://www.edmunds.com/honda/civic/2019/cost-to-own/" TargetMode="External"/><Relationship Id="rId8" Type="http://schemas.openxmlformats.org/officeDocument/2006/relationships/hyperlink" Target="https://cleantechnica.com/2019/06/12/tesla-model-3-maintenance-guide-costs-even-lower-than-i-though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s://investinganswers.com/calculators/loan/loan-interest-calculator-how-much-interest-will-i-pay-my-lender-3191" TargetMode="External"/><Relationship Id="rId10" Type="http://schemas.openxmlformats.org/officeDocument/2006/relationships/drawing" Target="../drawings/drawing19.xml"/><Relationship Id="rId9" Type="http://schemas.openxmlformats.org/officeDocument/2006/relationships/hyperlink" Target="https://www.fueleconomy.gov/feg/PowerSearch.do?action=noform&amp;path=1&amp;year1=2019&amp;year2=2019&amp;make=Honda&amp;baseModel=Civic&amp;srchtyp=ymm&amp;pageno=1&amp;sortBy=Comb&amp;tabView=0&amp;rowLimit=10" TargetMode="External"/><Relationship Id="rId5" Type="http://schemas.openxmlformats.org/officeDocument/2006/relationships/hyperlink" Target="https://gasprices.aaa.com/state-gas-price-averages/" TargetMode="External"/><Relationship Id="rId6" Type="http://schemas.openxmlformats.org/officeDocument/2006/relationships/hyperlink" Target="http://newsroom.aaa.com/2012/04/cost-of-owning-and-operating-vehicle-in-u-s-increased-1-9-percent-according-to-aaa%E2%80%99s-2012-%E2%80%98your-driving-costs%E2%80%99-study/" TargetMode="External"/><Relationship Id="rId7" Type="http://schemas.openxmlformats.org/officeDocument/2006/relationships/hyperlink" Target="https://www.edmunds.com/honda/civic/2019/cost-to-own/" TargetMode="External"/><Relationship Id="rId8" Type="http://schemas.openxmlformats.org/officeDocument/2006/relationships/hyperlink" Target="https://cleantechnica.com/2019/06/12/tesla-model-3-maintenance-guide-costs-even-lower-than-i-though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s://investinganswers.com/calculators/loan/loan-interest-calculator-how-much-interest-will-i-pay-my-lender-3191" TargetMode="External"/><Relationship Id="rId10" Type="http://schemas.openxmlformats.org/officeDocument/2006/relationships/drawing" Target="../drawings/drawing20.xml"/><Relationship Id="rId9" Type="http://schemas.openxmlformats.org/officeDocument/2006/relationships/hyperlink" Target="https://www.fueleconomy.gov/feg/PowerSearch.do?action=noform&amp;path=1&amp;year1=2019&amp;year2=2019&amp;make=Honda&amp;baseModel=Civic&amp;srchtyp=ymm&amp;pageno=1&amp;sortBy=Comb&amp;tabView=0&amp;rowLimit=10" TargetMode="External"/><Relationship Id="rId5" Type="http://schemas.openxmlformats.org/officeDocument/2006/relationships/hyperlink" Target="https://gasprices.aaa.com/state-gas-price-averages/" TargetMode="External"/><Relationship Id="rId6" Type="http://schemas.openxmlformats.org/officeDocument/2006/relationships/hyperlink" Target="http://newsroom.aaa.com/2012/04/cost-of-owning-and-operating-vehicle-in-u-s-increased-1-9-percent-according-to-aaa%E2%80%99s-2012-%E2%80%98your-driving-costs%E2%80%99-study/" TargetMode="External"/><Relationship Id="rId7" Type="http://schemas.openxmlformats.org/officeDocument/2006/relationships/hyperlink" Target="https://www.edmunds.com/honda/civic/2019/cost-to-own/" TargetMode="External"/><Relationship Id="rId8" Type="http://schemas.openxmlformats.org/officeDocument/2006/relationships/hyperlink" Target="https://cleantechnica.com/2019/06/12/tesla-model-3-maintenance-guide-costs-even-lower-than-i-thought/" TargetMode="External"/></Relationships>
</file>

<file path=xl/worksheets/_rels/sheet21.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11" Type="http://schemas.openxmlformats.org/officeDocument/2006/relationships/drawing" Target="../drawings/drawing21.xml"/><Relationship Id="rId10" Type="http://schemas.openxmlformats.org/officeDocument/2006/relationships/hyperlink" Target="https://www.fueleconomy.gov/feg/PowerSearch.do?action=noform&amp;path=1&amp;year1=2019&amp;year2=2019&amp;make=Toyota&amp;baseModel=Corolla&amp;srchtyp=ymm" TargetMode="External"/><Relationship Id="rId12" Type="http://schemas.openxmlformats.org/officeDocument/2006/relationships/vmlDrawing" Target="../drawings/vmlDrawing13.vml"/><Relationship Id="rId9" Type="http://schemas.openxmlformats.org/officeDocument/2006/relationships/hyperlink" Target="https://cleantechnica.com/2019/06/12/tesla-model-3-maintenance-guide-costs-even-lower-than-i-thought/" TargetMode="External"/><Relationship Id="rId5" Type="http://schemas.openxmlformats.org/officeDocument/2006/relationships/hyperlink" Target="https://investinganswers.com/calculators/loan/loan-interest-calculator-how-much-interest-will-i-pay-my-lender-3191" TargetMode="External"/><Relationship Id="rId6" Type="http://schemas.openxmlformats.org/officeDocument/2006/relationships/hyperlink" Target="https://gasprices.aaa.com/state-gas-price-averages/" TargetMode="External"/><Relationship Id="rId7" Type="http://schemas.openxmlformats.org/officeDocument/2006/relationships/hyperlink" Target="http://newsroom.aaa.com/2012/04/cost-of-owning-and-operating-vehicle-in-u-s-increased-1-9-percent-according-to-aaa%E2%80%99s-2012-%E2%80%98your-driving-costs%E2%80%99-study/" TargetMode="External"/><Relationship Id="rId8" Type="http://schemas.openxmlformats.org/officeDocument/2006/relationships/hyperlink" Target="https://www.edmunds.com/toyota/corolla/2019/cost-to-own/" TargetMode="External"/></Relationships>
</file>

<file path=xl/worksheets/_rels/sheet22.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11" Type="http://schemas.openxmlformats.org/officeDocument/2006/relationships/drawing" Target="../drawings/drawing22.xml"/><Relationship Id="rId10" Type="http://schemas.openxmlformats.org/officeDocument/2006/relationships/hyperlink" Target="https://www.fueleconomy.gov/feg/PowerSearch.do?action=noform&amp;path=1&amp;year1=2019&amp;year2=2019&amp;make=Toyota&amp;baseModel=Corolla&amp;srchtyp=ymm" TargetMode="External"/><Relationship Id="rId12" Type="http://schemas.openxmlformats.org/officeDocument/2006/relationships/vmlDrawing" Target="../drawings/vmlDrawing14.vml"/><Relationship Id="rId9" Type="http://schemas.openxmlformats.org/officeDocument/2006/relationships/hyperlink" Target="https://cleantechnica.com/2019/06/12/tesla-model-3-maintenance-guide-costs-even-lower-than-i-thought/" TargetMode="External"/><Relationship Id="rId5" Type="http://schemas.openxmlformats.org/officeDocument/2006/relationships/hyperlink" Target="https://investinganswers.com/calculators/loan/loan-interest-calculator-how-much-interest-will-i-pay-my-lender-3191" TargetMode="External"/><Relationship Id="rId6" Type="http://schemas.openxmlformats.org/officeDocument/2006/relationships/hyperlink" Target="https://gasprices.aaa.com/state-gas-price-averages/" TargetMode="External"/><Relationship Id="rId7" Type="http://schemas.openxmlformats.org/officeDocument/2006/relationships/hyperlink" Target="http://newsroom.aaa.com/2012/04/cost-of-owning-and-operating-vehicle-in-u-s-increased-1-9-percent-according-to-aaa%E2%80%99s-2012-%E2%80%98your-driving-costs%E2%80%99-study/" TargetMode="External"/><Relationship Id="rId8" Type="http://schemas.openxmlformats.org/officeDocument/2006/relationships/hyperlink" Target="https://www.edmunds.com/toyota/corolla/2019/cost-to-own/" TargetMode="External"/></Relationships>
</file>

<file path=xl/worksheets/_rels/sheet23.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11" Type="http://schemas.openxmlformats.org/officeDocument/2006/relationships/drawing" Target="../drawings/drawing23.xml"/><Relationship Id="rId10" Type="http://schemas.openxmlformats.org/officeDocument/2006/relationships/hyperlink" Target="https://www.fueleconomy.gov/feg/PowerSearch.do?action=noform&amp;path=1&amp;year1=2019&amp;year2=2019&amp;make=Toyota&amp;baseModel=Corolla&amp;srchtyp=ymm" TargetMode="External"/><Relationship Id="rId12" Type="http://schemas.openxmlformats.org/officeDocument/2006/relationships/vmlDrawing" Target="../drawings/vmlDrawing15.vml"/><Relationship Id="rId9" Type="http://schemas.openxmlformats.org/officeDocument/2006/relationships/hyperlink" Target="https://cleantechnica.com/2019/06/12/tesla-model-3-maintenance-guide-costs-even-lower-than-i-thought/" TargetMode="External"/><Relationship Id="rId5" Type="http://schemas.openxmlformats.org/officeDocument/2006/relationships/hyperlink" Target="https://investinganswers.com/calculators/loan/loan-interest-calculator-how-much-interest-will-i-pay-my-lender-3191" TargetMode="External"/><Relationship Id="rId6" Type="http://schemas.openxmlformats.org/officeDocument/2006/relationships/hyperlink" Target="https://gasprices.aaa.com/state-gas-price-averages/" TargetMode="External"/><Relationship Id="rId7" Type="http://schemas.openxmlformats.org/officeDocument/2006/relationships/hyperlink" Target="http://newsroom.aaa.com/2012/04/cost-of-owning-and-operating-vehicle-in-u-s-increased-1-9-percent-according-to-aaa%E2%80%99s-2012-%E2%80%98your-driving-costs%E2%80%99-study/" TargetMode="External"/><Relationship Id="rId8" Type="http://schemas.openxmlformats.org/officeDocument/2006/relationships/hyperlink" Target="https://www.edmunds.com/toyota/corolla/2019/cost-to-own/" TargetMode="External"/></Relationships>
</file>

<file path=xl/worksheets/_rels/sheet24.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11" Type="http://schemas.openxmlformats.org/officeDocument/2006/relationships/drawing" Target="../drawings/drawing24.xml"/><Relationship Id="rId10" Type="http://schemas.openxmlformats.org/officeDocument/2006/relationships/hyperlink" Target="https://www.fueleconomy.gov/feg/PowerSearch.do?action=noform&amp;path=1&amp;year1=2019&amp;year2=2019&amp;make=Toyota&amp;baseModel=Corolla&amp;srchtyp=ymm" TargetMode="External"/><Relationship Id="rId12" Type="http://schemas.openxmlformats.org/officeDocument/2006/relationships/vmlDrawing" Target="../drawings/vmlDrawing16.vml"/><Relationship Id="rId9" Type="http://schemas.openxmlformats.org/officeDocument/2006/relationships/hyperlink" Target="https://cleantechnica.com/2019/06/12/tesla-model-3-maintenance-guide-costs-even-lower-than-i-thought/" TargetMode="External"/><Relationship Id="rId5" Type="http://schemas.openxmlformats.org/officeDocument/2006/relationships/hyperlink" Target="https://investinganswers.com/calculators/loan/loan-interest-calculator-how-much-interest-will-i-pay-my-lender-3191" TargetMode="External"/><Relationship Id="rId6" Type="http://schemas.openxmlformats.org/officeDocument/2006/relationships/hyperlink" Target="https://gasprices.aaa.com/state-gas-price-averages/" TargetMode="External"/><Relationship Id="rId7" Type="http://schemas.openxmlformats.org/officeDocument/2006/relationships/hyperlink" Target="http://newsroom.aaa.com/2012/04/cost-of-owning-and-operating-vehicle-in-u-s-increased-1-9-percent-according-to-aaa%E2%80%99s-2012-%E2%80%98your-driving-costs%E2%80%99-study/" TargetMode="External"/><Relationship Id="rId8" Type="http://schemas.openxmlformats.org/officeDocument/2006/relationships/hyperlink" Target="https://www.edmunds.com/toyota/corolla/2019/cost-to-own/" TargetMode="External"/></Relationships>
</file>

<file path=xl/worksheets/_rels/sheet25.xml.rels><?xml version="1.0" encoding="UTF-8" standalone="yes"?><Relationships xmlns="http://schemas.openxmlformats.org/package/2006/relationships"><Relationship Id="rId11" Type="http://schemas.openxmlformats.org/officeDocument/2006/relationships/hyperlink" Target="https://www.fueleconomy.gov/feg/PowerSearch.do?action=noform&amp;path=1&amp;year1=2019&amp;year2=2019&amp;make=Nissan&amp;baseModel=Altima&amp;srchtyp=ymm" TargetMode="External"/><Relationship Id="rId10" Type="http://schemas.openxmlformats.org/officeDocument/2006/relationships/hyperlink" Target="https://www.fueleconomy.gov/feg/Find.do?action=sbs&amp;id=41141" TargetMode="External"/><Relationship Id="rId13" Type="http://schemas.openxmlformats.org/officeDocument/2006/relationships/vmlDrawing" Target="../drawings/vmlDrawing17.vml"/><Relationship Id="rId12" Type="http://schemas.openxmlformats.org/officeDocument/2006/relationships/drawing" Target="../drawings/drawing25.xml"/><Relationship Id="rId1" Type="http://schemas.openxmlformats.org/officeDocument/2006/relationships/comments" Target="../comments17.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9" Type="http://schemas.openxmlformats.org/officeDocument/2006/relationships/hyperlink" Target="https://cleantechnica.com/2019/06/12/tesla-model-3-maintenance-guide-costs-even-lower-than-i-thought/" TargetMode="External"/><Relationship Id="rId5" Type="http://schemas.openxmlformats.org/officeDocument/2006/relationships/hyperlink" Target="https://investinganswers.com/calculators/loan/loan-interest-calculator-how-much-interest-will-i-pay-my-lender-3191" TargetMode="External"/><Relationship Id="rId6" Type="http://schemas.openxmlformats.org/officeDocument/2006/relationships/hyperlink" Target="https://gasprices.aaa.com/state-gas-price-averages/" TargetMode="External"/><Relationship Id="rId7" Type="http://schemas.openxmlformats.org/officeDocument/2006/relationships/hyperlink" Target="http://newsroom.aaa.com/2012/04/cost-of-owning-and-operating-vehicle-in-u-s-increased-1-9-percent-according-to-aaa%E2%80%99s-2012-%E2%80%98your-driving-costs%E2%80%99-study/" TargetMode="External"/><Relationship Id="rId8" Type="http://schemas.openxmlformats.org/officeDocument/2006/relationships/hyperlink" Target="https://www.edmunds.com/toyota/corolla/2019/cost-to-ow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fueleconomy.gov/feg/evsbs.shtml" TargetMode="External"/><Relationship Id="rId3" Type="http://schemas.openxmlformats.org/officeDocument/2006/relationships/hyperlink" Target="https://investinganswers.com/calculators/loan/loan-interest-calculator-how-much-interest-will-i-pay-my-lender-3191" TargetMode="External"/><Relationship Id="rId4" Type="http://schemas.openxmlformats.org/officeDocument/2006/relationships/hyperlink" Target="https://gasprices.aaa.com/state-gas-price-averages/" TargetMode="External"/><Relationship Id="rId9" Type="http://schemas.openxmlformats.org/officeDocument/2006/relationships/drawing" Target="../drawings/drawing26.x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toyota/corolla/2019/cost-to-own/" TargetMode="External"/><Relationship Id="rId7" Type="http://schemas.openxmlformats.org/officeDocument/2006/relationships/hyperlink" Target="https://cleantechnica.com/2019/06/12/tesla-model-3-maintenance-guide-costs-even-lower-than-i-thought/" TargetMode="External"/><Relationship Id="rId8" Type="http://schemas.openxmlformats.org/officeDocument/2006/relationships/hyperlink" Target="https://www.fueleconomy.gov/feg/PowerSearch.do?action=noform&amp;path=1&amp;year1=2019&amp;year2=2019&amp;make=Toyota&amp;baseModel=Corolla&amp;srchtyp=ymm"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fueleconomy.gov/feg/evsbs.shtml" TargetMode="External"/><Relationship Id="rId3" Type="http://schemas.openxmlformats.org/officeDocument/2006/relationships/hyperlink" Target="https://investinganswers.com/calculators/loan/loan-interest-calculator-how-much-interest-will-i-pay-my-lender-3191" TargetMode="External"/><Relationship Id="rId4" Type="http://schemas.openxmlformats.org/officeDocument/2006/relationships/hyperlink" Target="https://gasprices.aaa.com/state-gas-price-averages/" TargetMode="External"/><Relationship Id="rId9" Type="http://schemas.openxmlformats.org/officeDocument/2006/relationships/drawing" Target="../drawings/drawing27.x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toyota/corolla/2019/cost-to-own/" TargetMode="External"/><Relationship Id="rId7" Type="http://schemas.openxmlformats.org/officeDocument/2006/relationships/hyperlink" Target="https://cleantechnica.com/2019/06/12/tesla-model-3-maintenance-guide-costs-even-lower-than-i-thought/" TargetMode="External"/><Relationship Id="rId8" Type="http://schemas.openxmlformats.org/officeDocument/2006/relationships/hyperlink" Target="https://www.fueleconomy.gov/feg/PowerSearch.do?action=noform&amp;path=1&amp;year1=2019&amp;year2=2019&amp;make=Toyota&amp;baseModel=Corolla&amp;srchtyp=ymm"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fueleconomy.gov/feg/evsbs.shtml" TargetMode="External"/><Relationship Id="rId3" Type="http://schemas.openxmlformats.org/officeDocument/2006/relationships/hyperlink" Target="https://investinganswers.com/calculators/loan/loan-interest-calculator-how-much-interest-will-i-pay-my-lender-3191" TargetMode="External"/><Relationship Id="rId4" Type="http://schemas.openxmlformats.org/officeDocument/2006/relationships/hyperlink" Target="https://gasprices.aaa.com/state-gas-price-averages/" TargetMode="External"/><Relationship Id="rId9" Type="http://schemas.openxmlformats.org/officeDocument/2006/relationships/drawing" Target="../drawings/drawing28.x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toyota/corolla/2019/cost-to-own/" TargetMode="External"/><Relationship Id="rId7" Type="http://schemas.openxmlformats.org/officeDocument/2006/relationships/hyperlink" Target="https://cleantechnica.com/2019/06/12/tesla-model-3-maintenance-guide-costs-even-lower-than-i-thought/" TargetMode="External"/><Relationship Id="rId8" Type="http://schemas.openxmlformats.org/officeDocument/2006/relationships/hyperlink" Target="https://www.fueleconomy.gov/feg/PowerSearch.do?action=noform&amp;path=1&amp;year1=2019&amp;year2=2019&amp;make=Toyota&amp;baseModel=Corolla&amp;srchtyp=ymm"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fueleconomy.gov/feg/evsbs.shtml" TargetMode="External"/><Relationship Id="rId3" Type="http://schemas.openxmlformats.org/officeDocument/2006/relationships/hyperlink" Target="https://investinganswers.com/calculators/loan/loan-interest-calculator-how-much-interest-will-i-pay-my-lender-3191" TargetMode="External"/><Relationship Id="rId4" Type="http://schemas.openxmlformats.org/officeDocument/2006/relationships/hyperlink" Target="https://gasprices.aaa.com/state-gas-price-averages/" TargetMode="External"/><Relationship Id="rId9" Type="http://schemas.openxmlformats.org/officeDocument/2006/relationships/drawing" Target="../drawings/drawing29.x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toyota/corolla/2019/cost-to-own/" TargetMode="External"/><Relationship Id="rId7" Type="http://schemas.openxmlformats.org/officeDocument/2006/relationships/hyperlink" Target="https://cleantechnica.com/2019/06/12/tesla-model-3-maintenance-guide-costs-even-lower-than-i-thought/" TargetMode="External"/><Relationship Id="rId8" Type="http://schemas.openxmlformats.org/officeDocument/2006/relationships/hyperlink" Target="https://www.fueleconomy.gov/feg/PowerSearch.do?action=noform&amp;path=1&amp;year1=2019&amp;year2=2019&amp;make=Toyota&amp;baseModel=Corolla&amp;srchtyp=ym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35.xml"/><Relationship Id="rId7" Type="http://schemas.openxmlformats.org/officeDocument/2006/relationships/vmlDrawing" Target="../drawings/vmlDrawing18.vml"/></Relationships>
</file>

<file path=xl/worksheets/_rels/sheet36.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drawing" Target="../drawings/drawing36.xml"/><Relationship Id="rId7" Type="http://schemas.openxmlformats.org/officeDocument/2006/relationships/vmlDrawing" Target="../drawings/vmlDrawing19.vml"/></Relationships>
</file>

<file path=xl/worksheets/_rels/sheet37.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hyperlink" Target="http://www.fhwa.dot.gov/ohim/onh00/bar8.htm" TargetMode="External"/><Relationship Id="rId2" Type="http://schemas.openxmlformats.org/officeDocument/2006/relationships/hyperlink" Target="http://www.eia.gov/petroleum/gasdiesel/" TargetMode="External"/><Relationship Id="rId3" Type="http://schemas.openxmlformats.org/officeDocument/2006/relationships/hyperlink" Target="http://www.fueleconomy.gov/feg/evsbs.shtml" TargetMode="External"/><Relationship Id="rId4" Type="http://schemas.openxmlformats.org/officeDocument/2006/relationships/hyperlink" Target="http://newsroom.aaa.com/2012/04/cost-of-owning-and-operating-vehicle-in-u-s-increased-1-9-percent-according-to-aaa%E2%80%99s-2012-%E2%80%98your-driving-costs%E2%80%99-study/"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9" Type="http://schemas.openxmlformats.org/officeDocument/2006/relationships/vmlDrawing" Target="../drawings/vmlDrawing2.v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toyota/camry/2019/cost-to-own/" TargetMode="External"/><Relationship Id="rId7" Type="http://schemas.openxmlformats.org/officeDocument/2006/relationships/hyperlink" Target="https://www.fueleconomy.gov/feg/PowerSearch.do?action=noform&amp;path=1&amp;year1=2019&amp;year2=2019&amp;make=Toyota&amp;baseModel=Camry&amp;srchtyp=ymm"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fueleconomy.gov/feg/PowerSearch.do?action=noform&amp;path=1&amp;year1=2019&amp;year2=2019&amp;make=Toyota&amp;baseModel=Camry&amp;srchtyp=ymm" TargetMode="External"/><Relationship Id="rId7" Type="http://schemas.openxmlformats.org/officeDocument/2006/relationships/drawing" Target="../drawings/drawing6.xml"/><Relationship Id="rId8"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fueleconomy.gov/feg/PowerSearch.do?action=noform&amp;path=1&amp;year1=2019&amp;year2=2019&amp;make=Toyota&amp;baseModel=Camry&amp;srchtyp=ymm" TargetMode="External"/><Relationship Id="rId7" Type="http://schemas.openxmlformats.org/officeDocument/2006/relationships/drawing" Target="../drawings/drawing7.xml"/><Relationship Id="rId8"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9" Type="http://schemas.openxmlformats.org/officeDocument/2006/relationships/vmlDrawing" Target="../drawings/vmlDrawing5.v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honda/accord/2019/cost-to-own/" TargetMode="External"/><Relationship Id="rId7" Type="http://schemas.openxmlformats.org/officeDocument/2006/relationships/hyperlink" Target="https://www.fueleconomy.gov/feg/PowerSearch.do?action=noform&amp;path=1&amp;year1=2019&amp;year2=2019&amp;make=Toyota&amp;baseModel=Camry&amp;srchtyp=ymm"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www.fhwa.dot.gov/ohim/onh00/bar8.htm" TargetMode="External"/><Relationship Id="rId3" Type="http://schemas.openxmlformats.org/officeDocument/2006/relationships/hyperlink" Target="http://www.eia.gov/petroleum/gasdiesel/" TargetMode="External"/><Relationship Id="rId4" Type="http://schemas.openxmlformats.org/officeDocument/2006/relationships/hyperlink" Target="http://www.fueleconomy.gov/feg/evsbs.shtml" TargetMode="External"/><Relationship Id="rId9" Type="http://schemas.openxmlformats.org/officeDocument/2006/relationships/vmlDrawing" Target="../drawings/vmlDrawing6.vml"/><Relationship Id="rId5" Type="http://schemas.openxmlformats.org/officeDocument/2006/relationships/hyperlink" Target="http://newsroom.aaa.com/2012/04/cost-of-owning-and-operating-vehicle-in-u-s-increased-1-9-percent-according-to-aaa%E2%80%99s-2012-%E2%80%98your-driving-costs%E2%80%99-study/" TargetMode="External"/><Relationship Id="rId6" Type="http://schemas.openxmlformats.org/officeDocument/2006/relationships/hyperlink" Target="https://www.edmunds.com/honda/accord/2019/cost-to-own/" TargetMode="External"/><Relationship Id="rId7" Type="http://schemas.openxmlformats.org/officeDocument/2006/relationships/hyperlink" Target="https://www.fueleconomy.gov/feg/PowerSearch.do?action=noform&amp;path=1&amp;year1=2019&amp;year2=2019&amp;make=Toyota&amp;baseModel=Camry&amp;srchtyp=ymm" TargetMode="External"/><Relationship Id="rId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1.86"/>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2</v>
      </c>
      <c r="D3" s="7" t="s">
        <v>6</v>
      </c>
      <c r="E3" s="3"/>
      <c r="F3" s="4"/>
      <c r="G3" s="4"/>
      <c r="H3" s="4"/>
      <c r="I3" s="4" t="s">
        <v>5</v>
      </c>
      <c r="J3" s="4"/>
      <c r="K3" s="4"/>
      <c r="L3" s="4"/>
    </row>
    <row r="4">
      <c r="A4" s="8"/>
      <c r="B4" s="9" t="s">
        <v>7</v>
      </c>
      <c r="C4" s="10">
        <v>39500.0</v>
      </c>
      <c r="D4" s="10">
        <v>32825.0</v>
      </c>
      <c r="E4" s="3"/>
      <c r="F4" s="11">
        <v>20000.0</v>
      </c>
      <c r="G4" s="9" t="s">
        <v>8</v>
      </c>
      <c r="H4" s="4"/>
      <c r="I4" s="4" t="s">
        <v>9</v>
      </c>
      <c r="J4" s="12" t="s">
        <v>10</v>
      </c>
      <c r="K4" s="4"/>
      <c r="L4" s="4"/>
    </row>
    <row r="5">
      <c r="A5" s="13"/>
      <c r="B5" s="11" t="s">
        <v>11</v>
      </c>
      <c r="C5" s="14">
        <f>C4*0.487</f>
        <v>19236.5</v>
      </c>
      <c r="D5" s="14">
        <f>D4*0.362</f>
        <v>11882.65</v>
      </c>
      <c r="E5" s="15"/>
      <c r="F5" s="11"/>
      <c r="H5" s="4"/>
      <c r="I5" s="4"/>
      <c r="J5" s="12"/>
      <c r="K5" s="4"/>
      <c r="L5" s="4"/>
    </row>
    <row r="6">
      <c r="A6" s="13"/>
      <c r="B6" s="11" t="s">
        <v>12</v>
      </c>
      <c r="C6" s="14">
        <f t="shared" ref="C6:D6" si="1">C4-C5</f>
        <v>20263.5</v>
      </c>
      <c r="D6" s="14">
        <f t="shared" si="1"/>
        <v>20942.35</v>
      </c>
      <c r="E6" s="15"/>
      <c r="F6" s="11"/>
      <c r="H6" s="4"/>
      <c r="I6" s="4"/>
      <c r="J6" s="12"/>
      <c r="K6" s="4"/>
      <c r="L6" s="4"/>
    </row>
    <row r="7">
      <c r="A7" s="13"/>
      <c r="B7" s="16" t="s">
        <v>13</v>
      </c>
      <c r="C7" s="10">
        <v>-3750.0</v>
      </c>
      <c r="D7" s="17">
        <v>0.0</v>
      </c>
      <c r="E7" s="15"/>
      <c r="F7" s="11">
        <v>1.3</v>
      </c>
      <c r="H7" s="4"/>
      <c r="I7" s="4" t="s">
        <v>14</v>
      </c>
      <c r="J7" s="12" t="s">
        <v>15</v>
      </c>
      <c r="K7" s="4"/>
      <c r="L7" s="4"/>
    </row>
    <row r="8">
      <c r="A8" s="13"/>
      <c r="B8" s="3" t="s">
        <v>16</v>
      </c>
      <c r="C8" s="18">
        <f t="shared" ref="C8:D8" si="2">SUM(C6:C7)</f>
        <v>16513.5</v>
      </c>
      <c r="D8" s="18">
        <f t="shared" si="2"/>
        <v>20942.35</v>
      </c>
      <c r="E8" s="19"/>
      <c r="F8" s="11">
        <v>0.0</v>
      </c>
      <c r="H8" s="4"/>
      <c r="I8" s="4" t="s">
        <v>17</v>
      </c>
      <c r="J8" s="12" t="s">
        <v>18</v>
      </c>
      <c r="K8" s="4"/>
      <c r="L8" s="4"/>
    </row>
    <row r="9">
      <c r="A9" s="8"/>
      <c r="B9" s="11" t="s">
        <v>19</v>
      </c>
      <c r="C9" s="14">
        <v>5039.41</v>
      </c>
      <c r="D9" s="14">
        <v>4065.85</v>
      </c>
      <c r="E9" s="3"/>
      <c r="F9" s="4"/>
      <c r="G9" s="4"/>
      <c r="H9" s="4"/>
      <c r="I9" s="4"/>
      <c r="J9" s="12"/>
      <c r="K9" s="12"/>
      <c r="L9" s="12"/>
    </row>
    <row r="10">
      <c r="A10" s="8"/>
      <c r="B10" s="11" t="s">
        <v>20</v>
      </c>
      <c r="C10" s="14" t="s">
        <v>21</v>
      </c>
      <c r="D10" s="14">
        <v>3.0</v>
      </c>
      <c r="E10" s="3"/>
      <c r="F10" s="4"/>
      <c r="G10" s="4"/>
      <c r="H10" s="4"/>
      <c r="I10" s="4" t="s">
        <v>22</v>
      </c>
      <c r="J10" s="12" t="s">
        <v>23</v>
      </c>
    </row>
    <row r="11">
      <c r="A11" s="8"/>
      <c r="B11" s="11" t="s">
        <v>24</v>
      </c>
      <c r="C11" s="14">
        <v>0.1</v>
      </c>
      <c r="D11" s="14" t="s">
        <v>21</v>
      </c>
      <c r="E11" s="20"/>
      <c r="F11" s="4"/>
      <c r="G11" s="4"/>
      <c r="H11" s="4"/>
    </row>
    <row r="12">
      <c r="A12" s="8"/>
      <c r="B12" s="11" t="s">
        <v>25</v>
      </c>
      <c r="C12" s="21">
        <v>13500.0</v>
      </c>
      <c r="D12" s="21">
        <v>13500.0</v>
      </c>
      <c r="E12" s="3"/>
      <c r="F12" s="4"/>
      <c r="G12" s="4"/>
      <c r="H12" s="4"/>
    </row>
    <row r="13">
      <c r="A13" s="8"/>
      <c r="B13" s="11" t="s">
        <v>26</v>
      </c>
      <c r="C13" s="10">
        <v>0.0</v>
      </c>
      <c r="D13" s="10">
        <v>0.0</v>
      </c>
      <c r="E13" s="3"/>
      <c r="F13" s="4"/>
      <c r="G13" s="4"/>
      <c r="H13" s="4"/>
      <c r="I13" s="4"/>
      <c r="J13" s="12"/>
    </row>
    <row r="14">
      <c r="A14" s="8"/>
      <c r="B14" s="4" t="s">
        <v>27</v>
      </c>
      <c r="C14" s="22">
        <f t="shared" ref="C14:D14" si="3">C13*C12</f>
        <v>0</v>
      </c>
      <c r="D14" s="22">
        <f t="shared" si="3"/>
        <v>0</v>
      </c>
      <c r="E14" s="19"/>
      <c r="F14" s="4"/>
      <c r="G14" s="4"/>
      <c r="H14" s="4"/>
      <c r="I14" s="4"/>
      <c r="J14" s="4"/>
      <c r="K14" s="4"/>
      <c r="L14" s="4"/>
    </row>
    <row r="15">
      <c r="A15" s="8"/>
      <c r="B15" s="11" t="s">
        <v>28</v>
      </c>
      <c r="C15" s="23">
        <v>4.0</v>
      </c>
      <c r="D15" s="23">
        <v>46.0</v>
      </c>
      <c r="E15" s="3"/>
      <c r="F15" s="4"/>
      <c r="G15" s="4"/>
      <c r="H15" s="4"/>
      <c r="I15" s="4"/>
      <c r="J15" s="4"/>
      <c r="K15" s="4"/>
      <c r="L15" s="4"/>
    </row>
    <row r="16">
      <c r="A16" s="8"/>
      <c r="B16" s="3" t="s">
        <v>29</v>
      </c>
      <c r="C16" s="24" t="s">
        <v>21</v>
      </c>
      <c r="D16" s="25">
        <f>D12/D15</f>
        <v>293.4782609</v>
      </c>
      <c r="E16" s="4"/>
      <c r="F16" s="4"/>
      <c r="G16" s="4"/>
      <c r="H16" s="4"/>
      <c r="I16" s="4"/>
      <c r="J16" s="4"/>
      <c r="K16" s="4"/>
      <c r="L16" s="4"/>
    </row>
    <row r="17">
      <c r="A17" s="8"/>
      <c r="B17" s="3" t="s">
        <v>31</v>
      </c>
      <c r="C17" s="26">
        <f>C12/C15</f>
        <v>3375</v>
      </c>
      <c r="D17" s="24" t="s">
        <v>21</v>
      </c>
      <c r="E17" s="4"/>
      <c r="F17" s="4"/>
      <c r="G17" s="4"/>
      <c r="H17" s="4"/>
      <c r="I17" s="4"/>
      <c r="J17" s="4"/>
      <c r="K17" s="4"/>
      <c r="L17" s="4"/>
    </row>
    <row r="18">
      <c r="A18" s="8"/>
      <c r="B18" s="3" t="s">
        <v>32</v>
      </c>
      <c r="C18" s="27">
        <f>C11*C17</f>
        <v>337.5</v>
      </c>
      <c r="D18" s="18">
        <f>D16*D10</f>
        <v>880.4347826</v>
      </c>
      <c r="E18" s="4"/>
      <c r="F18" s="4"/>
      <c r="G18" s="3"/>
      <c r="H18" s="4"/>
      <c r="I18" s="4"/>
      <c r="J18" s="4"/>
      <c r="K18" s="4"/>
      <c r="L18" s="4"/>
    </row>
    <row r="19">
      <c r="A19" s="8"/>
      <c r="B19" s="28" t="s">
        <v>33</v>
      </c>
      <c r="C19" s="29">
        <f t="shared" ref="C19:D19" si="4">C28</f>
        <v>23240.41</v>
      </c>
      <c r="D19" s="29">
        <f t="shared" si="4"/>
        <v>29410.37391</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6</v>
      </c>
      <c r="E23" s="6" t="s">
        <v>35</v>
      </c>
      <c r="F23" s="4"/>
      <c r="G23" s="4"/>
      <c r="H23" s="4"/>
      <c r="I23" s="4"/>
      <c r="J23" s="4"/>
      <c r="K23" s="4"/>
      <c r="L23" s="4"/>
    </row>
    <row r="24">
      <c r="A24" s="31"/>
      <c r="B24" s="32">
        <v>1.0</v>
      </c>
      <c r="C24" s="33"/>
      <c r="D24" s="33"/>
      <c r="E24" s="34">
        <f t="shared" ref="E24:E33" si="5">$D24-$C24</f>
        <v>0</v>
      </c>
      <c r="F24" s="4"/>
      <c r="G24" s="4"/>
      <c r="H24" s="4"/>
      <c r="I24" s="4"/>
      <c r="J24" s="4"/>
      <c r="K24" s="4"/>
      <c r="L24" s="4"/>
    </row>
    <row r="25">
      <c r="A25" s="35"/>
      <c r="B25" s="32">
        <v>2.0</v>
      </c>
      <c r="C25" s="33"/>
      <c r="D25" s="33"/>
      <c r="E25" s="34">
        <f t="shared" si="5"/>
        <v>0</v>
      </c>
      <c r="F25" s="4"/>
      <c r="G25" s="3"/>
      <c r="H25" s="4"/>
      <c r="I25" s="4"/>
      <c r="J25" s="4"/>
      <c r="K25" s="4"/>
      <c r="L25" s="4"/>
    </row>
    <row r="26">
      <c r="A26" s="35"/>
      <c r="B26" s="32">
        <v>3.0</v>
      </c>
      <c r="C26" s="33">
        <f>C8+(B26*C18)+(C14*B26)</f>
        <v>17526</v>
      </c>
      <c r="D26" s="33">
        <f>D8+(D18*B26)+(D14*B26)</f>
        <v>23583.65435</v>
      </c>
      <c r="E26" s="34">
        <f t="shared" si="5"/>
        <v>6057.654348</v>
      </c>
      <c r="F26" s="4"/>
      <c r="G26" s="4"/>
      <c r="H26" s="4"/>
      <c r="I26" s="4"/>
      <c r="J26" s="4"/>
      <c r="K26" s="4"/>
      <c r="L26" s="4"/>
    </row>
    <row r="27">
      <c r="A27" s="35"/>
      <c r="B27" s="32">
        <v>4.0</v>
      </c>
      <c r="C27" s="33"/>
      <c r="D27" s="33"/>
      <c r="E27" s="34">
        <f t="shared" si="5"/>
        <v>0</v>
      </c>
      <c r="F27" s="4"/>
      <c r="G27" s="4"/>
      <c r="H27" s="4"/>
      <c r="I27" s="4"/>
      <c r="J27" s="4"/>
      <c r="K27" s="4"/>
      <c r="L27" s="4"/>
    </row>
    <row r="28">
      <c r="A28" s="35"/>
      <c r="B28" s="35">
        <v>5.0</v>
      </c>
      <c r="C28" s="36">
        <f>C8+(B28*C18)+(C14*B28)+C9</f>
        <v>23240.41</v>
      </c>
      <c r="D28" s="36">
        <f>D8+(D18*B28)+(D14*B28)+D9</f>
        <v>29410.37391</v>
      </c>
      <c r="E28" s="34">
        <f t="shared" si="5"/>
        <v>6169.963913</v>
      </c>
      <c r="F28" s="4"/>
      <c r="G28" s="3"/>
      <c r="H28" s="4"/>
      <c r="I28" s="4"/>
      <c r="J28" s="4"/>
      <c r="K28" s="4"/>
      <c r="L28" s="4"/>
    </row>
    <row r="29">
      <c r="A29" s="35"/>
      <c r="B29" s="32">
        <v>6.0</v>
      </c>
      <c r="C29" s="33">
        <f>C8+(B29*C18)+(C14*B29)</f>
        <v>18538.5</v>
      </c>
      <c r="D29" s="33">
        <f>D8+(D18*B29)+(D14*B29)+480</f>
        <v>26704.9587</v>
      </c>
      <c r="E29" s="34">
        <f t="shared" si="5"/>
        <v>8166.458696</v>
      </c>
      <c r="F29" s="4"/>
      <c r="G29" s="4"/>
      <c r="H29" s="4"/>
      <c r="I29" s="4"/>
      <c r="J29" s="4"/>
      <c r="K29" s="4"/>
      <c r="L29" s="4"/>
    </row>
    <row r="30">
      <c r="A30" s="35"/>
      <c r="B30" s="32">
        <v>7.0</v>
      </c>
      <c r="C30" s="33">
        <f>C8+(B30*C18)+(C14*B30)</f>
        <v>18876</v>
      </c>
      <c r="D30" s="33">
        <f>D8+(D18*B30)+(D14*B30)+480</f>
        <v>27585.39348</v>
      </c>
      <c r="E30" s="34">
        <f t="shared" si="5"/>
        <v>8709.393478</v>
      </c>
      <c r="F30" s="4"/>
      <c r="G30" s="4"/>
      <c r="H30" s="4"/>
      <c r="I30" s="4"/>
      <c r="J30" s="4"/>
      <c r="K30" s="4"/>
      <c r="L30" s="4"/>
    </row>
    <row r="31">
      <c r="A31" s="35"/>
      <c r="B31" s="32">
        <v>8.0</v>
      </c>
      <c r="C31" s="33">
        <f>C8+(B31*C18)+(C14*B31)</f>
        <v>19213.5</v>
      </c>
      <c r="D31" s="33">
        <f>D8+(D18*B31)+(D14*B31)+480</f>
        <v>28465.82826</v>
      </c>
      <c r="E31" s="34">
        <f t="shared" si="5"/>
        <v>9252.328261</v>
      </c>
      <c r="F31" s="4"/>
      <c r="G31" s="4"/>
      <c r="H31" s="4"/>
      <c r="I31" s="4"/>
      <c r="J31" s="4"/>
      <c r="K31" s="4"/>
      <c r="L31" s="4"/>
    </row>
    <row r="32">
      <c r="A32" s="35"/>
      <c r="B32" s="32">
        <v>9.0</v>
      </c>
      <c r="C32" s="33">
        <f>C8+(B32*C18)+(C14*B32)+C19</f>
        <v>42791.41</v>
      </c>
      <c r="D32" s="33">
        <f>D8+(D18*B32)+(D14*B32)+480</f>
        <v>29346.26304</v>
      </c>
      <c r="E32" s="34">
        <f t="shared" si="5"/>
        <v>-13445.14696</v>
      </c>
      <c r="F32" s="4"/>
      <c r="G32" s="4"/>
      <c r="H32" s="4"/>
      <c r="I32" s="4"/>
      <c r="J32" s="4"/>
      <c r="K32" s="4"/>
      <c r="L32" s="4"/>
    </row>
    <row r="33">
      <c r="A33" s="35"/>
      <c r="B33" s="32">
        <v>10.0</v>
      </c>
      <c r="C33" s="33">
        <f>C8+(B33*C18)+(C14*B33)+C19</f>
        <v>43128.91</v>
      </c>
      <c r="D33" s="33">
        <f>D8+(D18*B33)+(D14*B33)+480</f>
        <v>30226.69783</v>
      </c>
      <c r="E33" s="34">
        <f t="shared" si="5"/>
        <v>-12902.21217</v>
      </c>
      <c r="F33" s="4"/>
      <c r="G33" s="4"/>
      <c r="H33" s="4"/>
      <c r="I33" s="4"/>
      <c r="J33" s="4"/>
      <c r="K33" s="4"/>
      <c r="L33" s="4"/>
    </row>
    <row r="34">
      <c r="A34" s="35"/>
      <c r="B34" s="35"/>
      <c r="C34" s="37"/>
      <c r="D34" s="37"/>
      <c r="E34" s="4"/>
      <c r="F34" s="4"/>
      <c r="G34" s="4"/>
      <c r="H34" s="4"/>
      <c r="I34" s="4"/>
      <c r="J34" s="4"/>
      <c r="K34" s="4"/>
      <c r="L34" s="4"/>
    </row>
    <row r="35">
      <c r="A35" s="35"/>
      <c r="B35" s="35"/>
      <c r="C35" s="37"/>
      <c r="D35" s="37">
        <f>C33-D33</f>
        <v>12902.21217</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5">
    <mergeCell ref="J13:L13"/>
    <mergeCell ref="J10:L10"/>
    <mergeCell ref="G4:G8"/>
    <mergeCell ref="B1:D1"/>
    <mergeCell ref="B2:D2"/>
  </mergeCells>
  <hyperlinks>
    <hyperlink r:id="rId1" ref="J4"/>
    <hyperlink r:id="rId2" ref="J7"/>
    <hyperlink r:id="rId3" ref="J8"/>
    <hyperlink r:id="rId4" ref="J10"/>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7.14"/>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37</v>
      </c>
      <c r="D3" s="7" t="s">
        <v>51</v>
      </c>
      <c r="E3" s="3"/>
      <c r="F3" s="4"/>
      <c r="G3" s="4"/>
      <c r="H3" s="4"/>
      <c r="I3" s="4" t="s">
        <v>5</v>
      </c>
      <c r="J3" s="4"/>
      <c r="K3" s="4"/>
      <c r="L3" s="4"/>
    </row>
    <row r="4">
      <c r="A4" s="8"/>
      <c r="B4" s="9" t="s">
        <v>7</v>
      </c>
      <c r="C4" s="10">
        <v>38990.0</v>
      </c>
      <c r="D4" s="10">
        <v>36100.0</v>
      </c>
      <c r="E4" s="10">
        <v>36100.0</v>
      </c>
      <c r="F4" s="11">
        <v>20000.0</v>
      </c>
      <c r="G4" s="9" t="s">
        <v>8</v>
      </c>
      <c r="H4" s="4"/>
      <c r="I4" s="4" t="s">
        <v>9</v>
      </c>
      <c r="J4" s="12" t="s">
        <v>10</v>
      </c>
      <c r="K4" s="4"/>
      <c r="L4" s="4"/>
    </row>
    <row r="5">
      <c r="A5" s="13"/>
      <c r="B5" s="11" t="s">
        <v>39</v>
      </c>
      <c r="C5" s="10">
        <f t="shared" ref="C5:E5" si="1">C4*0.07</f>
        <v>2729.3</v>
      </c>
      <c r="D5" s="10">
        <f t="shared" si="1"/>
        <v>2527</v>
      </c>
      <c r="E5" s="10">
        <f t="shared" si="1"/>
        <v>2527</v>
      </c>
      <c r="F5" s="11"/>
      <c r="H5" s="4"/>
      <c r="I5" s="4"/>
      <c r="J5" s="12"/>
      <c r="K5" s="4"/>
      <c r="L5" s="4"/>
    </row>
    <row r="6">
      <c r="A6" s="13"/>
      <c r="B6" s="11" t="s">
        <v>40</v>
      </c>
      <c r="C6" s="10">
        <v>1200.0</v>
      </c>
      <c r="D6" s="10">
        <v>1100.0</v>
      </c>
      <c r="E6" s="10">
        <v>1100.0</v>
      </c>
      <c r="F6" s="11"/>
      <c r="H6" s="4"/>
      <c r="I6" s="4"/>
      <c r="J6" s="12"/>
      <c r="K6" s="4"/>
      <c r="L6" s="4"/>
    </row>
    <row r="7">
      <c r="A7" s="13"/>
      <c r="B7" s="11" t="s">
        <v>11</v>
      </c>
      <c r="C7" s="10">
        <f>C4*0.487</f>
        <v>18988.13</v>
      </c>
      <c r="D7" s="10">
        <f>D4*0.382</f>
        <v>13790.2</v>
      </c>
      <c r="E7" s="38">
        <f>SUM(E4:E6)-5000</f>
        <v>34727</v>
      </c>
      <c r="F7" s="11"/>
      <c r="H7" s="4"/>
      <c r="I7" s="4"/>
      <c r="J7" s="12"/>
      <c r="K7" s="4"/>
      <c r="L7" s="4"/>
    </row>
    <row r="8">
      <c r="A8" s="13"/>
      <c r="B8" s="16" t="s">
        <v>13</v>
      </c>
      <c r="C8" s="10">
        <v>-1875.0</v>
      </c>
      <c r="D8" s="17">
        <v>0.0</v>
      </c>
      <c r="E8" s="15"/>
      <c r="F8" s="11">
        <v>1.3</v>
      </c>
      <c r="H8" s="4"/>
      <c r="I8" s="4" t="s">
        <v>14</v>
      </c>
      <c r="J8" s="12" t="s">
        <v>15</v>
      </c>
      <c r="K8" s="4"/>
      <c r="L8" s="4"/>
    </row>
    <row r="9">
      <c r="A9" s="13"/>
      <c r="B9" s="3" t="s">
        <v>16</v>
      </c>
      <c r="C9" s="22">
        <f t="shared" ref="C9:D9" si="2">C4-C7+C5+C6+C8</f>
        <v>22056.17</v>
      </c>
      <c r="D9" s="22">
        <f t="shared" si="2"/>
        <v>25936.8</v>
      </c>
      <c r="E9" s="19"/>
      <c r="F9" s="11">
        <v>0.0</v>
      </c>
      <c r="H9" s="4"/>
      <c r="I9" s="4" t="s">
        <v>17</v>
      </c>
      <c r="J9" s="12" t="s">
        <v>18</v>
      </c>
      <c r="K9" s="4"/>
      <c r="L9" s="4"/>
    </row>
    <row r="10">
      <c r="A10" s="8"/>
      <c r="B10" s="39" t="s">
        <v>41</v>
      </c>
      <c r="C10" s="40">
        <v>4238.33</v>
      </c>
      <c r="D10" s="40">
        <v>3881.55</v>
      </c>
      <c r="E10" s="3"/>
      <c r="F10" s="4"/>
      <c r="G10" s="4"/>
      <c r="H10" s="4"/>
      <c r="I10" s="4"/>
      <c r="J10" s="12"/>
      <c r="K10" s="12"/>
      <c r="L10" s="12"/>
    </row>
    <row r="11">
      <c r="A11" s="8"/>
      <c r="B11" s="11" t="s">
        <v>20</v>
      </c>
      <c r="C11" s="14" t="s">
        <v>21</v>
      </c>
      <c r="D11" s="14">
        <v>3.1</v>
      </c>
      <c r="E11" s="3"/>
      <c r="F11" s="4"/>
      <c r="G11" s="4"/>
      <c r="H11" s="4"/>
      <c r="I11" s="4" t="s">
        <v>22</v>
      </c>
      <c r="J11" s="12" t="s">
        <v>23</v>
      </c>
    </row>
    <row r="12">
      <c r="A12" s="8"/>
      <c r="B12" s="11" t="s">
        <v>24</v>
      </c>
      <c r="C12" s="14">
        <v>0.13</v>
      </c>
      <c r="D12" s="14" t="s">
        <v>21</v>
      </c>
      <c r="E12" s="20"/>
      <c r="F12" s="4"/>
      <c r="G12" s="4"/>
      <c r="H12" s="4"/>
    </row>
    <row r="13">
      <c r="A13" s="8"/>
      <c r="B13" s="11" t="s">
        <v>25</v>
      </c>
      <c r="C13" s="21">
        <v>15000.0</v>
      </c>
      <c r="D13" s="21">
        <v>15000.0</v>
      </c>
      <c r="E13" s="3"/>
      <c r="F13" s="4"/>
      <c r="G13" s="4"/>
      <c r="H13" s="4"/>
    </row>
    <row r="14">
      <c r="A14" s="8"/>
      <c r="B14" s="39" t="s">
        <v>42</v>
      </c>
      <c r="C14" s="41">
        <v>1300.0</v>
      </c>
      <c r="D14" s="40">
        <v>3957.0</v>
      </c>
      <c r="E14" s="42" t="s">
        <v>62</v>
      </c>
      <c r="F14" s="4"/>
      <c r="G14" s="4"/>
      <c r="H14" s="4"/>
      <c r="I14" s="4"/>
      <c r="J14" s="4"/>
      <c r="K14" s="4"/>
      <c r="L14" s="4"/>
    </row>
    <row r="15">
      <c r="A15" s="8"/>
      <c r="B15" s="11" t="s">
        <v>28</v>
      </c>
      <c r="C15" s="23">
        <v>4.0</v>
      </c>
      <c r="D15" s="23">
        <v>32.0</v>
      </c>
      <c r="E15" s="43" t="s">
        <v>44</v>
      </c>
      <c r="F15" s="4"/>
      <c r="G15" s="4"/>
      <c r="H15" s="4"/>
      <c r="I15" s="4"/>
      <c r="J15" s="4"/>
      <c r="K15" s="4"/>
      <c r="L15" s="4"/>
    </row>
    <row r="16">
      <c r="A16" s="8"/>
      <c r="B16" s="11" t="s">
        <v>29</v>
      </c>
      <c r="C16" s="23" t="s">
        <v>21</v>
      </c>
      <c r="D16" s="44">
        <f>D13/D15</f>
        <v>468.75</v>
      </c>
      <c r="E16" s="4"/>
      <c r="F16" s="4"/>
      <c r="G16" s="4"/>
      <c r="H16" s="4"/>
      <c r="I16" s="4"/>
      <c r="J16" s="4"/>
      <c r="K16" s="4"/>
      <c r="L16" s="4"/>
    </row>
    <row r="17">
      <c r="A17" s="8"/>
      <c r="B17" s="11" t="s">
        <v>31</v>
      </c>
      <c r="C17" s="45">
        <f>C13/C15</f>
        <v>3750</v>
      </c>
      <c r="D17" s="23" t="s">
        <v>21</v>
      </c>
      <c r="E17" s="4"/>
      <c r="F17" s="4"/>
      <c r="G17" s="4"/>
      <c r="H17" s="4"/>
      <c r="I17" s="4"/>
      <c r="J17" s="4"/>
      <c r="K17" s="4"/>
      <c r="L17" s="4"/>
    </row>
    <row r="18">
      <c r="A18" s="8"/>
      <c r="B18" s="3" t="s">
        <v>32</v>
      </c>
      <c r="C18" s="41">
        <f>C12*C17</f>
        <v>487.5</v>
      </c>
      <c r="D18" s="22">
        <f>D16*D11</f>
        <v>1453.125</v>
      </c>
      <c r="E18" s="4"/>
      <c r="F18" s="4"/>
      <c r="G18" s="3"/>
      <c r="H18" s="4"/>
      <c r="I18" s="4"/>
      <c r="J18" s="4"/>
      <c r="K18" s="4"/>
      <c r="L18" s="4"/>
    </row>
    <row r="19">
      <c r="A19" s="8"/>
      <c r="B19" s="28" t="s">
        <v>33</v>
      </c>
      <c r="C19" s="29">
        <f t="shared" ref="C19:D19" si="3">C28</f>
        <v>30032</v>
      </c>
      <c r="D19" s="29">
        <f t="shared" si="3"/>
        <v>41040.975</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45</v>
      </c>
      <c r="E23" s="6" t="s">
        <v>35</v>
      </c>
      <c r="F23" s="4"/>
      <c r="G23" s="4"/>
      <c r="H23" s="4"/>
      <c r="I23" s="4"/>
      <c r="J23" s="4"/>
      <c r="K23" s="4"/>
      <c r="L23" s="4"/>
    </row>
    <row r="24">
      <c r="A24" s="31"/>
      <c r="B24" s="32">
        <v>1.0</v>
      </c>
      <c r="C24" s="33"/>
      <c r="D24" s="33"/>
      <c r="E24" s="34">
        <f t="shared" ref="E24:E33" si="4">$D24-$C24</f>
        <v>0</v>
      </c>
      <c r="F24" s="4"/>
      <c r="G24" s="4"/>
      <c r="H24" s="4"/>
      <c r="I24" s="4"/>
      <c r="J24" s="4"/>
      <c r="K24" s="4"/>
      <c r="L24" s="4"/>
    </row>
    <row r="25">
      <c r="A25" s="35"/>
      <c r="B25" s="32">
        <v>2.0</v>
      </c>
      <c r="C25" s="33"/>
      <c r="D25" s="33"/>
      <c r="E25" s="34">
        <f t="shared" si="4"/>
        <v>0</v>
      </c>
      <c r="F25" s="4"/>
      <c r="G25" s="3"/>
      <c r="H25" s="4"/>
      <c r="I25" s="4"/>
      <c r="J25" s="4"/>
      <c r="K25" s="4"/>
      <c r="L25" s="4"/>
    </row>
    <row r="26">
      <c r="A26" s="35"/>
      <c r="B26" s="32">
        <v>3.0</v>
      </c>
      <c r="C26" s="33"/>
      <c r="D26" s="33"/>
      <c r="E26" s="34">
        <f t="shared" si="4"/>
        <v>0</v>
      </c>
      <c r="F26" s="4"/>
      <c r="G26" s="4"/>
      <c r="H26" s="4"/>
      <c r="I26" s="4"/>
      <c r="J26" s="4"/>
      <c r="K26" s="4"/>
      <c r="L26" s="4"/>
    </row>
    <row r="27">
      <c r="A27" s="35"/>
      <c r="B27" s="32">
        <v>4.0</v>
      </c>
      <c r="C27" s="33"/>
      <c r="D27" s="33"/>
      <c r="E27" s="34">
        <f t="shared" si="4"/>
        <v>0</v>
      </c>
      <c r="F27" s="4"/>
      <c r="G27" s="4"/>
      <c r="H27" s="4"/>
      <c r="I27" s="4"/>
      <c r="J27" s="4"/>
      <c r="K27" s="4"/>
      <c r="L27" s="4"/>
    </row>
    <row r="28">
      <c r="A28" s="35"/>
      <c r="B28" s="35">
        <v>5.0</v>
      </c>
      <c r="C28" s="36">
        <f>C9+(B28*C18)+C14+C10</f>
        <v>30032</v>
      </c>
      <c r="D28" s="36">
        <f>D9+(D18*B28)+D14+D10</f>
        <v>41040.975</v>
      </c>
      <c r="E28" s="34">
        <f t="shared" si="4"/>
        <v>11008.975</v>
      </c>
      <c r="F28" s="4"/>
      <c r="G28" s="3"/>
      <c r="H28" s="4"/>
      <c r="I28" s="4"/>
      <c r="J28" s="4"/>
      <c r="K28" s="4"/>
      <c r="L28" s="4"/>
    </row>
    <row r="29">
      <c r="A29" s="35"/>
      <c r="B29" s="32">
        <v>6.0</v>
      </c>
      <c r="C29" s="33"/>
      <c r="D29" s="33"/>
      <c r="E29" s="34">
        <f t="shared" si="4"/>
        <v>0</v>
      </c>
      <c r="F29" s="4"/>
      <c r="G29" s="4"/>
      <c r="H29" s="4"/>
      <c r="I29" s="4"/>
      <c r="J29" s="4"/>
      <c r="K29" s="4"/>
      <c r="L29" s="4"/>
    </row>
    <row r="30">
      <c r="A30" s="35"/>
      <c r="B30" s="32">
        <v>7.0</v>
      </c>
      <c r="C30" s="33"/>
      <c r="D30" s="33"/>
      <c r="E30" s="34">
        <f t="shared" si="4"/>
        <v>0</v>
      </c>
      <c r="F30" s="4"/>
      <c r="G30" s="4"/>
      <c r="H30" s="4"/>
      <c r="I30" s="4"/>
      <c r="J30" s="4"/>
      <c r="K30" s="4"/>
      <c r="L30" s="4"/>
    </row>
    <row r="31">
      <c r="A31" s="35"/>
      <c r="B31" s="32">
        <v>8.0</v>
      </c>
      <c r="C31" s="33"/>
      <c r="D31" s="33"/>
      <c r="E31" s="34">
        <f t="shared" si="4"/>
        <v>0</v>
      </c>
      <c r="F31" s="4"/>
      <c r="G31" s="4"/>
      <c r="H31" s="4"/>
      <c r="I31" s="4"/>
      <c r="J31" s="4"/>
      <c r="K31" s="4"/>
      <c r="L31" s="4"/>
    </row>
    <row r="32">
      <c r="A32" s="35"/>
      <c r="B32" s="32">
        <v>9.0</v>
      </c>
      <c r="C32" s="33"/>
      <c r="D32" s="33"/>
      <c r="E32" s="34">
        <f t="shared" si="4"/>
        <v>0</v>
      </c>
      <c r="F32" s="4"/>
      <c r="G32" s="4"/>
      <c r="H32" s="4"/>
      <c r="I32" s="4"/>
      <c r="J32" s="4"/>
      <c r="K32" s="4"/>
      <c r="L32" s="4"/>
    </row>
    <row r="33">
      <c r="A33" s="35"/>
      <c r="B33" s="32">
        <v>10.0</v>
      </c>
      <c r="C33" s="33"/>
      <c r="D33" s="33"/>
      <c r="E33" s="34">
        <f t="shared" si="4"/>
        <v>0</v>
      </c>
      <c r="F33" s="4"/>
      <c r="G33" s="4"/>
      <c r="H33" s="4"/>
      <c r="I33" s="4"/>
      <c r="J33" s="4"/>
      <c r="K33" s="4"/>
      <c r="L33" s="4"/>
    </row>
    <row r="34">
      <c r="A34" s="35"/>
      <c r="B34" s="35"/>
      <c r="C34" s="37"/>
      <c r="D34" s="37"/>
      <c r="E34" s="4"/>
      <c r="F34" s="4"/>
      <c r="G34" s="4"/>
      <c r="H34" s="4"/>
      <c r="I34" s="4"/>
      <c r="J34" s="4"/>
      <c r="K34" s="4"/>
      <c r="L34" s="4"/>
    </row>
    <row r="35">
      <c r="A35" s="35"/>
      <c r="B35" s="35"/>
      <c r="C35" s="37"/>
      <c r="D35" s="37">
        <f>C33-D33</f>
        <v>0</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4">
    <mergeCell ref="J11:L11"/>
    <mergeCell ref="B1:D1"/>
    <mergeCell ref="B2:D2"/>
    <mergeCell ref="G4:G9"/>
  </mergeCells>
  <hyperlinks>
    <hyperlink r:id="rId2" ref="J4"/>
    <hyperlink r:id="rId3" ref="J8"/>
    <hyperlink r:id="rId4" ref="J9"/>
    <hyperlink r:id="rId5" ref="J11"/>
    <hyperlink r:id="rId6" location="style=401779176" ref="E14"/>
    <hyperlink r:id="rId7" ref="E15"/>
  </hyperlinks>
  <drawing r:id="rId8"/>
  <legacy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54</v>
      </c>
      <c r="E2" s="3"/>
      <c r="F2" s="4"/>
      <c r="G2" s="4"/>
      <c r="H2" s="4"/>
      <c r="I2" s="4" t="s">
        <v>5</v>
      </c>
      <c r="J2" s="4"/>
      <c r="K2" s="4"/>
      <c r="L2" s="4"/>
    </row>
    <row r="3">
      <c r="A3" s="8"/>
      <c r="B3" s="9" t="s">
        <v>7</v>
      </c>
      <c r="C3" s="10">
        <v>38990.0</v>
      </c>
      <c r="D3" s="10">
        <v>35300.0</v>
      </c>
      <c r="E3" s="10">
        <v>35300.0</v>
      </c>
      <c r="F3" s="11">
        <v>20000.0</v>
      </c>
      <c r="G3" s="9" t="s">
        <v>8</v>
      </c>
      <c r="H3" s="4"/>
      <c r="I3" s="4" t="s">
        <v>9</v>
      </c>
      <c r="J3" s="12" t="s">
        <v>10</v>
      </c>
      <c r="K3" s="4"/>
      <c r="L3" s="4"/>
    </row>
    <row r="4">
      <c r="A4" s="13"/>
      <c r="B4" s="11" t="s">
        <v>55</v>
      </c>
      <c r="C4" s="10" t="s">
        <v>21</v>
      </c>
      <c r="D4" s="10">
        <v>2500.0</v>
      </c>
      <c r="E4" s="10">
        <v>2500.0</v>
      </c>
      <c r="F4" s="11"/>
      <c r="H4" s="4"/>
      <c r="I4" s="4"/>
      <c r="J4" s="12"/>
      <c r="K4" s="4"/>
      <c r="L4" s="4"/>
    </row>
    <row r="5">
      <c r="A5" s="13"/>
      <c r="B5" s="11" t="s">
        <v>56</v>
      </c>
      <c r="C5" s="10" t="s">
        <v>21</v>
      </c>
      <c r="D5" s="10">
        <v>1200.0</v>
      </c>
      <c r="E5" s="10">
        <v>1200.0</v>
      </c>
      <c r="F5" s="11"/>
      <c r="H5" s="4"/>
      <c r="I5" s="4"/>
      <c r="J5" s="12"/>
      <c r="K5" s="4"/>
      <c r="L5" s="4"/>
    </row>
    <row r="6">
      <c r="A6" s="13"/>
      <c r="B6" s="11" t="s">
        <v>39</v>
      </c>
      <c r="C6" s="10">
        <f>C3*0.07</f>
        <v>2729.3</v>
      </c>
      <c r="D6" s="17">
        <f t="shared" ref="D6:E6" si="1">(D5+D4+D3)*0.07</f>
        <v>2730</v>
      </c>
      <c r="E6" s="17">
        <f t="shared" si="1"/>
        <v>2730</v>
      </c>
      <c r="F6" s="11"/>
      <c r="H6" s="4"/>
      <c r="I6" s="4"/>
      <c r="J6" s="12"/>
      <c r="K6" s="4"/>
      <c r="L6" s="4"/>
    </row>
    <row r="7">
      <c r="A7" s="13"/>
      <c r="B7" s="11" t="s">
        <v>40</v>
      </c>
      <c r="C7" s="10">
        <v>1200.0</v>
      </c>
      <c r="D7" s="10">
        <v>0.0</v>
      </c>
      <c r="E7" s="10">
        <v>0.0</v>
      </c>
      <c r="F7" s="11"/>
      <c r="H7" s="4"/>
      <c r="I7" s="4"/>
      <c r="J7" s="12"/>
      <c r="K7" s="4"/>
      <c r="L7" s="4"/>
    </row>
    <row r="8">
      <c r="A8" s="13"/>
      <c r="B8" s="11" t="s">
        <v>58</v>
      </c>
      <c r="C8" s="10">
        <f>C3*0.487</f>
        <v>18988.13</v>
      </c>
      <c r="D8" s="17">
        <f>SUM(D3:D5)-20637</f>
        <v>18363</v>
      </c>
      <c r="E8" s="38">
        <f>SUM(E3:E7)-5000</f>
        <v>36730</v>
      </c>
      <c r="F8" s="11"/>
      <c r="H8" s="4"/>
      <c r="I8" s="4"/>
      <c r="J8" s="12"/>
      <c r="K8" s="4"/>
      <c r="L8" s="4"/>
    </row>
    <row r="9">
      <c r="A9" s="13"/>
      <c r="B9" s="16" t="s">
        <v>13</v>
      </c>
      <c r="C9" s="10">
        <v>-1875.0</v>
      </c>
      <c r="D9" s="17">
        <v>0.0</v>
      </c>
      <c r="E9" s="15"/>
      <c r="F9" s="11">
        <v>1.3</v>
      </c>
      <c r="H9" s="4"/>
      <c r="I9" s="4" t="s">
        <v>14</v>
      </c>
      <c r="J9" s="12" t="s">
        <v>15</v>
      </c>
      <c r="K9" s="4"/>
      <c r="L9" s="4"/>
    </row>
    <row r="10">
      <c r="A10" s="13"/>
      <c r="B10" s="3" t="s">
        <v>60</v>
      </c>
      <c r="C10" s="22">
        <f>C3+C9-C8+C6+C7</f>
        <v>22056.17</v>
      </c>
      <c r="D10" s="22">
        <f>D3+D4+D5-D9-D8+D6</f>
        <v>23367</v>
      </c>
      <c r="E10" s="19"/>
      <c r="F10" s="11">
        <v>0.0</v>
      </c>
      <c r="H10" s="4"/>
      <c r="I10" s="4" t="s">
        <v>17</v>
      </c>
      <c r="J10" s="12" t="s">
        <v>18</v>
      </c>
      <c r="K10" s="4"/>
      <c r="L10" s="4"/>
    </row>
    <row r="11">
      <c r="A11" s="8"/>
      <c r="B11" s="39" t="s">
        <v>61</v>
      </c>
      <c r="C11" s="40">
        <v>4238.33</v>
      </c>
      <c r="D11" s="40">
        <v>4105.44</v>
      </c>
      <c r="E11" s="3"/>
      <c r="F11" s="4"/>
      <c r="G11" s="4"/>
      <c r="H11" s="4"/>
      <c r="I11" s="4"/>
      <c r="J11" s="12"/>
      <c r="K11" s="12"/>
      <c r="L11" s="12"/>
    </row>
    <row r="12">
      <c r="A12" s="8"/>
      <c r="B12" s="9" t="s">
        <v>20</v>
      </c>
      <c r="C12" s="14" t="s">
        <v>21</v>
      </c>
      <c r="D12" s="14">
        <v>3.1</v>
      </c>
      <c r="E12" s="48">
        <f>D12/1.4</f>
        <v>2.214285714</v>
      </c>
      <c r="F12" s="4"/>
      <c r="G12" s="4"/>
      <c r="H12" s="4"/>
      <c r="I12" s="4" t="s">
        <v>22</v>
      </c>
      <c r="J12" s="12" t="s">
        <v>23</v>
      </c>
    </row>
    <row r="13">
      <c r="A13" s="8"/>
      <c r="B13" s="11" t="s">
        <v>63</v>
      </c>
      <c r="C13" s="14">
        <v>0.13</v>
      </c>
      <c r="D13" s="14" t="s">
        <v>21</v>
      </c>
      <c r="E13" s="20"/>
      <c r="F13" s="4"/>
      <c r="G13" s="4"/>
      <c r="H13" s="4"/>
    </row>
    <row r="14">
      <c r="A14" s="8"/>
      <c r="B14" s="11" t="s">
        <v>25</v>
      </c>
      <c r="C14" s="21">
        <v>15000.0</v>
      </c>
      <c r="D14" s="21">
        <v>15000.0</v>
      </c>
      <c r="E14" s="3"/>
      <c r="F14" s="4"/>
      <c r="G14" s="4"/>
      <c r="H14" s="4"/>
    </row>
    <row r="15">
      <c r="A15" s="8"/>
      <c r="B15" s="39" t="s">
        <v>42</v>
      </c>
      <c r="C15" s="41">
        <v>1300.0</v>
      </c>
      <c r="D15" s="40">
        <v>6095.0</v>
      </c>
      <c r="E15" s="3"/>
      <c r="F15" s="4"/>
      <c r="G15" s="4"/>
      <c r="H15" s="4"/>
      <c r="I15" s="4"/>
      <c r="J15" s="12"/>
    </row>
    <row r="16">
      <c r="A16" s="8"/>
      <c r="B16" s="11" t="s">
        <v>64</v>
      </c>
      <c r="C16" s="23">
        <v>4.0</v>
      </c>
      <c r="D16" s="23">
        <v>32.0</v>
      </c>
      <c r="E16" s="3"/>
      <c r="F16" s="4"/>
      <c r="G16" s="4"/>
      <c r="H16" s="4"/>
      <c r="I16" s="4"/>
      <c r="J16" s="4"/>
      <c r="K16" s="4"/>
      <c r="L16" s="4"/>
    </row>
    <row r="17">
      <c r="A17" s="8"/>
      <c r="B17" s="9" t="s">
        <v>65</v>
      </c>
      <c r="C17" s="23" t="s">
        <v>21</v>
      </c>
      <c r="D17" s="44">
        <f>D14/D16</f>
        <v>468.75</v>
      </c>
      <c r="E17" s="4"/>
      <c r="F17" s="4"/>
      <c r="G17" s="4"/>
      <c r="H17" s="4"/>
      <c r="I17" s="4"/>
      <c r="J17" s="4"/>
      <c r="K17" s="4"/>
      <c r="L17" s="4"/>
    </row>
    <row r="18">
      <c r="A18" s="8"/>
      <c r="B18" s="11" t="s">
        <v>66</v>
      </c>
      <c r="C18" s="44">
        <f>C14/C16</f>
        <v>3750</v>
      </c>
      <c r="D18" s="23" t="s">
        <v>21</v>
      </c>
      <c r="E18" s="4"/>
      <c r="F18" s="4"/>
      <c r="G18" s="4"/>
      <c r="H18" s="4"/>
      <c r="I18" s="4"/>
      <c r="J18" s="4"/>
      <c r="K18" s="4"/>
      <c r="L18" s="4"/>
    </row>
    <row r="19">
      <c r="A19" s="8"/>
      <c r="B19" s="4" t="s">
        <v>67</v>
      </c>
      <c r="C19" s="27">
        <f>C13*C18</f>
        <v>487.5</v>
      </c>
      <c r="D19" s="18">
        <f>D17*D12</f>
        <v>1453.125</v>
      </c>
      <c r="E19" s="4"/>
      <c r="F19" s="4"/>
      <c r="G19" s="3"/>
      <c r="H19" s="4"/>
      <c r="I19" s="4"/>
      <c r="J19" s="4"/>
      <c r="K19" s="4"/>
      <c r="L19" s="4"/>
    </row>
    <row r="20">
      <c r="A20" s="8"/>
      <c r="B20" s="28" t="s">
        <v>33</v>
      </c>
      <c r="C20" s="29">
        <f t="shared" ref="C20:D20" si="2">C29</f>
        <v>30032</v>
      </c>
      <c r="D20" s="29">
        <f t="shared" si="2"/>
        <v>40833.065</v>
      </c>
      <c r="E20" s="30"/>
      <c r="F20" s="4"/>
      <c r="G20" s="3"/>
      <c r="H20" s="4"/>
      <c r="I20" s="4"/>
      <c r="J20" s="4"/>
      <c r="K20" s="4"/>
      <c r="L20" s="4"/>
    </row>
    <row r="21">
      <c r="A21" s="4"/>
      <c r="B21" s="31" t="s">
        <v>34</v>
      </c>
      <c r="C21" s="6" t="s">
        <v>2</v>
      </c>
      <c r="D21" s="7" t="s">
        <v>68</v>
      </c>
      <c r="E21" s="6" t="s">
        <v>35</v>
      </c>
      <c r="F21" s="4"/>
      <c r="G21" s="4"/>
      <c r="H21" s="4"/>
      <c r="I21" s="4"/>
      <c r="J21" s="4"/>
      <c r="K21" s="4"/>
      <c r="L21" s="4"/>
    </row>
    <row r="22">
      <c r="A22" s="31"/>
      <c r="B22" s="32"/>
      <c r="C22" s="33"/>
      <c r="D22" s="33"/>
      <c r="E22" s="4"/>
      <c r="F22" s="4"/>
      <c r="G22" s="4"/>
      <c r="H22" s="4"/>
      <c r="I22" s="4"/>
      <c r="J22" s="4"/>
      <c r="K22" s="4"/>
      <c r="L22" s="4"/>
    </row>
    <row r="23">
      <c r="A23" s="31"/>
      <c r="B23" s="32"/>
      <c r="C23" s="33"/>
      <c r="D23" s="33"/>
      <c r="E23" s="4"/>
      <c r="F23" s="4"/>
      <c r="G23" s="4"/>
      <c r="H23" s="4"/>
      <c r="I23" s="4"/>
      <c r="J23" s="4"/>
      <c r="K23" s="4"/>
      <c r="L23" s="4"/>
    </row>
    <row r="24">
      <c r="A24" s="31"/>
      <c r="B24" s="32"/>
      <c r="C24" s="33"/>
      <c r="D24" s="33"/>
      <c r="E24" s="4"/>
      <c r="F24" s="4"/>
      <c r="G24" s="4"/>
      <c r="H24" s="4"/>
      <c r="I24" s="4"/>
      <c r="J24" s="4"/>
      <c r="K24" s="4"/>
      <c r="L24" s="4"/>
    </row>
    <row r="25">
      <c r="A25" s="31"/>
      <c r="B25" s="32">
        <v>1.0</v>
      </c>
      <c r="C25" s="33"/>
      <c r="D25" s="33"/>
      <c r="E25" s="34">
        <f t="shared" ref="E25:E34" si="3">$D25-$C25</f>
        <v>0</v>
      </c>
      <c r="F25" s="4"/>
      <c r="G25" s="4"/>
      <c r="H25" s="4"/>
      <c r="I25" s="4"/>
      <c r="J25" s="4"/>
      <c r="K25" s="4"/>
      <c r="L25" s="4"/>
    </row>
    <row r="26">
      <c r="A26" s="35"/>
      <c r="B26" s="32">
        <v>2.0</v>
      </c>
      <c r="C26" s="33"/>
      <c r="D26" s="33"/>
      <c r="E26" s="34">
        <f t="shared" si="3"/>
        <v>0</v>
      </c>
      <c r="F26" s="4"/>
      <c r="G26" s="3"/>
      <c r="H26" s="4"/>
      <c r="I26" s="4"/>
      <c r="J26" s="4"/>
      <c r="K26" s="4"/>
      <c r="L26" s="4"/>
    </row>
    <row r="27">
      <c r="A27" s="35"/>
      <c r="B27" s="32">
        <v>3.0</v>
      </c>
      <c r="C27" s="33"/>
      <c r="D27" s="33"/>
      <c r="E27" s="34">
        <f t="shared" si="3"/>
        <v>0</v>
      </c>
      <c r="F27" s="4"/>
      <c r="G27" s="4"/>
      <c r="H27" s="4"/>
      <c r="I27" s="4"/>
      <c r="J27" s="4"/>
      <c r="K27" s="4"/>
      <c r="L27" s="4"/>
    </row>
    <row r="28">
      <c r="A28" s="35"/>
      <c r="B28" s="32">
        <v>4.0</v>
      </c>
      <c r="C28" s="33"/>
      <c r="D28" s="33"/>
      <c r="E28" s="34">
        <f t="shared" si="3"/>
        <v>0</v>
      </c>
      <c r="F28" s="4"/>
      <c r="G28" s="4"/>
      <c r="H28" s="4"/>
      <c r="I28" s="4"/>
      <c r="J28" s="4"/>
      <c r="K28" s="4"/>
      <c r="L28" s="4"/>
    </row>
    <row r="29">
      <c r="A29" s="35"/>
      <c r="B29" s="32">
        <v>5.0</v>
      </c>
      <c r="C29" s="33">
        <f>C10+(B29*C19)+(C15)+C11</f>
        <v>30032</v>
      </c>
      <c r="D29" s="33">
        <f>D10+(D19*B29)+(D15)+D11</f>
        <v>40833.065</v>
      </c>
      <c r="E29" s="34">
        <f t="shared" si="3"/>
        <v>10801.065</v>
      </c>
      <c r="F29" s="4"/>
      <c r="G29" s="3"/>
      <c r="H29" s="4"/>
      <c r="I29" s="4"/>
      <c r="J29" s="4"/>
      <c r="K29" s="4"/>
      <c r="L29" s="4"/>
    </row>
    <row r="30">
      <c r="A30" s="35"/>
      <c r="B30" s="32">
        <v>6.0</v>
      </c>
      <c r="C30" s="33"/>
      <c r="D30" s="33"/>
      <c r="E30" s="34">
        <f t="shared" si="3"/>
        <v>0</v>
      </c>
      <c r="F30" s="4"/>
      <c r="G30" s="4"/>
      <c r="H30" s="4"/>
      <c r="I30" s="4"/>
      <c r="J30" s="4"/>
      <c r="K30" s="4"/>
      <c r="L30" s="4"/>
    </row>
    <row r="31">
      <c r="A31" s="35"/>
      <c r="B31" s="32">
        <v>7.0</v>
      </c>
      <c r="C31" s="33"/>
      <c r="D31" s="33"/>
      <c r="E31" s="34">
        <f t="shared" si="3"/>
        <v>0</v>
      </c>
      <c r="F31" s="4"/>
      <c r="G31" s="4"/>
      <c r="H31" s="4"/>
      <c r="I31" s="4"/>
      <c r="J31" s="4"/>
      <c r="K31" s="4"/>
      <c r="L31" s="4"/>
    </row>
    <row r="32">
      <c r="A32" s="35"/>
      <c r="B32" s="32">
        <v>8.0</v>
      </c>
      <c r="C32" s="33"/>
      <c r="D32" s="33"/>
      <c r="E32" s="34">
        <f t="shared" si="3"/>
        <v>0</v>
      </c>
      <c r="F32" s="4"/>
      <c r="G32" s="4"/>
      <c r="H32" s="4"/>
      <c r="I32" s="4"/>
      <c r="J32" s="4"/>
      <c r="K32" s="4"/>
      <c r="L32" s="4"/>
    </row>
    <row r="33">
      <c r="A33" s="35"/>
      <c r="B33" s="32">
        <v>9.0</v>
      </c>
      <c r="C33" s="33"/>
      <c r="D33" s="33"/>
      <c r="E33" s="34">
        <f t="shared" si="3"/>
        <v>0</v>
      </c>
      <c r="F33" s="4"/>
      <c r="G33" s="4"/>
      <c r="H33" s="4"/>
      <c r="I33" s="4"/>
      <c r="J33" s="4"/>
      <c r="K33" s="4"/>
      <c r="L33" s="4"/>
    </row>
    <row r="34">
      <c r="A34" s="35"/>
      <c r="B34" s="32">
        <v>10.0</v>
      </c>
      <c r="C34" s="33"/>
      <c r="D34" s="33"/>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C34-D34</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1" ref="J3"/>
    <hyperlink r:id="rId2" ref="J9"/>
    <hyperlink r:id="rId3" ref="J10"/>
    <hyperlink r:id="rId4" ref="J12"/>
  </hyperlinks>
  <drawing r:id="rId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57</v>
      </c>
      <c r="E2" s="3"/>
      <c r="F2" s="4"/>
      <c r="G2" s="4"/>
      <c r="H2" s="4"/>
      <c r="I2" s="4" t="s">
        <v>5</v>
      </c>
      <c r="J2" s="4"/>
      <c r="K2" s="4"/>
      <c r="L2" s="4"/>
    </row>
    <row r="3">
      <c r="A3" s="8"/>
      <c r="B3" s="9" t="s">
        <v>7</v>
      </c>
      <c r="C3" s="10">
        <v>38990.0</v>
      </c>
      <c r="D3" s="10">
        <v>42750.0</v>
      </c>
      <c r="E3" s="10">
        <v>42750.0</v>
      </c>
      <c r="F3" s="11">
        <v>20000.0</v>
      </c>
      <c r="G3" s="9" t="s">
        <v>8</v>
      </c>
      <c r="H3" s="4"/>
      <c r="I3" s="4" t="s">
        <v>9</v>
      </c>
      <c r="J3" s="12" t="s">
        <v>10</v>
      </c>
      <c r="K3" s="4"/>
      <c r="L3" s="4"/>
    </row>
    <row r="4">
      <c r="A4" s="13"/>
      <c r="B4" s="11" t="s">
        <v>59</v>
      </c>
      <c r="C4" s="10" t="s">
        <v>21</v>
      </c>
      <c r="D4" s="10">
        <v>2150.0</v>
      </c>
      <c r="E4" s="10">
        <v>2150.0</v>
      </c>
      <c r="F4" s="11"/>
      <c r="H4" s="4"/>
      <c r="I4" s="4"/>
      <c r="J4" s="12"/>
      <c r="K4" s="4"/>
      <c r="L4" s="4"/>
    </row>
    <row r="5">
      <c r="A5" s="13"/>
      <c r="B5" s="11" t="s">
        <v>56</v>
      </c>
      <c r="C5" s="10" t="s">
        <v>21</v>
      </c>
      <c r="D5" s="10">
        <v>1200.0</v>
      </c>
      <c r="E5" s="10">
        <v>1200.0</v>
      </c>
      <c r="F5" s="11"/>
      <c r="H5" s="4"/>
      <c r="I5" s="4"/>
      <c r="J5" s="12"/>
      <c r="K5" s="4"/>
      <c r="L5" s="4"/>
    </row>
    <row r="6">
      <c r="A6" s="13"/>
      <c r="B6" s="11" t="s">
        <v>39</v>
      </c>
      <c r="C6" s="10">
        <f>C3*0.07</f>
        <v>2729.3</v>
      </c>
      <c r="D6" s="17">
        <f t="shared" ref="D6:E6" si="1">(D5+D4+D3)*0.07</f>
        <v>3227</v>
      </c>
      <c r="E6" s="17">
        <f t="shared" si="1"/>
        <v>3227</v>
      </c>
      <c r="F6" s="11"/>
      <c r="H6" s="4"/>
      <c r="I6" s="4"/>
      <c r="J6" s="12"/>
      <c r="K6" s="4"/>
      <c r="L6" s="4"/>
    </row>
    <row r="7">
      <c r="A7" s="13"/>
      <c r="B7" s="11" t="s">
        <v>40</v>
      </c>
      <c r="C7" s="10">
        <v>1200.0</v>
      </c>
      <c r="D7" s="10">
        <v>1200.0</v>
      </c>
      <c r="E7" s="10">
        <v>1200.0</v>
      </c>
      <c r="F7" s="11"/>
      <c r="H7" s="4"/>
      <c r="I7" s="4"/>
      <c r="J7" s="12"/>
      <c r="K7" s="4"/>
      <c r="L7" s="4"/>
    </row>
    <row r="8">
      <c r="A8" s="13"/>
      <c r="B8" s="11" t="s">
        <v>58</v>
      </c>
      <c r="C8" s="10">
        <f>C3*0.487</f>
        <v>18988.13</v>
      </c>
      <c r="D8" s="17">
        <f>45600-27000</f>
        <v>18600</v>
      </c>
      <c r="E8" s="38">
        <f>SUM(E3:E7)-5000</f>
        <v>45527</v>
      </c>
      <c r="F8" s="11"/>
      <c r="H8" s="4"/>
      <c r="I8" s="4"/>
      <c r="J8" s="12"/>
      <c r="K8" s="4"/>
      <c r="L8" s="4"/>
    </row>
    <row r="9">
      <c r="A9" s="13"/>
      <c r="B9" s="16" t="s">
        <v>13</v>
      </c>
      <c r="C9" s="10">
        <v>-1875.0</v>
      </c>
      <c r="D9" s="17">
        <v>0.0</v>
      </c>
      <c r="E9" s="15"/>
      <c r="F9" s="11">
        <v>1.3</v>
      </c>
      <c r="H9" s="4"/>
      <c r="I9" s="4" t="s">
        <v>14</v>
      </c>
      <c r="J9" s="12" t="s">
        <v>15</v>
      </c>
      <c r="K9" s="4"/>
      <c r="L9" s="4"/>
    </row>
    <row r="10">
      <c r="A10" s="13"/>
      <c r="B10" s="3" t="s">
        <v>60</v>
      </c>
      <c r="C10" s="22">
        <f>C3+C9-C8+C6+C7</f>
        <v>22056.17</v>
      </c>
      <c r="D10" s="22">
        <f>D3+D4+D5-D9-D8+D6</f>
        <v>30727</v>
      </c>
      <c r="E10" s="19"/>
      <c r="F10" s="11">
        <v>0.0</v>
      </c>
      <c r="H10" s="4"/>
      <c r="I10" s="4" t="s">
        <v>17</v>
      </c>
      <c r="J10" s="12" t="s">
        <v>18</v>
      </c>
      <c r="K10" s="4"/>
      <c r="L10" s="4"/>
    </row>
    <row r="11">
      <c r="A11" s="8"/>
      <c r="B11" s="39" t="s">
        <v>41</v>
      </c>
      <c r="C11" s="40">
        <v>4238.33</v>
      </c>
      <c r="D11" s="40">
        <v>5088.71</v>
      </c>
      <c r="E11" s="3"/>
      <c r="F11" s="4"/>
      <c r="G11" s="4"/>
      <c r="H11" s="4"/>
      <c r="I11" s="4"/>
      <c r="J11" s="12"/>
      <c r="K11" s="12"/>
      <c r="L11" s="12"/>
    </row>
    <row r="12">
      <c r="A12" s="8"/>
      <c r="B12" s="9" t="s">
        <v>20</v>
      </c>
      <c r="C12" s="14" t="s">
        <v>21</v>
      </c>
      <c r="D12" s="14">
        <v>3.1</v>
      </c>
      <c r="E12" s="48">
        <f>D12/1.4</f>
        <v>2.214285714</v>
      </c>
      <c r="F12" s="4"/>
      <c r="G12" s="4"/>
      <c r="H12" s="4"/>
      <c r="I12" s="4" t="s">
        <v>22</v>
      </c>
      <c r="J12" s="12" t="s">
        <v>23</v>
      </c>
    </row>
    <row r="13">
      <c r="A13" s="8"/>
      <c r="B13" s="11" t="s">
        <v>63</v>
      </c>
      <c r="C13" s="14">
        <v>0.13</v>
      </c>
      <c r="D13" s="14" t="s">
        <v>21</v>
      </c>
      <c r="E13" s="20"/>
      <c r="F13" s="4"/>
      <c r="G13" s="4"/>
      <c r="H13" s="4"/>
    </row>
    <row r="14">
      <c r="A14" s="8"/>
      <c r="B14" s="11" t="s">
        <v>25</v>
      </c>
      <c r="C14" s="21">
        <v>15000.0</v>
      </c>
      <c r="D14" s="21">
        <v>15000.0</v>
      </c>
      <c r="E14" s="3"/>
      <c r="F14" s="4"/>
      <c r="G14" s="4"/>
      <c r="H14" s="4"/>
    </row>
    <row r="15">
      <c r="A15" s="8"/>
      <c r="B15" s="39" t="s">
        <v>42</v>
      </c>
      <c r="C15" s="41">
        <v>1300.0</v>
      </c>
      <c r="D15" s="40">
        <v>6638.0</v>
      </c>
      <c r="E15" s="3"/>
      <c r="F15" s="4"/>
      <c r="G15" s="4"/>
      <c r="H15" s="4"/>
      <c r="I15" s="4"/>
      <c r="J15" s="12"/>
    </row>
    <row r="16">
      <c r="A16" s="8"/>
      <c r="B16" s="11" t="s">
        <v>64</v>
      </c>
      <c r="C16" s="23">
        <v>4.0</v>
      </c>
      <c r="D16" s="23">
        <v>34.0</v>
      </c>
      <c r="E16" s="3"/>
      <c r="F16" s="4"/>
      <c r="G16" s="4"/>
      <c r="H16" s="4"/>
      <c r="I16" s="4"/>
      <c r="J16" s="4"/>
      <c r="K16" s="4"/>
      <c r="L16" s="4"/>
    </row>
    <row r="17">
      <c r="A17" s="8"/>
      <c r="B17" s="9" t="s">
        <v>65</v>
      </c>
      <c r="C17" s="23" t="s">
        <v>21</v>
      </c>
      <c r="D17" s="44">
        <f>D14/D16</f>
        <v>441.1764706</v>
      </c>
      <c r="E17" s="4"/>
      <c r="F17" s="4"/>
      <c r="G17" s="4"/>
      <c r="H17" s="4"/>
      <c r="I17" s="4"/>
      <c r="J17" s="4"/>
      <c r="K17" s="4"/>
      <c r="L17" s="4"/>
    </row>
    <row r="18">
      <c r="A18" s="8"/>
      <c r="B18" s="11" t="s">
        <v>66</v>
      </c>
      <c r="C18" s="44">
        <f>C14/C16</f>
        <v>3750</v>
      </c>
      <c r="D18" s="23" t="s">
        <v>21</v>
      </c>
      <c r="E18" s="4"/>
      <c r="F18" s="4"/>
      <c r="G18" s="4"/>
      <c r="H18" s="4"/>
      <c r="I18" s="4"/>
      <c r="J18" s="4"/>
      <c r="K18" s="4"/>
      <c r="L18" s="4"/>
    </row>
    <row r="19">
      <c r="A19" s="8"/>
      <c r="B19" s="4" t="s">
        <v>67</v>
      </c>
      <c r="C19" s="27">
        <f>C13*C18</f>
        <v>487.5</v>
      </c>
      <c r="D19" s="18">
        <f>D17*D12</f>
        <v>1367.647059</v>
      </c>
      <c r="E19" s="4"/>
      <c r="F19" s="4"/>
      <c r="G19" s="3"/>
      <c r="H19" s="4"/>
      <c r="I19" s="4"/>
      <c r="J19" s="4"/>
      <c r="K19" s="4"/>
      <c r="L19" s="4"/>
    </row>
    <row r="20">
      <c r="A20" s="8"/>
      <c r="B20" s="28" t="s">
        <v>33</v>
      </c>
      <c r="C20" s="29">
        <f t="shared" ref="C20:D20" si="2">C29</f>
        <v>30032</v>
      </c>
      <c r="D20" s="29">
        <f t="shared" si="2"/>
        <v>49291.94529</v>
      </c>
      <c r="E20" s="30"/>
      <c r="F20" s="4"/>
      <c r="G20" s="3"/>
      <c r="H20" s="4"/>
      <c r="I20" s="4"/>
      <c r="J20" s="4"/>
      <c r="K20" s="4"/>
      <c r="L20" s="4"/>
    </row>
    <row r="21">
      <c r="A21" s="4"/>
      <c r="B21" s="31"/>
      <c r="C21" s="6" t="s">
        <v>2</v>
      </c>
      <c r="D21" s="7" t="s">
        <v>69</v>
      </c>
      <c r="E21" s="6" t="s">
        <v>35</v>
      </c>
      <c r="F21" s="4"/>
      <c r="G21" s="4"/>
      <c r="H21" s="4"/>
      <c r="I21" s="4"/>
      <c r="J21" s="4"/>
      <c r="K21" s="4"/>
      <c r="L21" s="4"/>
    </row>
    <row r="22">
      <c r="A22" s="31"/>
      <c r="B22" s="32"/>
      <c r="C22" s="33"/>
      <c r="D22" s="33"/>
      <c r="E22" s="4"/>
      <c r="F22" s="4"/>
      <c r="G22" s="4"/>
      <c r="H22" s="4"/>
      <c r="I22" s="4"/>
      <c r="J22" s="4"/>
      <c r="K22" s="4"/>
      <c r="L22" s="4"/>
    </row>
    <row r="23">
      <c r="A23" s="31"/>
      <c r="B23" s="32"/>
      <c r="C23" s="33"/>
      <c r="D23" s="33"/>
      <c r="E23" s="4"/>
      <c r="F23" s="4"/>
      <c r="G23" s="4"/>
      <c r="H23" s="4"/>
      <c r="I23" s="4"/>
      <c r="J23" s="4"/>
      <c r="K23" s="4"/>
      <c r="L23" s="4"/>
    </row>
    <row r="24">
      <c r="A24" s="31"/>
      <c r="B24" s="32"/>
      <c r="C24" s="33"/>
      <c r="D24" s="33"/>
      <c r="E24" s="4"/>
      <c r="F24" s="4"/>
      <c r="G24" s="4"/>
      <c r="H24" s="4"/>
      <c r="I24" s="4"/>
      <c r="J24" s="4"/>
      <c r="K24" s="4"/>
      <c r="L24" s="4"/>
    </row>
    <row r="25">
      <c r="A25" s="31"/>
      <c r="B25" s="32">
        <v>1.0</v>
      </c>
      <c r="C25" s="33"/>
      <c r="D25" s="33"/>
      <c r="E25" s="34">
        <f t="shared" ref="E25:E34" si="3">$D25-$C25</f>
        <v>0</v>
      </c>
      <c r="F25" s="4"/>
      <c r="G25" s="4"/>
      <c r="H25" s="4"/>
      <c r="I25" s="4"/>
      <c r="J25" s="4"/>
      <c r="K25" s="4"/>
      <c r="L25" s="4"/>
    </row>
    <row r="26">
      <c r="A26" s="35"/>
      <c r="B26" s="32">
        <v>2.0</v>
      </c>
      <c r="C26" s="33"/>
      <c r="D26" s="33"/>
      <c r="E26" s="34">
        <f t="shared" si="3"/>
        <v>0</v>
      </c>
      <c r="F26" s="4"/>
      <c r="G26" s="3"/>
      <c r="H26" s="4"/>
      <c r="I26" s="4"/>
      <c r="J26" s="4"/>
      <c r="K26" s="4"/>
      <c r="L26" s="4"/>
    </row>
    <row r="27">
      <c r="A27" s="35"/>
      <c r="B27" s="32">
        <v>3.0</v>
      </c>
      <c r="C27" s="33"/>
      <c r="D27" s="33"/>
      <c r="E27" s="34">
        <f t="shared" si="3"/>
        <v>0</v>
      </c>
      <c r="F27" s="4"/>
      <c r="G27" s="4"/>
      <c r="H27" s="4"/>
      <c r="I27" s="4"/>
      <c r="J27" s="4"/>
      <c r="K27" s="4"/>
      <c r="L27" s="4"/>
    </row>
    <row r="28">
      <c r="A28" s="35"/>
      <c r="B28" s="32">
        <v>4.0</v>
      </c>
      <c r="C28" s="33"/>
      <c r="D28" s="33"/>
      <c r="E28" s="34">
        <f t="shared" si="3"/>
        <v>0</v>
      </c>
      <c r="F28" s="4"/>
      <c r="G28" s="4"/>
      <c r="H28" s="4"/>
      <c r="I28" s="4"/>
      <c r="J28" s="4"/>
      <c r="K28" s="4"/>
      <c r="L28" s="4"/>
    </row>
    <row r="29">
      <c r="A29" s="35"/>
      <c r="B29" s="32">
        <v>5.0</v>
      </c>
      <c r="C29" s="33">
        <f>C10+(B29*C19)+C15+C11</f>
        <v>30032</v>
      </c>
      <c r="D29" s="33">
        <f>D10+(D19*B29)+D15+D11</f>
        <v>49291.94529</v>
      </c>
      <c r="E29" s="34">
        <f t="shared" si="3"/>
        <v>19259.94529</v>
      </c>
      <c r="F29" s="4"/>
      <c r="G29" s="3"/>
      <c r="H29" s="4"/>
      <c r="I29" s="4"/>
      <c r="J29" s="4"/>
      <c r="K29" s="4"/>
      <c r="L29" s="4"/>
    </row>
    <row r="30">
      <c r="A30" s="35"/>
      <c r="B30" s="32">
        <v>6.0</v>
      </c>
      <c r="C30" s="33"/>
      <c r="D30" s="33"/>
      <c r="E30" s="34">
        <f t="shared" si="3"/>
        <v>0</v>
      </c>
      <c r="F30" s="4"/>
      <c r="G30" s="4"/>
      <c r="H30" s="4"/>
      <c r="I30" s="4"/>
      <c r="J30" s="4"/>
      <c r="K30" s="4"/>
      <c r="L30" s="4"/>
    </row>
    <row r="31">
      <c r="A31" s="35"/>
      <c r="B31" s="32">
        <v>7.0</v>
      </c>
      <c r="C31" s="33"/>
      <c r="D31" s="33"/>
      <c r="E31" s="34">
        <f t="shared" si="3"/>
        <v>0</v>
      </c>
      <c r="F31" s="4"/>
      <c r="G31" s="4"/>
      <c r="H31" s="4"/>
      <c r="I31" s="4"/>
      <c r="J31" s="4"/>
      <c r="K31" s="4"/>
      <c r="L31" s="4"/>
    </row>
    <row r="32">
      <c r="A32" s="35"/>
      <c r="B32" s="32">
        <v>8.0</v>
      </c>
      <c r="C32" s="33"/>
      <c r="D32" s="33"/>
      <c r="E32" s="34">
        <f t="shared" si="3"/>
        <v>0</v>
      </c>
      <c r="F32" s="4"/>
      <c r="G32" s="4"/>
      <c r="H32" s="4"/>
      <c r="I32" s="4"/>
      <c r="J32" s="4"/>
      <c r="K32" s="4"/>
      <c r="L32" s="4"/>
    </row>
    <row r="33">
      <c r="A33" s="35"/>
      <c r="B33" s="32">
        <v>9.0</v>
      </c>
      <c r="C33" s="33"/>
      <c r="D33" s="33"/>
      <c r="E33" s="34">
        <f t="shared" si="3"/>
        <v>0</v>
      </c>
      <c r="F33" s="4"/>
      <c r="G33" s="4"/>
      <c r="H33" s="4"/>
      <c r="I33" s="4"/>
      <c r="J33" s="4"/>
      <c r="K33" s="4"/>
      <c r="L33" s="4"/>
    </row>
    <row r="34">
      <c r="A34" s="35"/>
      <c r="B34" s="32">
        <v>10.0</v>
      </c>
      <c r="C34" s="33"/>
      <c r="D34" s="33"/>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C34-D34</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2" ref="J3"/>
    <hyperlink r:id="rId3" ref="J9"/>
    <hyperlink r:id="rId4" ref="J10"/>
    <hyperlink r:id="rId5" ref="J12"/>
  </hyperlinks>
  <drawing r:id="rId6"/>
  <legacyDrawing r:id="rId7"/>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71</v>
      </c>
      <c r="E2" s="3"/>
      <c r="F2" s="4"/>
      <c r="G2" s="4"/>
      <c r="H2" s="4"/>
      <c r="I2" s="4" t="s">
        <v>5</v>
      </c>
      <c r="J2" s="4"/>
      <c r="K2" s="4"/>
      <c r="L2" s="4"/>
    </row>
    <row r="3">
      <c r="A3" s="8"/>
      <c r="B3" s="9" t="s">
        <v>7</v>
      </c>
      <c r="C3" s="10">
        <v>38990.0</v>
      </c>
      <c r="D3" s="10">
        <v>44950.0</v>
      </c>
      <c r="E3" s="10">
        <v>44950.0</v>
      </c>
      <c r="F3" s="11">
        <v>20000.0</v>
      </c>
      <c r="G3" s="9" t="s">
        <v>8</v>
      </c>
      <c r="H3" s="4"/>
      <c r="I3" s="4" t="s">
        <v>9</v>
      </c>
      <c r="J3" s="12" t="s">
        <v>10</v>
      </c>
      <c r="K3" s="4"/>
      <c r="L3" s="4"/>
    </row>
    <row r="4">
      <c r="A4" s="13"/>
      <c r="B4" s="11" t="s">
        <v>59</v>
      </c>
      <c r="C4" s="10" t="s">
        <v>21</v>
      </c>
      <c r="D4" s="10">
        <v>1100.0</v>
      </c>
      <c r="E4" s="10">
        <v>1100.0</v>
      </c>
      <c r="F4" s="11"/>
      <c r="H4" s="4"/>
      <c r="I4" s="4"/>
      <c r="J4" s="12"/>
      <c r="K4" s="4"/>
      <c r="L4" s="4"/>
    </row>
    <row r="5">
      <c r="A5" s="13"/>
      <c r="B5" s="11" t="s">
        <v>56</v>
      </c>
      <c r="C5" s="10" t="s">
        <v>21</v>
      </c>
      <c r="D5" s="10">
        <v>1200.0</v>
      </c>
      <c r="E5" s="10">
        <v>1200.0</v>
      </c>
      <c r="F5" s="11"/>
      <c r="H5" s="4"/>
      <c r="I5" s="4"/>
      <c r="J5" s="12"/>
      <c r="K5" s="4"/>
      <c r="L5" s="4"/>
    </row>
    <row r="6">
      <c r="A6" s="13"/>
      <c r="B6" s="11" t="s">
        <v>39</v>
      </c>
      <c r="C6" s="10">
        <f>C3*0.07</f>
        <v>2729.3</v>
      </c>
      <c r="D6" s="17">
        <f t="shared" ref="D6:E6" si="1">(D5+D4+D3)*0.07</f>
        <v>3307.5</v>
      </c>
      <c r="E6" s="17">
        <f t="shared" si="1"/>
        <v>3307.5</v>
      </c>
      <c r="F6" s="11"/>
      <c r="H6" s="4"/>
      <c r="I6" s="4"/>
      <c r="J6" s="12"/>
      <c r="K6" s="4"/>
      <c r="L6" s="4"/>
    </row>
    <row r="7">
      <c r="A7" s="13"/>
      <c r="B7" s="11" t="s">
        <v>40</v>
      </c>
      <c r="C7" s="10">
        <v>1200.0</v>
      </c>
      <c r="D7" s="10">
        <v>1200.0</v>
      </c>
      <c r="E7" s="10">
        <v>1200.0</v>
      </c>
      <c r="F7" s="11"/>
      <c r="H7" s="4"/>
      <c r="I7" s="4"/>
      <c r="J7" s="12"/>
      <c r="K7" s="4"/>
      <c r="L7" s="4"/>
    </row>
    <row r="8">
      <c r="A8" s="13"/>
      <c r="B8" s="11" t="s">
        <v>58</v>
      </c>
      <c r="C8" s="10">
        <f>C3*0.487</f>
        <v>18988.13</v>
      </c>
      <c r="D8" s="17">
        <f>SUM(D3:D5)-28500</f>
        <v>18750</v>
      </c>
      <c r="E8" s="38">
        <f>SUM(E3:E7)</f>
        <v>51757.5</v>
      </c>
      <c r="F8" s="11"/>
      <c r="H8" s="4"/>
      <c r="I8" s="4"/>
      <c r="J8" s="12"/>
      <c r="K8" s="4"/>
      <c r="L8" s="4"/>
    </row>
    <row r="9">
      <c r="A9" s="13"/>
      <c r="B9" s="16" t="s">
        <v>13</v>
      </c>
      <c r="C9" s="10">
        <v>-1875.0</v>
      </c>
      <c r="D9" s="17">
        <v>0.0</v>
      </c>
      <c r="E9" s="15"/>
      <c r="F9" s="11">
        <v>1.3</v>
      </c>
      <c r="H9" s="4"/>
      <c r="I9" s="4" t="s">
        <v>14</v>
      </c>
      <c r="J9" s="12" t="s">
        <v>15</v>
      </c>
      <c r="K9" s="4"/>
      <c r="L9" s="4"/>
    </row>
    <row r="10">
      <c r="A10" s="13"/>
      <c r="B10" s="3" t="s">
        <v>60</v>
      </c>
      <c r="C10" s="22">
        <f>C3+C9-C8+C6+C7</f>
        <v>22056.17</v>
      </c>
      <c r="D10" s="22">
        <f>D3+D4+D5-D9-D8+D6</f>
        <v>31807.5</v>
      </c>
      <c r="E10" s="19"/>
      <c r="F10" s="11">
        <v>0.0</v>
      </c>
      <c r="H10" s="4"/>
      <c r="I10" s="4" t="s">
        <v>17</v>
      </c>
      <c r="J10" s="12" t="s">
        <v>18</v>
      </c>
      <c r="K10" s="4"/>
      <c r="L10" s="4"/>
    </row>
    <row r="11">
      <c r="A11" s="8"/>
      <c r="B11" s="39" t="s">
        <v>41</v>
      </c>
      <c r="C11" s="40">
        <v>4238.33</v>
      </c>
      <c r="D11" s="40">
        <v>5785.16</v>
      </c>
      <c r="E11" s="3"/>
      <c r="F11" s="4"/>
      <c r="G11" s="4"/>
      <c r="H11" s="4"/>
      <c r="I11" s="4"/>
      <c r="J11" s="12"/>
      <c r="K11" s="12"/>
      <c r="L11" s="12"/>
    </row>
    <row r="12">
      <c r="A12" s="8"/>
      <c r="B12" s="9" t="s">
        <v>20</v>
      </c>
      <c r="C12" s="14" t="s">
        <v>21</v>
      </c>
      <c r="D12" s="14">
        <v>3.1</v>
      </c>
      <c r="E12" s="48">
        <f>D12/1.4</f>
        <v>2.214285714</v>
      </c>
      <c r="F12" s="4"/>
      <c r="G12" s="4"/>
      <c r="H12" s="4"/>
      <c r="I12" s="4" t="s">
        <v>22</v>
      </c>
      <c r="J12" s="12" t="s">
        <v>23</v>
      </c>
    </row>
    <row r="13">
      <c r="A13" s="8"/>
      <c r="B13" s="11" t="s">
        <v>63</v>
      </c>
      <c r="C13" s="14">
        <v>0.13</v>
      </c>
      <c r="D13" s="14" t="s">
        <v>21</v>
      </c>
      <c r="E13" s="20"/>
      <c r="F13" s="4"/>
      <c r="G13" s="4"/>
      <c r="H13" s="4"/>
    </row>
    <row r="14">
      <c r="A14" s="8"/>
      <c r="B14" s="11" t="s">
        <v>25</v>
      </c>
      <c r="C14" s="21">
        <v>15000.0</v>
      </c>
      <c r="D14" s="21">
        <v>15000.0</v>
      </c>
      <c r="E14" s="3"/>
      <c r="F14" s="4"/>
      <c r="G14" s="4"/>
      <c r="H14" s="4"/>
    </row>
    <row r="15">
      <c r="A15" s="8"/>
      <c r="B15" s="39" t="s">
        <v>42</v>
      </c>
      <c r="C15" s="41">
        <v>1300.0</v>
      </c>
      <c r="D15" s="40">
        <v>6597.0</v>
      </c>
      <c r="E15" s="3"/>
      <c r="F15" s="4"/>
      <c r="G15" s="4"/>
      <c r="H15" s="4"/>
      <c r="I15" s="4"/>
      <c r="J15" s="12"/>
    </row>
    <row r="16">
      <c r="A16" s="8"/>
      <c r="B16" s="11" t="s">
        <v>64</v>
      </c>
      <c r="C16" s="23">
        <v>4.0</v>
      </c>
      <c r="D16" s="23">
        <v>30.0</v>
      </c>
      <c r="E16" s="3"/>
      <c r="F16" s="4"/>
      <c r="G16" s="4"/>
      <c r="H16" s="4"/>
      <c r="I16" s="4"/>
      <c r="J16" s="4"/>
      <c r="K16" s="4"/>
      <c r="L16" s="4"/>
    </row>
    <row r="17">
      <c r="A17" s="8"/>
      <c r="B17" s="9" t="s">
        <v>65</v>
      </c>
      <c r="C17" s="23" t="s">
        <v>21</v>
      </c>
      <c r="D17" s="44">
        <f>D14/D16</f>
        <v>500</v>
      </c>
      <c r="E17" s="4"/>
      <c r="F17" s="4"/>
      <c r="G17" s="4"/>
      <c r="H17" s="4"/>
      <c r="I17" s="4"/>
      <c r="J17" s="4"/>
      <c r="K17" s="4"/>
      <c r="L17" s="4"/>
    </row>
    <row r="18">
      <c r="A18" s="8"/>
      <c r="B18" s="11" t="s">
        <v>66</v>
      </c>
      <c r="C18" s="44">
        <f>C14/C16</f>
        <v>3750</v>
      </c>
      <c r="D18" s="23" t="s">
        <v>21</v>
      </c>
      <c r="E18" s="4"/>
      <c r="F18" s="4"/>
      <c r="G18" s="4"/>
      <c r="H18" s="4"/>
      <c r="I18" s="4"/>
      <c r="J18" s="4"/>
      <c r="K18" s="4"/>
      <c r="L18" s="4"/>
    </row>
    <row r="19">
      <c r="A19" s="8"/>
      <c r="B19" s="4" t="s">
        <v>67</v>
      </c>
      <c r="C19" s="27">
        <f>C13*C18</f>
        <v>487.5</v>
      </c>
      <c r="D19" s="18">
        <f>D17*D12</f>
        <v>1550</v>
      </c>
      <c r="E19" s="4"/>
      <c r="F19" s="4"/>
      <c r="G19" s="3"/>
      <c r="H19" s="4"/>
      <c r="I19" s="4"/>
      <c r="J19" s="4"/>
      <c r="K19" s="4"/>
      <c r="L19" s="4"/>
    </row>
    <row r="20">
      <c r="A20" s="8"/>
      <c r="B20" s="28" t="s">
        <v>33</v>
      </c>
      <c r="C20" s="29">
        <f t="shared" ref="C20:D20" si="2">C29</f>
        <v>30032</v>
      </c>
      <c r="D20" s="29">
        <f t="shared" si="2"/>
        <v>51939.66</v>
      </c>
      <c r="E20" s="30"/>
      <c r="F20" s="4"/>
      <c r="G20" s="3"/>
      <c r="H20" s="4"/>
      <c r="I20" s="4"/>
      <c r="J20" s="4"/>
      <c r="K20" s="4"/>
      <c r="L20" s="4"/>
    </row>
    <row r="21">
      <c r="A21" s="4"/>
      <c r="B21" s="31" t="s">
        <v>34</v>
      </c>
      <c r="C21" s="6" t="s">
        <v>2</v>
      </c>
      <c r="D21" s="7" t="s">
        <v>73</v>
      </c>
      <c r="E21" s="6" t="s">
        <v>35</v>
      </c>
      <c r="F21" s="4"/>
      <c r="G21" s="4"/>
      <c r="H21" s="4"/>
      <c r="I21" s="4"/>
      <c r="J21" s="4"/>
      <c r="K21" s="4"/>
      <c r="L21" s="4"/>
    </row>
    <row r="22">
      <c r="A22" s="31"/>
      <c r="B22" s="32"/>
      <c r="C22" s="33"/>
      <c r="D22" s="33"/>
      <c r="E22" s="4"/>
      <c r="F22" s="4"/>
      <c r="G22" s="4"/>
      <c r="H22" s="4"/>
      <c r="I22" s="4"/>
      <c r="J22" s="4"/>
      <c r="K22" s="4"/>
      <c r="L22" s="4"/>
    </row>
    <row r="23">
      <c r="A23" s="31"/>
      <c r="B23" s="32"/>
      <c r="C23" s="33"/>
      <c r="D23" s="33"/>
      <c r="E23" s="4"/>
      <c r="F23" s="4"/>
      <c r="G23" s="4"/>
      <c r="H23" s="4"/>
      <c r="I23" s="4"/>
      <c r="J23" s="4"/>
      <c r="K23" s="4"/>
      <c r="L23" s="4"/>
    </row>
    <row r="24">
      <c r="A24" s="31"/>
      <c r="B24" s="32"/>
      <c r="C24" s="33"/>
      <c r="D24" s="33"/>
      <c r="E24" s="4"/>
      <c r="F24" s="4"/>
      <c r="G24" s="4"/>
      <c r="H24" s="4"/>
      <c r="I24" s="4"/>
      <c r="J24" s="4"/>
      <c r="K24" s="4"/>
      <c r="L24" s="4"/>
    </row>
    <row r="25">
      <c r="A25" s="31"/>
      <c r="B25" s="32">
        <v>1.0</v>
      </c>
      <c r="C25" s="33"/>
      <c r="D25" s="33"/>
      <c r="E25" s="34">
        <f t="shared" ref="E25:E34" si="3">$D25-$C25</f>
        <v>0</v>
      </c>
      <c r="F25" s="4"/>
      <c r="G25" s="4"/>
      <c r="H25" s="4"/>
      <c r="I25" s="4"/>
      <c r="J25" s="4"/>
      <c r="K25" s="4"/>
      <c r="L25" s="4"/>
    </row>
    <row r="26">
      <c r="A26" s="35"/>
      <c r="B26" s="32">
        <v>2.0</v>
      </c>
      <c r="C26" s="33"/>
      <c r="D26" s="33"/>
      <c r="E26" s="34">
        <f t="shared" si="3"/>
        <v>0</v>
      </c>
      <c r="F26" s="4"/>
      <c r="G26" s="3"/>
      <c r="H26" s="4"/>
      <c r="I26" s="4"/>
      <c r="J26" s="4"/>
      <c r="K26" s="4"/>
      <c r="L26" s="4"/>
    </row>
    <row r="27">
      <c r="A27" s="35"/>
      <c r="B27" s="32">
        <v>3.0</v>
      </c>
      <c r="C27" s="33"/>
      <c r="D27" s="33"/>
      <c r="E27" s="34">
        <f t="shared" si="3"/>
        <v>0</v>
      </c>
      <c r="F27" s="4"/>
      <c r="G27" s="4"/>
      <c r="H27" s="4"/>
      <c r="I27" s="4"/>
      <c r="J27" s="4"/>
      <c r="K27" s="4"/>
      <c r="L27" s="4"/>
    </row>
    <row r="28">
      <c r="A28" s="35"/>
      <c r="B28" s="32">
        <v>4.0</v>
      </c>
      <c r="C28" s="33"/>
      <c r="D28" s="33"/>
      <c r="E28" s="34">
        <f t="shared" si="3"/>
        <v>0</v>
      </c>
      <c r="F28" s="4"/>
      <c r="G28" s="4"/>
      <c r="H28" s="4"/>
      <c r="I28" s="4"/>
      <c r="J28" s="4"/>
      <c r="K28" s="4"/>
      <c r="L28" s="4"/>
    </row>
    <row r="29">
      <c r="A29" s="35"/>
      <c r="B29" s="32">
        <v>5.0</v>
      </c>
      <c r="C29" s="33">
        <f>C10+(B29*C19)+C15+C11</f>
        <v>30032</v>
      </c>
      <c r="D29" s="33">
        <f>D10+(D19*B29)+D15+D11</f>
        <v>51939.66</v>
      </c>
      <c r="E29" s="34">
        <f t="shared" si="3"/>
        <v>21907.66</v>
      </c>
      <c r="F29" s="4"/>
      <c r="G29" s="3"/>
      <c r="H29" s="4"/>
      <c r="I29" s="4"/>
      <c r="J29" s="4"/>
      <c r="K29" s="4"/>
      <c r="L29" s="4"/>
    </row>
    <row r="30">
      <c r="A30" s="35"/>
      <c r="B30" s="32">
        <v>6.0</v>
      </c>
      <c r="C30" s="33"/>
      <c r="D30" s="33"/>
      <c r="E30" s="34">
        <f t="shared" si="3"/>
        <v>0</v>
      </c>
      <c r="F30" s="4"/>
      <c r="G30" s="4"/>
      <c r="H30" s="4"/>
      <c r="I30" s="4"/>
      <c r="J30" s="4"/>
      <c r="K30" s="4"/>
      <c r="L30" s="4"/>
    </row>
    <row r="31">
      <c r="A31" s="35"/>
      <c r="B31" s="32">
        <v>7.0</v>
      </c>
      <c r="C31" s="33"/>
      <c r="D31" s="33"/>
      <c r="E31" s="34">
        <f t="shared" si="3"/>
        <v>0</v>
      </c>
      <c r="F31" s="4"/>
      <c r="G31" s="4"/>
      <c r="H31" s="4"/>
      <c r="I31" s="4"/>
      <c r="J31" s="4"/>
      <c r="K31" s="4"/>
      <c r="L31" s="4"/>
    </row>
    <row r="32">
      <c r="A32" s="35"/>
      <c r="B32" s="32">
        <v>8.0</v>
      </c>
      <c r="C32" s="33"/>
      <c r="D32" s="33"/>
      <c r="E32" s="34">
        <f t="shared" si="3"/>
        <v>0</v>
      </c>
      <c r="F32" s="4"/>
      <c r="G32" s="4"/>
      <c r="H32" s="4"/>
      <c r="I32" s="4"/>
      <c r="J32" s="4"/>
      <c r="K32" s="4"/>
      <c r="L32" s="4"/>
    </row>
    <row r="33">
      <c r="A33" s="35"/>
      <c r="B33" s="32">
        <v>9.0</v>
      </c>
      <c r="C33" s="33"/>
      <c r="D33" s="33"/>
      <c r="E33" s="34">
        <f t="shared" si="3"/>
        <v>0</v>
      </c>
      <c r="F33" s="4"/>
      <c r="G33" s="4"/>
      <c r="H33" s="4"/>
      <c r="I33" s="4"/>
      <c r="J33" s="4"/>
      <c r="K33" s="4"/>
      <c r="L33" s="4"/>
    </row>
    <row r="34">
      <c r="A34" s="35"/>
      <c r="B34" s="32">
        <v>10.0</v>
      </c>
      <c r="C34" s="33"/>
      <c r="D34" s="33"/>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C34-D34</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1" ref="J3"/>
    <hyperlink r:id="rId2" ref="J9"/>
    <hyperlink r:id="rId3" ref="J10"/>
    <hyperlink r:id="rId4" ref="J12"/>
  </hyperlinks>
  <drawing r:id="rId5"/>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70</v>
      </c>
      <c r="E2" s="3"/>
      <c r="F2" s="4"/>
      <c r="G2" s="4"/>
      <c r="H2" s="4"/>
      <c r="I2" s="4" t="s">
        <v>5</v>
      </c>
      <c r="J2" s="4"/>
      <c r="K2" s="4"/>
      <c r="L2" s="4"/>
    </row>
    <row r="3">
      <c r="A3" s="8"/>
      <c r="B3" s="9" t="s">
        <v>7</v>
      </c>
      <c r="C3" s="10">
        <v>38990.0</v>
      </c>
      <c r="D3" s="10">
        <v>38645.0</v>
      </c>
      <c r="E3" s="10">
        <v>38645.0</v>
      </c>
      <c r="F3" s="11">
        <v>20000.0</v>
      </c>
      <c r="G3" s="9" t="s">
        <v>8</v>
      </c>
      <c r="H3" s="4"/>
      <c r="I3" s="4" t="s">
        <v>9</v>
      </c>
      <c r="J3" s="12" t="s">
        <v>10</v>
      </c>
      <c r="K3" s="4"/>
      <c r="L3" s="4"/>
    </row>
    <row r="4">
      <c r="A4" s="13"/>
      <c r="B4" s="11" t="s">
        <v>39</v>
      </c>
      <c r="C4" s="10">
        <f>C3*0.07</f>
        <v>2729.3</v>
      </c>
      <c r="D4" s="17">
        <f t="shared" ref="D4:E4" si="1">(D3)*0.07</f>
        <v>2705.15</v>
      </c>
      <c r="E4" s="17">
        <f t="shared" si="1"/>
        <v>2705.15</v>
      </c>
      <c r="F4" s="11"/>
      <c r="H4" s="4"/>
      <c r="I4" s="4"/>
      <c r="J4" s="12"/>
      <c r="K4" s="4"/>
      <c r="L4" s="4"/>
    </row>
    <row r="5">
      <c r="A5" s="13"/>
      <c r="B5" s="11" t="s">
        <v>40</v>
      </c>
      <c r="C5" s="10">
        <v>1200.0</v>
      </c>
      <c r="D5" s="10">
        <v>1200.0</v>
      </c>
      <c r="E5" s="10">
        <v>1200.0</v>
      </c>
      <c r="F5" s="11"/>
      <c r="H5" s="4"/>
      <c r="I5" s="4"/>
      <c r="J5" s="12"/>
      <c r="K5" s="4"/>
      <c r="L5" s="4"/>
    </row>
    <row r="6">
      <c r="A6" s="13"/>
      <c r="B6" s="11" t="s">
        <v>58</v>
      </c>
      <c r="C6" s="10">
        <f>C3*0.487</f>
        <v>18988.13</v>
      </c>
      <c r="D6" s="17">
        <f>D3-22755</f>
        <v>15890</v>
      </c>
      <c r="E6" s="17"/>
      <c r="F6" s="11"/>
      <c r="H6" s="4"/>
      <c r="I6" s="4"/>
      <c r="J6" s="12"/>
      <c r="K6" s="4"/>
      <c r="L6" s="4"/>
    </row>
    <row r="7">
      <c r="A7" s="13"/>
      <c r="B7" s="16" t="s">
        <v>13</v>
      </c>
      <c r="C7" s="10">
        <v>-1875.0</v>
      </c>
      <c r="D7" s="17">
        <v>0.0</v>
      </c>
      <c r="E7" s="38">
        <f>SUM(E3:E6)-5000</f>
        <v>37550.15</v>
      </c>
      <c r="F7" s="11"/>
      <c r="H7" s="4"/>
      <c r="I7" s="4"/>
      <c r="J7" s="12"/>
      <c r="K7" s="4"/>
      <c r="L7" s="4"/>
    </row>
    <row r="8">
      <c r="A8" s="13"/>
      <c r="B8" s="3" t="s">
        <v>60</v>
      </c>
      <c r="C8" s="22">
        <f>C3+C7-C6+C4+C5</f>
        <v>22056.17</v>
      </c>
      <c r="D8" s="22">
        <f>D3+D5-D7-D6+D4</f>
        <v>26660.15</v>
      </c>
      <c r="E8" s="15"/>
      <c r="F8" s="11"/>
      <c r="H8" s="4"/>
      <c r="I8" s="4"/>
      <c r="J8" s="12"/>
      <c r="K8" s="4"/>
      <c r="L8" s="4"/>
    </row>
    <row r="9">
      <c r="A9" s="13"/>
      <c r="B9" s="39" t="s">
        <v>61</v>
      </c>
      <c r="C9" s="40">
        <v>4238.33</v>
      </c>
      <c r="D9" s="40">
        <v>4197.09</v>
      </c>
      <c r="E9" s="15"/>
      <c r="F9" s="11">
        <v>1.3</v>
      </c>
      <c r="H9" s="4"/>
      <c r="I9" s="4" t="s">
        <v>14</v>
      </c>
      <c r="J9" s="12" t="s">
        <v>15</v>
      </c>
      <c r="K9" s="4"/>
      <c r="L9" s="4"/>
    </row>
    <row r="10">
      <c r="A10" s="13"/>
      <c r="B10" s="9" t="s">
        <v>20</v>
      </c>
      <c r="C10" s="14" t="s">
        <v>21</v>
      </c>
      <c r="D10" s="14">
        <v>3.1</v>
      </c>
      <c r="E10" s="19"/>
      <c r="F10" s="11">
        <v>0.0</v>
      </c>
      <c r="H10" s="4"/>
      <c r="I10" s="4" t="s">
        <v>17</v>
      </c>
      <c r="J10" s="12" t="s">
        <v>18</v>
      </c>
      <c r="K10" s="4"/>
      <c r="L10" s="4"/>
    </row>
    <row r="11">
      <c r="A11" s="8"/>
      <c r="B11" s="11" t="s">
        <v>63</v>
      </c>
      <c r="C11" s="14">
        <v>0.13</v>
      </c>
      <c r="D11" s="14" t="s">
        <v>21</v>
      </c>
      <c r="E11" s="3"/>
      <c r="F11" s="4"/>
      <c r="G11" s="4"/>
      <c r="H11" s="4"/>
      <c r="I11" s="4"/>
      <c r="J11" s="12"/>
      <c r="K11" s="12"/>
      <c r="L11" s="12"/>
    </row>
    <row r="12">
      <c r="A12" s="8"/>
      <c r="B12" s="11" t="s">
        <v>25</v>
      </c>
      <c r="C12" s="21">
        <v>15000.0</v>
      </c>
      <c r="D12" s="21">
        <v>15000.0</v>
      </c>
      <c r="E12" s="48">
        <f>D10/1.4</f>
        <v>2.214285714</v>
      </c>
      <c r="F12" s="4"/>
      <c r="G12" s="4"/>
      <c r="H12" s="4"/>
      <c r="I12" s="4" t="s">
        <v>22</v>
      </c>
      <c r="J12" s="12" t="s">
        <v>23</v>
      </c>
    </row>
    <row r="13">
      <c r="A13" s="8"/>
      <c r="B13" s="39" t="s">
        <v>42</v>
      </c>
      <c r="C13" s="41">
        <v>1300.0</v>
      </c>
      <c r="D13" s="40">
        <v>6653.0</v>
      </c>
      <c r="E13" s="20"/>
      <c r="F13" s="4"/>
      <c r="G13" s="4"/>
      <c r="H13" s="4"/>
    </row>
    <row r="14">
      <c r="A14" s="8"/>
      <c r="B14" s="11" t="s">
        <v>64</v>
      </c>
      <c r="C14" s="23">
        <v>4.0</v>
      </c>
      <c r="D14" s="23">
        <v>30.0</v>
      </c>
      <c r="E14" s="3"/>
      <c r="F14" s="4"/>
      <c r="G14" s="4"/>
      <c r="H14" s="4"/>
    </row>
    <row r="15">
      <c r="A15" s="8"/>
      <c r="B15" s="9" t="s">
        <v>65</v>
      </c>
      <c r="C15" s="23" t="s">
        <v>21</v>
      </c>
      <c r="D15" s="44">
        <f>D12/D14</f>
        <v>500</v>
      </c>
      <c r="E15" s="3"/>
      <c r="F15" s="4"/>
      <c r="G15" s="4"/>
      <c r="H15" s="4"/>
      <c r="I15" s="4"/>
      <c r="J15" s="12"/>
    </row>
    <row r="16">
      <c r="A16" s="8"/>
      <c r="B16" s="11" t="s">
        <v>66</v>
      </c>
      <c r="C16" s="44">
        <f>C12/C14</f>
        <v>3750</v>
      </c>
      <c r="D16" s="23" t="s">
        <v>21</v>
      </c>
      <c r="E16" s="3"/>
      <c r="F16" s="4"/>
      <c r="G16" s="4"/>
      <c r="H16" s="4"/>
      <c r="I16" s="4"/>
      <c r="J16" s="4"/>
      <c r="K16" s="4"/>
      <c r="L16" s="4"/>
    </row>
    <row r="17">
      <c r="A17" s="8"/>
      <c r="B17" s="4" t="s">
        <v>67</v>
      </c>
      <c r="C17" s="27">
        <f>C11*C16</f>
        <v>487.5</v>
      </c>
      <c r="D17" s="18">
        <f>D15*D10</f>
        <v>1550</v>
      </c>
      <c r="E17" s="4"/>
      <c r="F17" s="4"/>
      <c r="G17" s="4"/>
      <c r="H17" s="4"/>
      <c r="I17" s="4"/>
      <c r="J17" s="4"/>
      <c r="K17" s="4"/>
      <c r="L17" s="4"/>
    </row>
    <row r="18">
      <c r="A18" s="8"/>
      <c r="B18" s="28" t="s">
        <v>33</v>
      </c>
      <c r="C18" s="29">
        <f t="shared" ref="C18:D18" si="2">C27</f>
        <v>30032</v>
      </c>
      <c r="D18" s="29">
        <f t="shared" si="2"/>
        <v>45260.24</v>
      </c>
      <c r="E18" s="4"/>
      <c r="F18" s="4"/>
      <c r="G18" s="4"/>
      <c r="H18" s="4"/>
      <c r="I18" s="4"/>
      <c r="J18" s="4"/>
      <c r="K18" s="4"/>
      <c r="L18" s="4"/>
    </row>
    <row r="19">
      <c r="A19" s="8"/>
      <c r="B19" s="31" t="s">
        <v>34</v>
      </c>
      <c r="C19" s="6" t="s">
        <v>2</v>
      </c>
      <c r="D19" s="7" t="s">
        <v>70</v>
      </c>
      <c r="E19" s="4"/>
      <c r="F19" s="4"/>
      <c r="G19" s="3"/>
      <c r="H19" s="4"/>
      <c r="I19" s="4"/>
      <c r="J19" s="4"/>
      <c r="K19" s="4"/>
      <c r="L19" s="4"/>
    </row>
    <row r="20">
      <c r="A20" s="8"/>
      <c r="B20" s="32"/>
      <c r="C20" s="33"/>
      <c r="D20" s="33"/>
      <c r="E20" s="30"/>
      <c r="F20" s="4"/>
      <c r="G20" s="3"/>
      <c r="H20" s="4"/>
      <c r="I20" s="4"/>
      <c r="J20" s="4"/>
      <c r="K20" s="4"/>
      <c r="L20" s="4"/>
    </row>
    <row r="21">
      <c r="A21" s="4"/>
      <c r="B21" s="32"/>
      <c r="C21" s="33"/>
      <c r="D21" s="33"/>
      <c r="E21" s="6" t="s">
        <v>35</v>
      </c>
      <c r="F21" s="4"/>
      <c r="G21" s="4"/>
      <c r="H21" s="4"/>
      <c r="I21" s="4"/>
      <c r="J21" s="4"/>
      <c r="K21" s="4"/>
      <c r="L21" s="4"/>
    </row>
    <row r="22">
      <c r="A22" s="31"/>
      <c r="B22" s="32"/>
      <c r="C22" s="33"/>
      <c r="D22" s="33"/>
      <c r="E22" s="4"/>
      <c r="F22" s="4"/>
      <c r="G22" s="4"/>
      <c r="H22" s="4"/>
      <c r="I22" s="4"/>
      <c r="J22" s="4"/>
      <c r="K22" s="4"/>
      <c r="L22" s="4"/>
    </row>
    <row r="23">
      <c r="A23" s="31"/>
      <c r="B23" s="32">
        <v>1.0</v>
      </c>
      <c r="C23" s="33"/>
      <c r="D23" s="33"/>
      <c r="E23" s="4"/>
      <c r="F23" s="4"/>
      <c r="G23" s="4"/>
      <c r="H23" s="4"/>
      <c r="I23" s="4"/>
      <c r="J23" s="4"/>
      <c r="K23" s="4"/>
      <c r="L23" s="4"/>
    </row>
    <row r="24">
      <c r="A24" s="31"/>
      <c r="B24" s="32">
        <v>2.0</v>
      </c>
      <c r="C24" s="33"/>
      <c r="D24" s="33"/>
      <c r="E24" s="4"/>
      <c r="F24" s="4"/>
      <c r="G24" s="4"/>
      <c r="H24" s="4"/>
      <c r="I24" s="4"/>
      <c r="J24" s="4"/>
      <c r="K24" s="4"/>
      <c r="L24" s="4"/>
    </row>
    <row r="25">
      <c r="A25" s="31"/>
      <c r="B25" s="32">
        <v>3.0</v>
      </c>
      <c r="C25" s="33"/>
      <c r="D25" s="33"/>
      <c r="E25" s="34">
        <f t="shared" ref="E25:E34" si="3">$D23-$C23</f>
        <v>0</v>
      </c>
      <c r="F25" s="4"/>
      <c r="G25" s="4"/>
      <c r="H25" s="4"/>
      <c r="I25" s="4"/>
      <c r="J25" s="4"/>
      <c r="K25" s="4"/>
      <c r="L25" s="4"/>
    </row>
    <row r="26">
      <c r="A26" s="35"/>
      <c r="B26" s="32">
        <v>4.0</v>
      </c>
      <c r="C26" s="33"/>
      <c r="D26" s="33"/>
      <c r="E26" s="34">
        <f t="shared" si="3"/>
        <v>0</v>
      </c>
      <c r="F26" s="4"/>
      <c r="G26" s="3"/>
      <c r="H26" s="4"/>
      <c r="I26" s="4"/>
      <c r="J26" s="4"/>
      <c r="K26" s="4"/>
      <c r="L26" s="4"/>
    </row>
    <row r="27">
      <c r="A27" s="35"/>
      <c r="B27" s="32">
        <v>5.0</v>
      </c>
      <c r="C27" s="33">
        <f>C8+(B27*C17)+C13+C9</f>
        <v>30032</v>
      </c>
      <c r="D27" s="33">
        <f>D8+(D17*B27)+D13+D9</f>
        <v>45260.24</v>
      </c>
      <c r="E27" s="34">
        <f t="shared" si="3"/>
        <v>0</v>
      </c>
      <c r="F27" s="4"/>
      <c r="G27" s="4"/>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15228.24</v>
      </c>
      <c r="F29" s="4"/>
      <c r="G29" s="3"/>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E33" s="34">
        <f t="shared" si="3"/>
        <v>0</v>
      </c>
      <c r="F33" s="4"/>
      <c r="G33" s="4"/>
      <c r="H33" s="4"/>
      <c r="I33" s="4"/>
      <c r="J33" s="4"/>
      <c r="K33" s="4"/>
      <c r="L33" s="4"/>
    </row>
    <row r="34">
      <c r="A34" s="35"/>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C32-D32</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2" ref="J3"/>
    <hyperlink r:id="rId3" ref="J9"/>
    <hyperlink r:id="rId4" ref="J10"/>
    <hyperlink r:id="rId5" ref="J12"/>
  </hyperlinks>
  <drawing r:id="rId6"/>
  <legacyDrawing r:id="rId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72</v>
      </c>
      <c r="E2" s="3"/>
      <c r="F2" s="4"/>
      <c r="G2" s="4"/>
      <c r="H2" s="4"/>
      <c r="I2" s="4" t="s">
        <v>5</v>
      </c>
      <c r="J2" s="4"/>
      <c r="K2" s="4"/>
      <c r="L2" s="4"/>
    </row>
    <row r="3">
      <c r="A3" s="8"/>
      <c r="B3" s="9" t="s">
        <v>7</v>
      </c>
      <c r="C3" s="10">
        <v>38990.0</v>
      </c>
      <c r="D3" s="10">
        <v>45150.0</v>
      </c>
      <c r="E3" s="10">
        <v>45150.0</v>
      </c>
      <c r="F3" s="11">
        <v>20000.0</v>
      </c>
      <c r="G3" s="9" t="s">
        <v>8</v>
      </c>
      <c r="H3" s="4"/>
      <c r="I3" s="4" t="s">
        <v>9</v>
      </c>
      <c r="J3" s="12" t="s">
        <v>10</v>
      </c>
      <c r="K3" s="4"/>
      <c r="L3" s="4"/>
    </row>
    <row r="4">
      <c r="A4" s="13"/>
      <c r="B4" s="11" t="s">
        <v>39</v>
      </c>
      <c r="C4" s="10">
        <f>C3*0.07</f>
        <v>2729.3</v>
      </c>
      <c r="D4" s="17">
        <f t="shared" ref="D4:E4" si="1">(D3)*0.07</f>
        <v>3160.5</v>
      </c>
      <c r="E4" s="17">
        <f t="shared" si="1"/>
        <v>3160.5</v>
      </c>
      <c r="F4" s="11"/>
      <c r="H4" s="4"/>
      <c r="I4" s="4"/>
      <c r="J4" s="12"/>
      <c r="K4" s="4"/>
      <c r="L4" s="4"/>
    </row>
    <row r="5">
      <c r="A5" s="13"/>
      <c r="B5" s="11" t="s">
        <v>40</v>
      </c>
      <c r="C5" s="10">
        <v>1200.0</v>
      </c>
      <c r="D5" s="10">
        <v>1200.0</v>
      </c>
      <c r="E5" s="10">
        <v>1200.0</v>
      </c>
      <c r="F5" s="11"/>
      <c r="H5" s="4"/>
      <c r="I5" s="4"/>
      <c r="J5" s="12"/>
      <c r="K5" s="4"/>
      <c r="L5" s="4"/>
    </row>
    <row r="6">
      <c r="A6" s="13"/>
      <c r="B6" s="11" t="s">
        <v>58</v>
      </c>
      <c r="C6" s="10">
        <f>C3*0.487</f>
        <v>18988.13</v>
      </c>
      <c r="D6" s="17">
        <f>D3-25058</f>
        <v>20092</v>
      </c>
      <c r="E6" s="17"/>
      <c r="F6" s="11"/>
      <c r="H6" s="4"/>
      <c r="I6" s="4"/>
      <c r="J6" s="12"/>
      <c r="K6" s="4"/>
      <c r="L6" s="4"/>
    </row>
    <row r="7">
      <c r="A7" s="13"/>
      <c r="B7" s="16" t="s">
        <v>13</v>
      </c>
      <c r="C7" s="10">
        <v>-1875.0</v>
      </c>
      <c r="D7" s="17">
        <v>0.0</v>
      </c>
      <c r="E7" s="38">
        <f>SUM(E3:E6)-5000</f>
        <v>44510.5</v>
      </c>
      <c r="F7" s="11"/>
      <c r="H7" s="4"/>
      <c r="I7" s="4"/>
      <c r="J7" s="12"/>
      <c r="K7" s="4"/>
      <c r="L7" s="4"/>
    </row>
    <row r="8">
      <c r="A8" s="13"/>
      <c r="B8" s="3" t="s">
        <v>60</v>
      </c>
      <c r="C8" s="22">
        <f>C3+C7-C6+C4+C5</f>
        <v>22056.17</v>
      </c>
      <c r="D8" s="22">
        <f>D3+D5-D7-D6+D4</f>
        <v>29418.5</v>
      </c>
      <c r="E8" s="15"/>
      <c r="F8" s="11"/>
      <c r="H8" s="4"/>
      <c r="I8" s="4"/>
      <c r="J8" s="12"/>
      <c r="K8" s="4"/>
      <c r="L8" s="4"/>
    </row>
    <row r="9">
      <c r="A9" s="13"/>
      <c r="B9" s="39" t="s">
        <v>61</v>
      </c>
      <c r="C9" s="40">
        <v>4238.33</v>
      </c>
      <c r="D9" s="40">
        <v>4975.14</v>
      </c>
      <c r="E9" s="15"/>
      <c r="F9" s="11">
        <v>1.3</v>
      </c>
      <c r="H9" s="4"/>
      <c r="I9" s="4" t="s">
        <v>14</v>
      </c>
      <c r="J9" s="12" t="s">
        <v>15</v>
      </c>
      <c r="K9" s="4"/>
      <c r="L9" s="4"/>
    </row>
    <row r="10">
      <c r="A10" s="13"/>
      <c r="B10" s="9" t="s">
        <v>20</v>
      </c>
      <c r="C10" s="14" t="s">
        <v>21</v>
      </c>
      <c r="D10" s="14">
        <v>3.1</v>
      </c>
      <c r="E10" s="19"/>
      <c r="F10" s="11">
        <v>0.0</v>
      </c>
      <c r="H10" s="4"/>
      <c r="I10" s="4" t="s">
        <v>17</v>
      </c>
      <c r="J10" s="12" t="s">
        <v>18</v>
      </c>
      <c r="K10" s="4"/>
      <c r="L10" s="4"/>
    </row>
    <row r="11">
      <c r="A11" s="8"/>
      <c r="B11" s="11" t="s">
        <v>63</v>
      </c>
      <c r="C11" s="14">
        <v>0.13</v>
      </c>
      <c r="D11" s="14" t="s">
        <v>21</v>
      </c>
      <c r="E11" s="3"/>
      <c r="F11" s="4"/>
      <c r="G11" s="4"/>
      <c r="H11" s="4"/>
      <c r="I11" s="4"/>
      <c r="J11" s="12"/>
      <c r="K11" s="12"/>
      <c r="L11" s="12"/>
    </row>
    <row r="12">
      <c r="A12" s="8"/>
      <c r="B12" s="11" t="s">
        <v>25</v>
      </c>
      <c r="C12" s="21">
        <v>15000.0</v>
      </c>
      <c r="D12" s="21">
        <v>15000.0</v>
      </c>
      <c r="E12" s="48">
        <f>D10/1.4</f>
        <v>2.214285714</v>
      </c>
      <c r="F12" s="4"/>
      <c r="G12" s="4"/>
      <c r="H12" s="4"/>
      <c r="I12" s="4" t="s">
        <v>22</v>
      </c>
      <c r="J12" s="12" t="s">
        <v>23</v>
      </c>
    </row>
    <row r="13">
      <c r="A13" s="8"/>
      <c r="B13" s="39" t="s">
        <v>42</v>
      </c>
      <c r="C13" s="41">
        <v>1300.0</v>
      </c>
      <c r="D13" s="40">
        <v>6653.0</v>
      </c>
      <c r="E13" s="20"/>
      <c r="F13" s="4"/>
      <c r="G13" s="4"/>
      <c r="H13" s="4"/>
    </row>
    <row r="14">
      <c r="A14" s="8"/>
      <c r="B14" s="11" t="s">
        <v>64</v>
      </c>
      <c r="C14" s="23">
        <v>4.0</v>
      </c>
      <c r="D14" s="23">
        <v>30.0</v>
      </c>
      <c r="E14" s="3"/>
      <c r="F14" s="4"/>
      <c r="G14" s="4"/>
      <c r="H14" s="4"/>
    </row>
    <row r="15">
      <c r="A15" s="8"/>
      <c r="B15" s="9" t="s">
        <v>65</v>
      </c>
      <c r="C15" s="23" t="s">
        <v>21</v>
      </c>
      <c r="D15" s="44">
        <f>D12/D14</f>
        <v>500</v>
      </c>
      <c r="E15" s="3"/>
      <c r="F15" s="4"/>
      <c r="G15" s="4"/>
      <c r="H15" s="4"/>
      <c r="I15" s="4"/>
      <c r="J15" s="12"/>
    </row>
    <row r="16">
      <c r="A16" s="8"/>
      <c r="B16" s="11" t="s">
        <v>66</v>
      </c>
      <c r="C16" s="44">
        <f>C12/C14</f>
        <v>3750</v>
      </c>
      <c r="D16" s="23" t="s">
        <v>21</v>
      </c>
      <c r="E16" s="3"/>
      <c r="F16" s="4"/>
      <c r="G16" s="4"/>
      <c r="H16" s="4"/>
      <c r="I16" s="4"/>
      <c r="J16" s="4"/>
      <c r="K16" s="4"/>
      <c r="L16" s="4"/>
    </row>
    <row r="17">
      <c r="A17" s="8"/>
      <c r="B17" s="4" t="s">
        <v>67</v>
      </c>
      <c r="C17" s="27">
        <f>C11*C16</f>
        <v>487.5</v>
      </c>
      <c r="D17" s="18">
        <f>D15*D10</f>
        <v>1550</v>
      </c>
      <c r="E17" s="4"/>
      <c r="F17" s="4"/>
      <c r="G17" s="4"/>
      <c r="H17" s="4"/>
      <c r="I17" s="4"/>
      <c r="J17" s="4"/>
      <c r="K17" s="4"/>
      <c r="L17" s="4"/>
    </row>
    <row r="18">
      <c r="A18" s="8"/>
      <c r="B18" s="28" t="s">
        <v>33</v>
      </c>
      <c r="C18" s="29">
        <f t="shared" ref="C18:D18" si="2">C27</f>
        <v>30032</v>
      </c>
      <c r="D18" s="29">
        <f t="shared" si="2"/>
        <v>48796.64</v>
      </c>
      <c r="E18" s="4"/>
      <c r="F18" s="4"/>
      <c r="G18" s="4"/>
      <c r="H18" s="4"/>
      <c r="I18" s="4"/>
      <c r="J18" s="4"/>
      <c r="K18" s="4"/>
      <c r="L18" s="4"/>
    </row>
    <row r="19">
      <c r="A19" s="8"/>
      <c r="B19" s="31" t="s">
        <v>34</v>
      </c>
      <c r="C19" s="6" t="s">
        <v>2</v>
      </c>
      <c r="D19" s="7" t="s">
        <v>72</v>
      </c>
      <c r="E19" s="4"/>
      <c r="F19" s="4"/>
      <c r="G19" s="3"/>
      <c r="H19" s="4"/>
      <c r="I19" s="4"/>
      <c r="J19" s="4"/>
      <c r="K19" s="4"/>
      <c r="L19" s="4"/>
    </row>
    <row r="20">
      <c r="A20" s="8"/>
      <c r="B20" s="32"/>
      <c r="C20" s="33"/>
      <c r="D20" s="33"/>
      <c r="E20" s="30"/>
      <c r="F20" s="4"/>
      <c r="G20" s="3"/>
      <c r="H20" s="4"/>
      <c r="I20" s="4"/>
      <c r="J20" s="4"/>
      <c r="K20" s="4"/>
      <c r="L20" s="4"/>
    </row>
    <row r="21">
      <c r="A21" s="4"/>
      <c r="B21" s="32"/>
      <c r="C21" s="33"/>
      <c r="D21" s="33"/>
      <c r="E21" s="6" t="s">
        <v>35</v>
      </c>
      <c r="F21" s="4"/>
      <c r="G21" s="4"/>
      <c r="H21" s="4"/>
      <c r="I21" s="4"/>
      <c r="J21" s="4"/>
      <c r="K21" s="4"/>
      <c r="L21" s="4"/>
    </row>
    <row r="22">
      <c r="A22" s="31"/>
      <c r="B22" s="32"/>
      <c r="C22" s="33"/>
      <c r="D22" s="33"/>
      <c r="E22" s="4"/>
      <c r="F22" s="4"/>
      <c r="G22" s="4"/>
      <c r="H22" s="4"/>
      <c r="I22" s="4"/>
      <c r="J22" s="4"/>
      <c r="K22" s="4"/>
      <c r="L22" s="4"/>
    </row>
    <row r="23">
      <c r="A23" s="31"/>
      <c r="B23" s="32">
        <v>1.0</v>
      </c>
      <c r="C23" s="33"/>
      <c r="D23" s="33"/>
      <c r="E23" s="4"/>
      <c r="F23" s="4"/>
      <c r="G23" s="4"/>
      <c r="H23" s="4"/>
      <c r="I23" s="4"/>
      <c r="J23" s="4"/>
      <c r="K23" s="4"/>
      <c r="L23" s="4"/>
    </row>
    <row r="24">
      <c r="A24" s="31"/>
      <c r="B24" s="32">
        <v>2.0</v>
      </c>
      <c r="C24" s="33"/>
      <c r="D24" s="33"/>
      <c r="E24" s="4"/>
      <c r="F24" s="4"/>
      <c r="G24" s="4"/>
      <c r="H24" s="4"/>
      <c r="I24" s="4"/>
      <c r="J24" s="4"/>
      <c r="K24" s="4"/>
      <c r="L24" s="4"/>
    </row>
    <row r="25">
      <c r="A25" s="31"/>
      <c r="B25" s="32">
        <v>3.0</v>
      </c>
      <c r="C25" s="33"/>
      <c r="D25" s="33"/>
      <c r="E25" s="34">
        <f t="shared" ref="E25:E34" si="3">$D23-$C23</f>
        <v>0</v>
      </c>
      <c r="F25" s="4"/>
      <c r="G25" s="4"/>
      <c r="H25" s="4"/>
      <c r="I25" s="4"/>
      <c r="J25" s="4"/>
      <c r="K25" s="4"/>
      <c r="L25" s="4"/>
    </row>
    <row r="26">
      <c r="A26" s="35"/>
      <c r="B26" s="32">
        <v>4.0</v>
      </c>
      <c r="C26" s="33"/>
      <c r="D26" s="33"/>
      <c r="E26" s="34">
        <f t="shared" si="3"/>
        <v>0</v>
      </c>
      <c r="F26" s="4"/>
      <c r="G26" s="3"/>
      <c r="H26" s="4"/>
      <c r="I26" s="4"/>
      <c r="J26" s="4"/>
      <c r="K26" s="4"/>
      <c r="L26" s="4"/>
    </row>
    <row r="27">
      <c r="A27" s="35"/>
      <c r="B27" s="32">
        <v>5.0</v>
      </c>
      <c r="C27" s="33">
        <f>C8+(B27*C17)+C13+C9</f>
        <v>30032</v>
      </c>
      <c r="D27" s="33">
        <f>D8+(D17*B27)+D13+D9</f>
        <v>48796.64</v>
      </c>
      <c r="E27" s="34">
        <f t="shared" si="3"/>
        <v>0</v>
      </c>
      <c r="F27" s="4"/>
      <c r="G27" s="4"/>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18764.64</v>
      </c>
      <c r="F29" s="4"/>
      <c r="G29" s="3"/>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E33" s="34">
        <f t="shared" si="3"/>
        <v>0</v>
      </c>
      <c r="F33" s="4"/>
      <c r="G33" s="4"/>
      <c r="H33" s="4"/>
      <c r="I33" s="4"/>
      <c r="J33" s="4"/>
      <c r="K33" s="4"/>
      <c r="L33" s="4"/>
    </row>
    <row r="34">
      <c r="A34" s="35"/>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C32-D32</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2" ref="J3"/>
    <hyperlink r:id="rId3" ref="J9"/>
    <hyperlink r:id="rId4" ref="J10"/>
    <hyperlink r:id="rId5" ref="J12"/>
  </hyperlinks>
  <drawing r:id="rId6"/>
  <legacyDrawing r:id="rId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75</v>
      </c>
      <c r="E2" s="3"/>
      <c r="F2" s="4"/>
      <c r="G2" s="4"/>
      <c r="H2" s="4"/>
      <c r="I2" s="4" t="s">
        <v>5</v>
      </c>
      <c r="J2" s="4"/>
      <c r="K2" s="4"/>
      <c r="L2" s="4"/>
    </row>
    <row r="3">
      <c r="A3" s="8"/>
      <c r="B3" s="9" t="s">
        <v>7</v>
      </c>
      <c r="C3" s="10">
        <v>38990.0</v>
      </c>
      <c r="D3" s="10">
        <v>41400.0</v>
      </c>
      <c r="E3" s="10">
        <v>41400.0</v>
      </c>
      <c r="F3" s="11">
        <v>20000.0</v>
      </c>
      <c r="G3" s="9" t="s">
        <v>8</v>
      </c>
      <c r="H3" s="4"/>
      <c r="I3" s="4" t="s">
        <v>9</v>
      </c>
      <c r="J3" s="12" t="s">
        <v>10</v>
      </c>
      <c r="K3" s="4"/>
      <c r="L3" s="4"/>
    </row>
    <row r="4">
      <c r="A4" s="13"/>
      <c r="B4" s="11" t="s">
        <v>39</v>
      </c>
      <c r="C4" s="10">
        <f>C3*0.07</f>
        <v>2729.3</v>
      </c>
      <c r="D4" s="17">
        <f t="shared" ref="D4:E4" si="1">(D3)*0.07</f>
        <v>2898</v>
      </c>
      <c r="E4" s="17">
        <f t="shared" si="1"/>
        <v>2898</v>
      </c>
      <c r="F4" s="11"/>
      <c r="H4" s="4"/>
      <c r="I4" s="4"/>
      <c r="J4" s="12"/>
      <c r="K4" s="4"/>
      <c r="L4" s="4"/>
    </row>
    <row r="5">
      <c r="A5" s="13"/>
      <c r="B5" s="11" t="s">
        <v>40</v>
      </c>
      <c r="C5" s="10">
        <v>1200.0</v>
      </c>
      <c r="D5" s="10">
        <v>1200.0</v>
      </c>
      <c r="E5" s="10">
        <v>1200.0</v>
      </c>
      <c r="F5" s="11"/>
      <c r="H5" s="4"/>
      <c r="I5" s="4"/>
      <c r="J5" s="12"/>
      <c r="K5" s="4"/>
      <c r="L5" s="4"/>
    </row>
    <row r="6">
      <c r="A6" s="13"/>
      <c r="B6" s="11" t="s">
        <v>58</v>
      </c>
      <c r="C6" s="10">
        <f>C3*0.487</f>
        <v>18988.13</v>
      </c>
      <c r="D6" s="17">
        <f>SUM(D3)-27000</f>
        <v>14400</v>
      </c>
      <c r="E6" s="17"/>
      <c r="F6" s="11"/>
      <c r="H6" s="4"/>
      <c r="I6" s="4"/>
      <c r="J6" s="12"/>
      <c r="K6" s="4"/>
      <c r="L6" s="4"/>
    </row>
    <row r="7">
      <c r="A7" s="13"/>
      <c r="B7" s="16" t="s">
        <v>13</v>
      </c>
      <c r="C7" s="10">
        <v>-1875.0</v>
      </c>
      <c r="D7" s="17">
        <v>0.0</v>
      </c>
      <c r="E7" s="38">
        <f>SUM(E3:E6)-5000</f>
        <v>40498</v>
      </c>
      <c r="F7" s="11"/>
      <c r="H7" s="4"/>
      <c r="I7" s="4"/>
      <c r="J7" s="12"/>
      <c r="K7" s="4"/>
      <c r="L7" s="4"/>
    </row>
    <row r="8">
      <c r="A8" s="13"/>
      <c r="B8" s="3" t="s">
        <v>60</v>
      </c>
      <c r="C8" s="22">
        <f>C3+C7-C6+C4+C5</f>
        <v>22056.17</v>
      </c>
      <c r="D8" s="22">
        <f>D3+D5-D7-D6+D4</f>
        <v>31098</v>
      </c>
      <c r="E8" s="15"/>
      <c r="F8" s="11"/>
      <c r="H8" s="4"/>
      <c r="I8" s="4"/>
      <c r="J8" s="12"/>
      <c r="K8" s="4"/>
      <c r="L8" s="4"/>
    </row>
    <row r="9">
      <c r="A9" s="13"/>
      <c r="B9" s="39" t="s">
        <v>61</v>
      </c>
      <c r="C9" s="40">
        <v>4238.33</v>
      </c>
      <c r="D9" s="40">
        <v>4526.6</v>
      </c>
      <c r="E9" s="15"/>
      <c r="F9" s="11">
        <v>1.3</v>
      </c>
      <c r="H9" s="4"/>
      <c r="I9" s="4" t="s">
        <v>14</v>
      </c>
      <c r="J9" s="12" t="s">
        <v>15</v>
      </c>
      <c r="K9" s="4"/>
      <c r="L9" s="4"/>
    </row>
    <row r="10">
      <c r="A10" s="13"/>
      <c r="B10" s="9" t="s">
        <v>20</v>
      </c>
      <c r="C10" s="14" t="s">
        <v>21</v>
      </c>
      <c r="D10" s="14">
        <v>3.1</v>
      </c>
      <c r="E10" s="19"/>
      <c r="F10" s="11">
        <v>0.0</v>
      </c>
      <c r="H10" s="4"/>
      <c r="I10" s="4" t="s">
        <v>17</v>
      </c>
      <c r="J10" s="12" t="s">
        <v>18</v>
      </c>
      <c r="K10" s="4"/>
      <c r="L10" s="4"/>
    </row>
    <row r="11">
      <c r="A11" s="8"/>
      <c r="B11" s="11" t="s">
        <v>63</v>
      </c>
      <c r="C11" s="14">
        <v>0.13</v>
      </c>
      <c r="D11" s="14" t="s">
        <v>21</v>
      </c>
      <c r="E11" s="3"/>
      <c r="F11" s="4"/>
      <c r="G11" s="4"/>
      <c r="H11" s="4"/>
      <c r="I11" s="4"/>
      <c r="J11" s="12"/>
      <c r="K11" s="12"/>
      <c r="L11" s="12"/>
    </row>
    <row r="12">
      <c r="A12" s="8"/>
      <c r="B12" s="11" t="s">
        <v>25</v>
      </c>
      <c r="C12" s="21">
        <v>15000.0</v>
      </c>
      <c r="D12" s="21">
        <v>15000.0</v>
      </c>
      <c r="E12" s="48">
        <f>D10/1.4</f>
        <v>2.214285714</v>
      </c>
      <c r="F12" s="4"/>
      <c r="G12" s="4"/>
      <c r="H12" s="4"/>
      <c r="I12" s="4" t="s">
        <v>22</v>
      </c>
      <c r="J12" s="12" t="s">
        <v>23</v>
      </c>
    </row>
    <row r="13">
      <c r="A13" s="8"/>
      <c r="B13" s="39" t="s">
        <v>42</v>
      </c>
      <c r="C13" s="41">
        <v>1300.0</v>
      </c>
      <c r="D13" s="40">
        <v>7042.0</v>
      </c>
      <c r="E13" s="20"/>
      <c r="F13" s="4"/>
      <c r="G13" s="4"/>
      <c r="H13" s="4"/>
    </row>
    <row r="14">
      <c r="A14" s="8"/>
      <c r="B14" s="11" t="s">
        <v>64</v>
      </c>
      <c r="C14" s="23">
        <v>4.0</v>
      </c>
      <c r="D14" s="23">
        <v>30.0</v>
      </c>
      <c r="E14" s="3"/>
      <c r="F14" s="4"/>
      <c r="G14" s="4"/>
      <c r="H14" s="4"/>
    </row>
    <row r="15">
      <c r="A15" s="8"/>
      <c r="B15" s="9" t="s">
        <v>65</v>
      </c>
      <c r="C15" s="23" t="s">
        <v>21</v>
      </c>
      <c r="D15" s="44">
        <f>D12/D14</f>
        <v>500</v>
      </c>
      <c r="E15" s="3"/>
      <c r="F15" s="4"/>
      <c r="G15" s="4"/>
      <c r="H15" s="4"/>
      <c r="I15" s="4"/>
      <c r="J15" s="12"/>
    </row>
    <row r="16">
      <c r="A16" s="8"/>
      <c r="B16" s="11" t="s">
        <v>66</v>
      </c>
      <c r="C16" s="44">
        <f>C12/C14</f>
        <v>3750</v>
      </c>
      <c r="D16" s="23" t="s">
        <v>21</v>
      </c>
      <c r="E16" s="3"/>
      <c r="F16" s="4"/>
      <c r="G16" s="4"/>
      <c r="H16" s="4"/>
      <c r="I16" s="4"/>
      <c r="J16" s="4"/>
      <c r="K16" s="4"/>
      <c r="L16" s="4"/>
    </row>
    <row r="17">
      <c r="A17" s="8"/>
      <c r="B17" s="4" t="s">
        <v>67</v>
      </c>
      <c r="C17" s="27">
        <f>C11*C16</f>
        <v>487.5</v>
      </c>
      <c r="D17" s="18">
        <f>D15*D10</f>
        <v>1550</v>
      </c>
      <c r="E17" s="4"/>
      <c r="F17" s="4"/>
      <c r="G17" s="4"/>
      <c r="H17" s="4"/>
      <c r="I17" s="4"/>
      <c r="J17" s="4"/>
      <c r="K17" s="4"/>
      <c r="L17" s="4"/>
    </row>
    <row r="18">
      <c r="A18" s="8"/>
      <c r="B18" s="28" t="s">
        <v>33</v>
      </c>
      <c r="C18" s="29">
        <f t="shared" ref="C18:D18" si="2">C27</f>
        <v>30032</v>
      </c>
      <c r="D18" s="29">
        <f t="shared" si="2"/>
        <v>50416.6</v>
      </c>
      <c r="E18" s="4"/>
      <c r="F18" s="4"/>
      <c r="G18" s="4"/>
      <c r="H18" s="4"/>
      <c r="I18" s="4"/>
      <c r="J18" s="4"/>
      <c r="K18" s="4"/>
      <c r="L18" s="4"/>
    </row>
    <row r="19">
      <c r="A19" s="8"/>
      <c r="B19" s="31" t="s">
        <v>34</v>
      </c>
      <c r="C19" s="6" t="s">
        <v>2</v>
      </c>
      <c r="D19" s="7" t="s">
        <v>80</v>
      </c>
      <c r="E19" s="4"/>
      <c r="F19" s="4"/>
      <c r="G19" s="3"/>
      <c r="H19" s="4"/>
      <c r="I19" s="4"/>
      <c r="J19" s="4"/>
      <c r="K19" s="4"/>
      <c r="L19" s="4"/>
    </row>
    <row r="20">
      <c r="A20" s="8"/>
      <c r="B20" s="32"/>
      <c r="C20" s="33"/>
      <c r="D20" s="33"/>
      <c r="E20" s="30"/>
      <c r="F20" s="4"/>
      <c r="G20" s="3"/>
      <c r="H20" s="4"/>
      <c r="I20" s="4"/>
      <c r="J20" s="4"/>
      <c r="K20" s="4"/>
      <c r="L20" s="4"/>
    </row>
    <row r="21">
      <c r="A21" s="4"/>
      <c r="B21" s="32"/>
      <c r="C21" s="33"/>
      <c r="D21" s="33"/>
      <c r="E21" s="6" t="s">
        <v>35</v>
      </c>
      <c r="F21" s="4"/>
      <c r="G21" s="4"/>
      <c r="H21" s="4"/>
      <c r="I21" s="4"/>
      <c r="J21" s="4"/>
      <c r="K21" s="4"/>
      <c r="L21" s="4"/>
    </row>
    <row r="22">
      <c r="A22" s="31"/>
      <c r="B22" s="32"/>
      <c r="C22" s="33"/>
      <c r="D22" s="33"/>
      <c r="E22" s="4"/>
      <c r="F22" s="4"/>
      <c r="G22" s="4"/>
      <c r="H22" s="4"/>
      <c r="I22" s="4"/>
      <c r="J22" s="4"/>
      <c r="K22" s="4"/>
      <c r="L22" s="4"/>
    </row>
    <row r="23">
      <c r="A23" s="31"/>
      <c r="B23" s="32">
        <v>1.0</v>
      </c>
      <c r="C23" s="33"/>
      <c r="D23" s="33"/>
      <c r="E23" s="4"/>
      <c r="F23" s="4"/>
      <c r="G23" s="4"/>
      <c r="H23" s="4"/>
      <c r="I23" s="4"/>
      <c r="J23" s="4"/>
      <c r="K23" s="4"/>
      <c r="L23" s="4"/>
    </row>
    <row r="24">
      <c r="A24" s="31"/>
      <c r="B24" s="32">
        <v>2.0</v>
      </c>
      <c r="C24" s="33"/>
      <c r="D24" s="33"/>
      <c r="E24" s="4"/>
      <c r="F24" s="4"/>
      <c r="G24" s="4"/>
      <c r="H24" s="4"/>
      <c r="I24" s="4"/>
      <c r="J24" s="4"/>
      <c r="K24" s="4"/>
      <c r="L24" s="4"/>
    </row>
    <row r="25">
      <c r="A25" s="31"/>
      <c r="B25" s="32">
        <v>3.0</v>
      </c>
      <c r="C25" s="33"/>
      <c r="D25" s="33"/>
      <c r="E25" s="34">
        <f t="shared" ref="E25:E34" si="3">$D23-$C23</f>
        <v>0</v>
      </c>
      <c r="F25" s="4"/>
      <c r="G25" s="4"/>
      <c r="H25" s="4"/>
      <c r="I25" s="4"/>
      <c r="J25" s="4"/>
      <c r="K25" s="4"/>
      <c r="L25" s="4"/>
    </row>
    <row r="26">
      <c r="A26" s="35"/>
      <c r="B26" s="32">
        <v>4.0</v>
      </c>
      <c r="C26" s="33"/>
      <c r="D26" s="33"/>
      <c r="E26" s="34">
        <f t="shared" si="3"/>
        <v>0</v>
      </c>
      <c r="F26" s="4"/>
      <c r="G26" s="3"/>
      <c r="H26" s="4"/>
      <c r="I26" s="4"/>
      <c r="J26" s="4"/>
      <c r="K26" s="4"/>
      <c r="L26" s="4"/>
    </row>
    <row r="27">
      <c r="A27" s="35"/>
      <c r="B27" s="32">
        <v>5.0</v>
      </c>
      <c r="C27" s="33">
        <f>C8+(B27*C17)+C13+C9</f>
        <v>30032</v>
      </c>
      <c r="D27" s="33">
        <f>D8+(D17*B27)+D13+D9</f>
        <v>50416.6</v>
      </c>
      <c r="E27" s="34">
        <f t="shared" si="3"/>
        <v>0</v>
      </c>
      <c r="F27" s="4"/>
      <c r="G27" s="4"/>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20384.6</v>
      </c>
      <c r="F29" s="4"/>
      <c r="G29" s="3"/>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E33" s="34">
        <f t="shared" si="3"/>
        <v>0</v>
      </c>
      <c r="F33" s="4"/>
      <c r="G33" s="4"/>
      <c r="H33" s="4"/>
      <c r="I33" s="4"/>
      <c r="J33" s="4"/>
      <c r="K33" s="4"/>
      <c r="L33" s="4"/>
    </row>
    <row r="34">
      <c r="A34" s="35"/>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C32-D32</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2" ref="J3"/>
    <hyperlink r:id="rId3" ref="J9"/>
    <hyperlink r:id="rId4" ref="J10"/>
    <hyperlink r:id="rId5" ref="J12"/>
  </hyperlinks>
  <drawing r:id="rId6"/>
  <legacyDrawing r:id="rId7"/>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75</v>
      </c>
      <c r="E2" s="3"/>
      <c r="F2" s="4"/>
      <c r="G2" s="4"/>
      <c r="H2" s="4"/>
      <c r="I2" s="4" t="s">
        <v>5</v>
      </c>
      <c r="J2" s="4"/>
      <c r="K2" s="4"/>
      <c r="L2" s="4"/>
    </row>
    <row r="3">
      <c r="A3" s="8"/>
      <c r="B3" s="9" t="s">
        <v>7</v>
      </c>
      <c r="C3" s="10">
        <v>38990.0</v>
      </c>
      <c r="D3" s="10">
        <v>43400.0</v>
      </c>
      <c r="E3" s="10">
        <v>43400.0</v>
      </c>
      <c r="F3" s="11">
        <v>20000.0</v>
      </c>
      <c r="G3" s="9" t="s">
        <v>8</v>
      </c>
      <c r="H3" s="4"/>
      <c r="I3" s="4" t="s">
        <v>9</v>
      </c>
      <c r="J3" s="12" t="s">
        <v>10</v>
      </c>
      <c r="K3" s="4"/>
      <c r="L3" s="4"/>
    </row>
    <row r="4">
      <c r="A4" s="13"/>
      <c r="B4" s="11" t="s">
        <v>39</v>
      </c>
      <c r="C4" s="10">
        <f>C3*0.07</f>
        <v>2729.3</v>
      </c>
      <c r="D4" s="17">
        <f t="shared" ref="D4:E4" si="1">(D3)*0.07</f>
        <v>3038</v>
      </c>
      <c r="E4" s="17">
        <f t="shared" si="1"/>
        <v>3038</v>
      </c>
      <c r="F4" s="11"/>
      <c r="H4" s="4"/>
      <c r="I4" s="4"/>
      <c r="J4" s="12"/>
      <c r="K4" s="4"/>
      <c r="L4" s="4"/>
    </row>
    <row r="5">
      <c r="A5" s="13"/>
      <c r="B5" s="11" t="s">
        <v>40</v>
      </c>
      <c r="C5" s="10">
        <v>1200.0</v>
      </c>
      <c r="D5" s="10">
        <v>1200.0</v>
      </c>
      <c r="E5" s="10">
        <v>1200.0</v>
      </c>
      <c r="F5" s="11"/>
      <c r="H5" s="4"/>
      <c r="I5" s="4"/>
      <c r="J5" s="12"/>
      <c r="K5" s="4"/>
      <c r="L5" s="4"/>
    </row>
    <row r="6">
      <c r="A6" s="13"/>
      <c r="B6" s="11" t="s">
        <v>58</v>
      </c>
      <c r="C6" s="10">
        <f>C3*0.487</f>
        <v>18988.13</v>
      </c>
      <c r="D6" s="17">
        <f>SUM(D3)-28000</f>
        <v>15400</v>
      </c>
      <c r="E6" s="17"/>
      <c r="F6" s="11"/>
      <c r="H6" s="4"/>
      <c r="I6" s="4"/>
      <c r="J6" s="12"/>
      <c r="K6" s="4"/>
      <c r="L6" s="4"/>
    </row>
    <row r="7">
      <c r="A7" s="13"/>
      <c r="B7" s="16" t="s">
        <v>13</v>
      </c>
      <c r="C7" s="10">
        <v>-1875.0</v>
      </c>
      <c r="D7" s="17">
        <v>0.0</v>
      </c>
      <c r="E7" s="38">
        <f>SUM(E3:E6)-5000</f>
        <v>42638</v>
      </c>
      <c r="F7" s="11"/>
      <c r="H7" s="4"/>
      <c r="I7" s="4"/>
      <c r="J7" s="12"/>
      <c r="K7" s="4"/>
      <c r="L7" s="4"/>
    </row>
    <row r="8">
      <c r="A8" s="13"/>
      <c r="B8" s="3" t="s">
        <v>60</v>
      </c>
      <c r="C8" s="22">
        <f>C3+C7-C6+C4+C5</f>
        <v>22056.17</v>
      </c>
      <c r="D8" s="22">
        <f>D3+D5-D7-D6+D4</f>
        <v>32238</v>
      </c>
      <c r="E8" s="15"/>
      <c r="F8" s="11"/>
      <c r="H8" s="4"/>
      <c r="I8" s="4"/>
      <c r="J8" s="12"/>
      <c r="K8" s="4"/>
      <c r="L8" s="4"/>
    </row>
    <row r="9">
      <c r="A9" s="13"/>
      <c r="B9" s="39" t="s">
        <v>61</v>
      </c>
      <c r="C9" s="40">
        <v>4238.33</v>
      </c>
      <c r="D9" s="40">
        <v>4765.79</v>
      </c>
      <c r="E9" s="15"/>
      <c r="F9" s="11">
        <v>1.3</v>
      </c>
      <c r="H9" s="4"/>
      <c r="I9" s="4" t="s">
        <v>14</v>
      </c>
      <c r="J9" s="12" t="s">
        <v>15</v>
      </c>
      <c r="K9" s="4"/>
      <c r="L9" s="4"/>
    </row>
    <row r="10">
      <c r="A10" s="13"/>
      <c r="B10" s="9" t="s">
        <v>20</v>
      </c>
      <c r="C10" s="14" t="s">
        <v>21</v>
      </c>
      <c r="D10" s="14">
        <v>3.1</v>
      </c>
      <c r="E10" s="19"/>
      <c r="F10" s="11">
        <v>0.0</v>
      </c>
      <c r="H10" s="4"/>
      <c r="I10" s="4" t="s">
        <v>17</v>
      </c>
      <c r="J10" s="12" t="s">
        <v>18</v>
      </c>
      <c r="K10" s="4"/>
      <c r="L10" s="4"/>
    </row>
    <row r="11">
      <c r="A11" s="8"/>
      <c r="B11" s="11" t="s">
        <v>63</v>
      </c>
      <c r="C11" s="14">
        <v>0.13</v>
      </c>
      <c r="D11" s="14" t="s">
        <v>21</v>
      </c>
      <c r="E11" s="3"/>
      <c r="F11" s="4"/>
      <c r="G11" s="4"/>
      <c r="H11" s="4"/>
      <c r="I11" s="4"/>
      <c r="J11" s="12"/>
      <c r="K11" s="12"/>
      <c r="L11" s="12"/>
    </row>
    <row r="12">
      <c r="A12" s="8"/>
      <c r="B12" s="11" t="s">
        <v>25</v>
      </c>
      <c r="C12" s="21">
        <v>15000.0</v>
      </c>
      <c r="D12" s="21">
        <v>15000.0</v>
      </c>
      <c r="E12" s="48">
        <f>D10/1.4</f>
        <v>2.214285714</v>
      </c>
      <c r="F12" s="4"/>
      <c r="G12" s="4"/>
      <c r="H12" s="4"/>
      <c r="I12" s="4" t="s">
        <v>22</v>
      </c>
      <c r="J12" s="12" t="s">
        <v>23</v>
      </c>
    </row>
    <row r="13">
      <c r="A13" s="8"/>
      <c r="B13" s="39" t="s">
        <v>42</v>
      </c>
      <c r="C13" s="41">
        <v>1300.0</v>
      </c>
      <c r="D13" s="40">
        <v>6931.0</v>
      </c>
      <c r="E13" s="20"/>
      <c r="F13" s="4"/>
      <c r="G13" s="4"/>
      <c r="H13" s="4"/>
    </row>
    <row r="14">
      <c r="A14" s="8"/>
      <c r="B14" s="11" t="s">
        <v>64</v>
      </c>
      <c r="C14" s="23">
        <v>4.0</v>
      </c>
      <c r="D14" s="23">
        <v>30.0</v>
      </c>
      <c r="E14" s="3"/>
      <c r="F14" s="4"/>
      <c r="G14" s="4"/>
      <c r="H14" s="4"/>
    </row>
    <row r="15">
      <c r="A15" s="8"/>
      <c r="B15" s="9" t="s">
        <v>65</v>
      </c>
      <c r="C15" s="23" t="s">
        <v>21</v>
      </c>
      <c r="D15" s="44">
        <f>D12/D14</f>
        <v>500</v>
      </c>
      <c r="E15" s="3"/>
      <c r="F15" s="4"/>
      <c r="G15" s="4"/>
      <c r="H15" s="4"/>
      <c r="I15" s="4"/>
      <c r="J15" s="12"/>
    </row>
    <row r="16">
      <c r="A16" s="8"/>
      <c r="B16" s="11" t="s">
        <v>66</v>
      </c>
      <c r="C16" s="44">
        <f>C12/C14</f>
        <v>3750</v>
      </c>
      <c r="D16" s="23" t="s">
        <v>21</v>
      </c>
      <c r="E16" s="3"/>
      <c r="F16" s="4"/>
      <c r="G16" s="4"/>
      <c r="H16" s="4"/>
      <c r="I16" s="4"/>
      <c r="J16" s="4"/>
      <c r="K16" s="4"/>
      <c r="L16" s="4"/>
    </row>
    <row r="17">
      <c r="A17" s="8"/>
      <c r="B17" s="4" t="s">
        <v>67</v>
      </c>
      <c r="C17" s="27">
        <f>C11*C16</f>
        <v>487.5</v>
      </c>
      <c r="D17" s="18">
        <f>D15*D10</f>
        <v>1550</v>
      </c>
      <c r="E17" s="4"/>
      <c r="F17" s="4"/>
      <c r="G17" s="4"/>
      <c r="H17" s="4"/>
      <c r="I17" s="4"/>
      <c r="J17" s="4"/>
      <c r="K17" s="4"/>
      <c r="L17" s="4"/>
    </row>
    <row r="18">
      <c r="A18" s="8"/>
      <c r="B18" s="28" t="s">
        <v>33</v>
      </c>
      <c r="C18" s="29">
        <f t="shared" ref="C18:D18" si="2">C27</f>
        <v>30032</v>
      </c>
      <c r="D18" s="29">
        <f t="shared" si="2"/>
        <v>51684.79</v>
      </c>
      <c r="E18" s="4"/>
      <c r="F18" s="4"/>
      <c r="G18" s="4"/>
      <c r="H18" s="4"/>
      <c r="I18" s="4"/>
      <c r="J18" s="4"/>
      <c r="K18" s="4"/>
      <c r="L18" s="4"/>
    </row>
    <row r="19">
      <c r="A19" s="8"/>
      <c r="B19" s="31" t="s">
        <v>34</v>
      </c>
      <c r="C19" s="6" t="s">
        <v>2</v>
      </c>
      <c r="D19" s="7" t="s">
        <v>80</v>
      </c>
      <c r="E19" s="4"/>
      <c r="F19" s="4"/>
      <c r="G19" s="3"/>
      <c r="H19" s="4"/>
      <c r="I19" s="4"/>
      <c r="J19" s="4"/>
      <c r="K19" s="4"/>
      <c r="L19" s="4"/>
    </row>
    <row r="20">
      <c r="A20" s="8"/>
      <c r="B20" s="32"/>
      <c r="C20" s="33"/>
      <c r="D20" s="33"/>
      <c r="E20" s="30"/>
      <c r="F20" s="4"/>
      <c r="G20" s="3"/>
      <c r="H20" s="4"/>
      <c r="I20" s="4"/>
      <c r="J20" s="4"/>
      <c r="K20" s="4"/>
      <c r="L20" s="4"/>
    </row>
    <row r="21">
      <c r="A21" s="4"/>
      <c r="B21" s="32"/>
      <c r="C21" s="33"/>
      <c r="D21" s="33"/>
      <c r="E21" s="6" t="s">
        <v>35</v>
      </c>
      <c r="F21" s="4"/>
      <c r="G21" s="4"/>
      <c r="H21" s="4"/>
      <c r="I21" s="4"/>
      <c r="J21" s="4"/>
      <c r="K21" s="4"/>
      <c r="L21" s="4"/>
    </row>
    <row r="22">
      <c r="A22" s="31"/>
      <c r="B22" s="32"/>
      <c r="C22" s="33"/>
      <c r="D22" s="33"/>
      <c r="E22" s="4"/>
      <c r="F22" s="4"/>
      <c r="G22" s="4"/>
      <c r="H22" s="4"/>
      <c r="I22" s="4"/>
      <c r="J22" s="4"/>
      <c r="K22" s="4"/>
      <c r="L22" s="4"/>
    </row>
    <row r="23">
      <c r="A23" s="31"/>
      <c r="B23" s="32">
        <v>1.0</v>
      </c>
      <c r="C23" s="33"/>
      <c r="D23" s="33"/>
      <c r="E23" s="4"/>
      <c r="F23" s="4"/>
      <c r="G23" s="4"/>
      <c r="H23" s="4"/>
      <c r="I23" s="4"/>
      <c r="J23" s="4"/>
      <c r="K23" s="4"/>
      <c r="L23" s="4"/>
    </row>
    <row r="24">
      <c r="A24" s="31"/>
      <c r="B24" s="32">
        <v>2.0</v>
      </c>
      <c r="C24" s="33"/>
      <c r="D24" s="33"/>
      <c r="E24" s="4"/>
      <c r="F24" s="4"/>
      <c r="G24" s="4"/>
      <c r="H24" s="4"/>
      <c r="I24" s="4"/>
      <c r="J24" s="4"/>
      <c r="K24" s="4"/>
      <c r="L24" s="4"/>
    </row>
    <row r="25">
      <c r="A25" s="31"/>
      <c r="B25" s="32">
        <v>3.0</v>
      </c>
      <c r="C25" s="33"/>
      <c r="D25" s="33"/>
      <c r="E25" s="34">
        <f t="shared" ref="E25:E34" si="3">$D23-$C23</f>
        <v>0</v>
      </c>
      <c r="F25" s="4"/>
      <c r="G25" s="4"/>
      <c r="H25" s="4"/>
      <c r="I25" s="4"/>
      <c r="J25" s="4"/>
      <c r="K25" s="4"/>
      <c r="L25" s="4"/>
    </row>
    <row r="26">
      <c r="A26" s="35"/>
      <c r="B26" s="32">
        <v>4.0</v>
      </c>
      <c r="C26" s="33"/>
      <c r="D26" s="33"/>
      <c r="E26" s="34">
        <f t="shared" si="3"/>
        <v>0</v>
      </c>
      <c r="F26" s="4"/>
      <c r="G26" s="3"/>
      <c r="H26" s="4"/>
      <c r="I26" s="4"/>
      <c r="J26" s="4"/>
      <c r="K26" s="4"/>
      <c r="L26" s="4"/>
    </row>
    <row r="27">
      <c r="A27" s="35"/>
      <c r="B27" s="32">
        <v>5.0</v>
      </c>
      <c r="C27" s="33">
        <f>C8+(B27*C17)+C13+C9</f>
        <v>30032</v>
      </c>
      <c r="D27" s="33">
        <f>D8+(D17*B27)+D13+D9</f>
        <v>51684.79</v>
      </c>
      <c r="E27" s="34">
        <f t="shared" si="3"/>
        <v>0</v>
      </c>
      <c r="F27" s="4"/>
      <c r="G27" s="4"/>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21652.79</v>
      </c>
      <c r="F29" s="4"/>
      <c r="G29" s="3"/>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E33" s="34">
        <f t="shared" si="3"/>
        <v>0</v>
      </c>
      <c r="F33" s="4"/>
      <c r="G33" s="4"/>
      <c r="H33" s="4"/>
      <c r="I33" s="4"/>
      <c r="J33" s="4"/>
      <c r="K33" s="4"/>
      <c r="L33" s="4"/>
    </row>
    <row r="34">
      <c r="A34" s="35"/>
      <c r="E34" s="34">
        <f t="shared" si="3"/>
        <v>0</v>
      </c>
      <c r="F34" s="4"/>
      <c r="G34" s="4"/>
      <c r="H34" s="4"/>
      <c r="I34" s="4"/>
      <c r="J34" s="4"/>
      <c r="K34" s="4"/>
      <c r="L34" s="4"/>
    </row>
    <row r="35">
      <c r="A35" s="35"/>
      <c r="B35" s="35"/>
      <c r="C35" s="37"/>
      <c r="D35" s="37"/>
      <c r="E35" s="4"/>
      <c r="F35" s="4"/>
      <c r="G35" s="4"/>
      <c r="H35" s="4"/>
      <c r="I35" s="4"/>
      <c r="J35" s="4"/>
      <c r="K35" s="4"/>
      <c r="L35" s="4"/>
    </row>
    <row r="36">
      <c r="A36" s="35"/>
      <c r="B36" s="35"/>
      <c r="C36" s="37"/>
      <c r="D36" s="37">
        <f>C32-D32</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2" ref="J3"/>
    <hyperlink r:id="rId3" ref="J9"/>
    <hyperlink r:id="rId4" ref="J10"/>
    <hyperlink r:id="rId5" ref="J12"/>
  </hyperlinks>
  <drawing r:id="rId6"/>
  <legacy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9" t="s">
        <v>74</v>
      </c>
      <c r="E1" s="3"/>
      <c r="F1" s="4"/>
      <c r="G1" s="4"/>
      <c r="H1" s="4"/>
      <c r="I1" s="4"/>
      <c r="J1" s="4"/>
      <c r="K1" s="4"/>
      <c r="L1" s="4"/>
    </row>
    <row r="2">
      <c r="A2" s="46"/>
      <c r="B2" s="5" t="s">
        <v>53</v>
      </c>
      <c r="C2" s="6" t="s">
        <v>37</v>
      </c>
      <c r="D2" s="7" t="s">
        <v>76</v>
      </c>
      <c r="E2" s="3"/>
      <c r="F2" s="4"/>
      <c r="G2" s="4"/>
      <c r="H2" s="4"/>
      <c r="I2" s="4" t="s">
        <v>5</v>
      </c>
      <c r="J2" s="4"/>
      <c r="K2" s="4"/>
      <c r="L2" s="4"/>
    </row>
    <row r="3">
      <c r="A3" s="8"/>
      <c r="B3" s="9" t="s">
        <v>7</v>
      </c>
      <c r="C3" s="10">
        <v>38990.0</v>
      </c>
      <c r="D3" s="10">
        <v>27300.0</v>
      </c>
      <c r="E3" s="10">
        <v>27300.0</v>
      </c>
      <c r="F3" s="11">
        <v>20000.0</v>
      </c>
      <c r="G3" s="9" t="s">
        <v>8</v>
      </c>
      <c r="H3" s="4"/>
      <c r="I3" s="4" t="s">
        <v>9</v>
      </c>
      <c r="J3" s="12" t="s">
        <v>10</v>
      </c>
      <c r="K3" s="4"/>
      <c r="L3" s="4"/>
    </row>
    <row r="4">
      <c r="A4" s="13"/>
      <c r="B4" s="11" t="s">
        <v>39</v>
      </c>
      <c r="C4" s="10">
        <f t="shared" ref="C4:E4" si="1">C3*0.07</f>
        <v>2729.3</v>
      </c>
      <c r="D4" s="17">
        <f t="shared" si="1"/>
        <v>1911</v>
      </c>
      <c r="E4" s="17">
        <f t="shared" si="1"/>
        <v>1911</v>
      </c>
      <c r="F4" s="11"/>
      <c r="H4" s="4"/>
      <c r="I4" s="4"/>
      <c r="J4" s="12"/>
      <c r="K4" s="4"/>
      <c r="L4" s="4"/>
    </row>
    <row r="5">
      <c r="A5" s="13"/>
      <c r="B5" s="11" t="s">
        <v>40</v>
      </c>
      <c r="C5" s="10">
        <v>1200.0</v>
      </c>
      <c r="D5" s="10">
        <v>920.0</v>
      </c>
      <c r="E5" s="10">
        <v>920.0</v>
      </c>
      <c r="F5" s="11"/>
      <c r="H5" s="4"/>
      <c r="I5" s="4"/>
      <c r="J5" s="12"/>
      <c r="K5" s="4"/>
      <c r="L5" s="4"/>
    </row>
    <row r="6">
      <c r="A6" s="13"/>
      <c r="B6" s="11" t="s">
        <v>11</v>
      </c>
      <c r="C6" s="10">
        <f>C3*0.487</f>
        <v>18988.13</v>
      </c>
      <c r="D6" s="17">
        <f>SUM(D3)*0.412</f>
        <v>11247.6</v>
      </c>
      <c r="E6" s="38">
        <f>SUM(E3:E5)-5000</f>
        <v>25131</v>
      </c>
      <c r="F6" s="11"/>
      <c r="H6" s="4"/>
      <c r="I6" s="4"/>
      <c r="J6" s="12"/>
      <c r="K6" s="4"/>
      <c r="L6" s="4"/>
    </row>
    <row r="7">
      <c r="A7" s="13"/>
      <c r="B7" s="16" t="s">
        <v>13</v>
      </c>
      <c r="C7" s="10">
        <v>-1875.0</v>
      </c>
      <c r="D7" s="17">
        <v>0.0</v>
      </c>
      <c r="E7" s="15"/>
      <c r="F7" s="11">
        <v>1.3</v>
      </c>
      <c r="H7" s="4"/>
      <c r="I7" s="4" t="s">
        <v>14</v>
      </c>
      <c r="J7" s="12" t="s">
        <v>15</v>
      </c>
      <c r="K7" s="4"/>
      <c r="L7" s="4"/>
    </row>
    <row r="8">
      <c r="A8" s="13"/>
      <c r="B8" s="3" t="s">
        <v>60</v>
      </c>
      <c r="C8" s="22">
        <f>C3+C7-C6+C4+C5</f>
        <v>22056.17</v>
      </c>
      <c r="D8" s="22">
        <f>D3+D7-D6+D4</f>
        <v>17963.4</v>
      </c>
      <c r="E8" s="19"/>
      <c r="F8" s="11">
        <v>0.0</v>
      </c>
      <c r="H8" s="4"/>
      <c r="I8" s="4" t="s">
        <v>17</v>
      </c>
      <c r="J8" s="12" t="s">
        <v>18</v>
      </c>
      <c r="K8" s="4"/>
      <c r="L8" s="4"/>
    </row>
    <row r="9">
      <c r="A9" s="8"/>
      <c r="B9" s="39" t="s">
        <v>61</v>
      </c>
      <c r="C9" s="40">
        <v>4238.33</v>
      </c>
      <c r="D9" s="40">
        <v>2638.54</v>
      </c>
      <c r="E9" s="43" t="s">
        <v>77</v>
      </c>
      <c r="F9" s="4"/>
      <c r="G9" s="4"/>
      <c r="H9" s="4"/>
      <c r="I9" s="4"/>
      <c r="J9" s="12"/>
      <c r="K9" s="12"/>
      <c r="L9" s="12"/>
    </row>
    <row r="10">
      <c r="A10" s="8"/>
      <c r="B10" s="9" t="s">
        <v>20</v>
      </c>
      <c r="C10" s="14" t="s">
        <v>21</v>
      </c>
      <c r="D10" s="14">
        <v>3.1</v>
      </c>
      <c r="E10" s="43" t="s">
        <v>78</v>
      </c>
      <c r="F10" s="4"/>
      <c r="G10" s="4"/>
      <c r="H10" s="4"/>
      <c r="I10" s="4" t="s">
        <v>22</v>
      </c>
      <c r="J10" s="12" t="s">
        <v>23</v>
      </c>
    </row>
    <row r="11">
      <c r="A11" s="8"/>
      <c r="B11" s="11" t="s">
        <v>63</v>
      </c>
      <c r="C11" s="14">
        <v>0.13</v>
      </c>
      <c r="D11" s="14" t="s">
        <v>21</v>
      </c>
      <c r="E11" s="20"/>
      <c r="F11" s="4"/>
      <c r="G11" s="4"/>
      <c r="H11" s="4"/>
    </row>
    <row r="12">
      <c r="A12" s="8"/>
      <c r="B12" s="11" t="s">
        <v>25</v>
      </c>
      <c r="C12" s="21">
        <v>15000.0</v>
      </c>
      <c r="D12" s="50">
        <v>15000.0</v>
      </c>
      <c r="E12" s="3"/>
      <c r="F12" s="4"/>
      <c r="G12" s="4"/>
      <c r="H12" s="4"/>
    </row>
    <row r="13">
      <c r="A13" s="8"/>
      <c r="B13" s="3" t="s">
        <v>42</v>
      </c>
      <c r="C13" s="41">
        <v>1300.0</v>
      </c>
      <c r="D13" s="41">
        <v>3460.0</v>
      </c>
      <c r="E13" s="42" t="s">
        <v>79</v>
      </c>
      <c r="F13" s="43" t="s">
        <v>81</v>
      </c>
      <c r="G13" s="4"/>
      <c r="H13" s="4"/>
      <c r="I13" s="4"/>
      <c r="J13" s="4"/>
      <c r="K13" s="4"/>
      <c r="L13" s="4"/>
    </row>
    <row r="14">
      <c r="A14" s="8"/>
      <c r="B14" s="11" t="s">
        <v>64</v>
      </c>
      <c r="C14" s="23">
        <v>4.0</v>
      </c>
      <c r="D14" s="23">
        <v>33.0</v>
      </c>
      <c r="E14" s="43" t="s">
        <v>82</v>
      </c>
      <c r="F14" s="4"/>
      <c r="G14" s="4"/>
      <c r="H14" s="4"/>
      <c r="I14" s="4"/>
      <c r="J14" s="4"/>
      <c r="K14" s="4"/>
      <c r="L14" s="4"/>
    </row>
    <row r="15">
      <c r="A15" s="8"/>
      <c r="B15" s="51" t="s">
        <v>65</v>
      </c>
      <c r="C15" s="52" t="s">
        <v>21</v>
      </c>
      <c r="D15" s="53">
        <f>D12/D14</f>
        <v>454.5454545</v>
      </c>
      <c r="E15" s="4"/>
      <c r="F15" s="4"/>
      <c r="G15" s="4"/>
      <c r="H15" s="4"/>
      <c r="I15" s="4"/>
      <c r="J15" s="4"/>
      <c r="K15" s="4"/>
      <c r="L15" s="4"/>
    </row>
    <row r="16">
      <c r="A16" s="8"/>
      <c r="B16" s="54" t="s">
        <v>66</v>
      </c>
      <c r="C16" s="53">
        <f>C12/C14</f>
        <v>3750</v>
      </c>
      <c r="D16" s="52" t="s">
        <v>21</v>
      </c>
      <c r="E16" s="4"/>
      <c r="F16" s="4"/>
      <c r="G16" s="4"/>
      <c r="H16" s="4"/>
      <c r="I16" s="4"/>
      <c r="J16" s="4"/>
      <c r="K16" s="4"/>
      <c r="L16" s="4"/>
    </row>
    <row r="17">
      <c r="A17" s="8"/>
      <c r="B17" s="4" t="s">
        <v>67</v>
      </c>
      <c r="C17" s="27">
        <f>C11*C16</f>
        <v>487.5</v>
      </c>
      <c r="D17" s="18">
        <f>D15*D10</f>
        <v>1409.090909</v>
      </c>
      <c r="E17" s="4"/>
      <c r="F17" s="4"/>
      <c r="G17" s="3"/>
      <c r="H17" s="4"/>
      <c r="I17" s="4"/>
      <c r="J17" s="4"/>
      <c r="K17" s="4"/>
      <c r="L17" s="4"/>
    </row>
    <row r="18">
      <c r="A18" s="8"/>
      <c r="B18" s="28" t="s">
        <v>33</v>
      </c>
      <c r="C18" s="29">
        <f t="shared" ref="C18:D18" si="2">C27</f>
        <v>30032</v>
      </c>
      <c r="D18" s="29">
        <f t="shared" si="2"/>
        <v>31107.39455</v>
      </c>
      <c r="E18" s="30"/>
      <c r="F18" s="4"/>
      <c r="G18" s="3"/>
      <c r="H18" s="4"/>
      <c r="I18" s="4"/>
      <c r="J18" s="4"/>
      <c r="K18" s="4"/>
      <c r="L18" s="4"/>
    </row>
    <row r="19">
      <c r="A19" s="4"/>
      <c r="B19" s="31" t="s">
        <v>34</v>
      </c>
      <c r="C19" s="6" t="s">
        <v>2</v>
      </c>
      <c r="D19" s="7" t="s">
        <v>76</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3">$D23-$C23</f>
        <v>0</v>
      </c>
      <c r="F23" s="4"/>
      <c r="G23" s="4"/>
      <c r="H23" s="4"/>
      <c r="I23" s="4"/>
      <c r="J23" s="4"/>
      <c r="K23" s="4"/>
      <c r="L23" s="4"/>
    </row>
    <row r="24">
      <c r="A24" s="35"/>
      <c r="B24" s="32">
        <v>2.0</v>
      </c>
      <c r="C24" s="33"/>
      <c r="D24" s="33"/>
      <c r="E24" s="34">
        <f t="shared" si="3"/>
        <v>0</v>
      </c>
      <c r="F24" s="4"/>
      <c r="G24" s="3"/>
      <c r="H24" s="4"/>
      <c r="I24" s="4"/>
      <c r="J24" s="4"/>
      <c r="K24" s="4"/>
      <c r="L24" s="4"/>
    </row>
    <row r="25">
      <c r="A25" s="35"/>
      <c r="B25" s="32">
        <v>3.0</v>
      </c>
      <c r="C25" s="33"/>
      <c r="D25" s="33"/>
      <c r="E25" s="34">
        <f t="shared" si="3"/>
        <v>0</v>
      </c>
      <c r="F25" s="4"/>
      <c r="G25" s="4"/>
      <c r="H25" s="4"/>
      <c r="I25" s="4"/>
      <c r="J25" s="4"/>
      <c r="K25" s="4"/>
      <c r="L25" s="4"/>
    </row>
    <row r="26">
      <c r="A26" s="35"/>
      <c r="B26" s="32">
        <v>4.0</v>
      </c>
      <c r="C26" s="33"/>
      <c r="D26" s="33"/>
      <c r="E26" s="34">
        <f t="shared" si="3"/>
        <v>0</v>
      </c>
      <c r="F26" s="4"/>
      <c r="G26" s="4"/>
      <c r="H26" s="4"/>
      <c r="I26" s="4"/>
      <c r="J26" s="4"/>
      <c r="K26" s="4"/>
      <c r="L26" s="4"/>
    </row>
    <row r="27">
      <c r="A27" s="35"/>
      <c r="B27" s="32">
        <v>5.0</v>
      </c>
      <c r="C27" s="33">
        <f>C8+(B27*C17)+C13+C9</f>
        <v>30032</v>
      </c>
      <c r="D27" s="33">
        <f>D8+(D17*B27)+D13+D9</f>
        <v>31107.39455</v>
      </c>
      <c r="E27" s="34">
        <f t="shared" si="3"/>
        <v>1075.394545</v>
      </c>
      <c r="F27" s="4"/>
      <c r="G27" s="3"/>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0</v>
      </c>
      <c r="F29" s="4"/>
      <c r="G29" s="4"/>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3">
    <mergeCell ref="J10:L10"/>
    <mergeCell ref="B1:D1"/>
    <mergeCell ref="G3:G8"/>
  </mergeCells>
  <hyperlinks>
    <hyperlink r:id="rId1" ref="J3"/>
    <hyperlink r:id="rId2" ref="J7"/>
    <hyperlink r:id="rId3" ref="J8"/>
    <hyperlink r:id="rId4" ref="E9"/>
    <hyperlink r:id="rId5" ref="E10"/>
    <hyperlink r:id="rId6" ref="J10"/>
    <hyperlink r:id="rId7" location="style=401773860" ref="E13"/>
    <hyperlink r:id="rId8" ref="F13"/>
    <hyperlink r:id="rId9" ref="E14"/>
  </hyperlinks>
  <drawing r:id="rId10"/>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9" t="s">
        <v>74</v>
      </c>
      <c r="E1" s="3"/>
      <c r="F1" s="4"/>
      <c r="G1" s="4"/>
      <c r="H1" s="4"/>
      <c r="I1" s="4"/>
      <c r="J1" s="4"/>
      <c r="K1" s="4"/>
      <c r="L1" s="4"/>
    </row>
    <row r="2">
      <c r="A2" s="46"/>
      <c r="B2" s="5" t="s">
        <v>53</v>
      </c>
      <c r="C2" s="6" t="s">
        <v>37</v>
      </c>
      <c r="D2" s="7" t="s">
        <v>83</v>
      </c>
      <c r="E2" s="3"/>
      <c r="F2" s="4"/>
      <c r="G2" s="4"/>
      <c r="H2" s="4"/>
      <c r="I2" s="4" t="s">
        <v>5</v>
      </c>
      <c r="J2" s="4"/>
      <c r="K2" s="4"/>
      <c r="L2" s="4"/>
    </row>
    <row r="3">
      <c r="A3" s="8"/>
      <c r="B3" s="9" t="s">
        <v>7</v>
      </c>
      <c r="C3" s="10">
        <v>38990.0</v>
      </c>
      <c r="D3" s="10">
        <v>23400.0</v>
      </c>
      <c r="E3" s="10">
        <v>23400.0</v>
      </c>
      <c r="F3" s="11">
        <v>20000.0</v>
      </c>
      <c r="G3" s="9" t="s">
        <v>8</v>
      </c>
      <c r="H3" s="4"/>
      <c r="I3" s="4" t="s">
        <v>9</v>
      </c>
      <c r="J3" s="12" t="s">
        <v>10</v>
      </c>
      <c r="K3" s="4"/>
      <c r="L3" s="4"/>
    </row>
    <row r="4">
      <c r="A4" s="13"/>
      <c r="B4" s="11" t="s">
        <v>39</v>
      </c>
      <c r="C4" s="10">
        <f t="shared" ref="C4:E4" si="1">C3*0.07</f>
        <v>2729.3</v>
      </c>
      <c r="D4" s="17">
        <f t="shared" si="1"/>
        <v>1638</v>
      </c>
      <c r="E4" s="17">
        <f t="shared" si="1"/>
        <v>1638</v>
      </c>
      <c r="F4" s="11"/>
      <c r="H4" s="4"/>
      <c r="I4" s="4"/>
      <c r="J4" s="12"/>
      <c r="K4" s="4"/>
      <c r="L4" s="4"/>
    </row>
    <row r="5">
      <c r="A5" s="13"/>
      <c r="B5" s="11" t="s">
        <v>40</v>
      </c>
      <c r="C5" s="10">
        <v>1200.0</v>
      </c>
      <c r="D5" s="10">
        <v>920.0</v>
      </c>
      <c r="E5" s="10">
        <v>920.0</v>
      </c>
      <c r="F5" s="11"/>
      <c r="H5" s="4"/>
      <c r="I5" s="4"/>
      <c r="J5" s="12"/>
      <c r="K5" s="4"/>
      <c r="L5" s="4"/>
    </row>
    <row r="6">
      <c r="A6" s="13"/>
      <c r="B6" s="11" t="s">
        <v>11</v>
      </c>
      <c r="C6" s="10">
        <f>C3*0.487</f>
        <v>18988.13</v>
      </c>
      <c r="D6" s="17">
        <f>SUM(D3)*0.412</f>
        <v>9640.8</v>
      </c>
      <c r="E6" s="38">
        <f>SUM(E3:E5)-5000</f>
        <v>20958</v>
      </c>
      <c r="F6" s="11"/>
      <c r="H6" s="4"/>
      <c r="I6" s="4"/>
      <c r="J6" s="12"/>
      <c r="K6" s="4"/>
      <c r="L6" s="4"/>
    </row>
    <row r="7">
      <c r="A7" s="13"/>
      <c r="B7" s="16" t="s">
        <v>13</v>
      </c>
      <c r="C7" s="10">
        <v>-1875.0</v>
      </c>
      <c r="D7" s="17">
        <v>0.0</v>
      </c>
      <c r="E7" s="15"/>
      <c r="F7" s="11">
        <v>1.3</v>
      </c>
      <c r="H7" s="4"/>
      <c r="I7" s="4" t="s">
        <v>14</v>
      </c>
      <c r="J7" s="12" t="s">
        <v>15</v>
      </c>
      <c r="K7" s="4"/>
      <c r="L7" s="4"/>
    </row>
    <row r="8">
      <c r="A8" s="13"/>
      <c r="B8" s="3" t="s">
        <v>60</v>
      </c>
      <c r="C8" s="22">
        <f>C3+C7-C6+C4+C5</f>
        <v>22056.17</v>
      </c>
      <c r="D8" s="22">
        <f>D3+D7-D6+D4</f>
        <v>15397.2</v>
      </c>
      <c r="E8" s="19"/>
      <c r="F8" s="11">
        <v>0.0</v>
      </c>
      <c r="H8" s="4"/>
      <c r="I8" s="4" t="s">
        <v>17</v>
      </c>
      <c r="J8" s="12" t="s">
        <v>18</v>
      </c>
      <c r="K8" s="4"/>
      <c r="L8" s="4"/>
    </row>
    <row r="9">
      <c r="A9" s="8"/>
      <c r="B9" s="39" t="s">
        <v>61</v>
      </c>
      <c r="C9" s="40">
        <v>4238.33</v>
      </c>
      <c r="D9" s="40">
        <v>2200.41</v>
      </c>
      <c r="E9" s="43" t="s">
        <v>77</v>
      </c>
      <c r="F9" s="4"/>
      <c r="G9" s="4"/>
      <c r="H9" s="4"/>
      <c r="I9" s="4"/>
      <c r="J9" s="12"/>
      <c r="K9" s="12"/>
      <c r="L9" s="12"/>
    </row>
    <row r="10">
      <c r="A10" s="8"/>
      <c r="B10" s="9" t="s">
        <v>20</v>
      </c>
      <c r="C10" s="14" t="s">
        <v>21</v>
      </c>
      <c r="D10" s="14">
        <v>3.1</v>
      </c>
      <c r="E10" s="43" t="s">
        <v>78</v>
      </c>
      <c r="F10" s="4"/>
      <c r="G10" s="4"/>
      <c r="H10" s="4"/>
      <c r="I10" s="4" t="s">
        <v>22</v>
      </c>
      <c r="J10" s="12" t="s">
        <v>23</v>
      </c>
    </row>
    <row r="11">
      <c r="A11" s="8"/>
      <c r="B11" s="11" t="s">
        <v>63</v>
      </c>
      <c r="C11" s="14">
        <v>0.13</v>
      </c>
      <c r="D11" s="14" t="s">
        <v>21</v>
      </c>
      <c r="E11" s="20"/>
      <c r="F11" s="4"/>
      <c r="G11" s="4"/>
      <c r="H11" s="4"/>
    </row>
    <row r="12">
      <c r="A12" s="8"/>
      <c r="B12" s="11" t="s">
        <v>25</v>
      </c>
      <c r="C12" s="21">
        <v>15000.0</v>
      </c>
      <c r="D12" s="50">
        <v>15000.0</v>
      </c>
      <c r="E12" s="3"/>
      <c r="F12" s="4"/>
      <c r="G12" s="4"/>
      <c r="H12" s="4"/>
    </row>
    <row r="13">
      <c r="A13" s="8"/>
      <c r="B13" s="3" t="s">
        <v>42</v>
      </c>
      <c r="C13" s="41">
        <v>1300.0</v>
      </c>
      <c r="D13" s="41">
        <v>3408.0</v>
      </c>
      <c r="E13" s="42" t="s">
        <v>86</v>
      </c>
      <c r="F13" s="43" t="s">
        <v>81</v>
      </c>
      <c r="G13" s="4"/>
      <c r="H13" s="4"/>
      <c r="I13" s="4"/>
      <c r="J13" s="4"/>
      <c r="K13" s="4"/>
      <c r="L13" s="4"/>
    </row>
    <row r="14">
      <c r="A14" s="8"/>
      <c r="B14" s="11" t="s">
        <v>64</v>
      </c>
      <c r="C14" s="23">
        <v>4.0</v>
      </c>
      <c r="D14" s="23">
        <v>33.0</v>
      </c>
      <c r="E14" s="43" t="s">
        <v>82</v>
      </c>
      <c r="F14" s="4"/>
      <c r="G14" s="4"/>
      <c r="H14" s="4"/>
      <c r="I14" s="4"/>
      <c r="J14" s="4"/>
      <c r="K14" s="4"/>
      <c r="L14" s="4"/>
    </row>
    <row r="15">
      <c r="A15" s="8"/>
      <c r="B15" s="51" t="s">
        <v>65</v>
      </c>
      <c r="C15" s="52" t="s">
        <v>21</v>
      </c>
      <c r="D15" s="53">
        <f>D12/D14</f>
        <v>454.5454545</v>
      </c>
      <c r="E15" s="4"/>
      <c r="F15" s="4"/>
      <c r="G15" s="4"/>
      <c r="H15" s="4"/>
      <c r="I15" s="4"/>
      <c r="J15" s="4"/>
      <c r="K15" s="4"/>
      <c r="L15" s="4"/>
    </row>
    <row r="16">
      <c r="A16" s="8"/>
      <c r="B16" s="54" t="s">
        <v>66</v>
      </c>
      <c r="C16" s="53">
        <f>C12/C14</f>
        <v>3750</v>
      </c>
      <c r="D16" s="52" t="s">
        <v>21</v>
      </c>
      <c r="E16" s="4"/>
      <c r="F16" s="4"/>
      <c r="G16" s="4"/>
      <c r="H16" s="4"/>
      <c r="I16" s="4"/>
      <c r="J16" s="4"/>
      <c r="K16" s="4"/>
      <c r="L16" s="4"/>
    </row>
    <row r="17">
      <c r="A17" s="8"/>
      <c r="B17" s="4" t="s">
        <v>67</v>
      </c>
      <c r="C17" s="27">
        <f>C11*C16</f>
        <v>487.5</v>
      </c>
      <c r="D17" s="18">
        <f>D15*D10</f>
        <v>1409.090909</v>
      </c>
      <c r="E17" s="4"/>
      <c r="F17" s="4"/>
      <c r="G17" s="3"/>
      <c r="H17" s="4"/>
      <c r="I17" s="4"/>
      <c r="J17" s="4"/>
      <c r="K17" s="4"/>
      <c r="L17" s="4"/>
    </row>
    <row r="18">
      <c r="A18" s="8"/>
      <c r="B18" s="28" t="s">
        <v>33</v>
      </c>
      <c r="C18" s="29">
        <f t="shared" ref="C18:D18" si="2">C27</f>
        <v>30032</v>
      </c>
      <c r="D18" s="29">
        <f t="shared" si="2"/>
        <v>28051.06455</v>
      </c>
      <c r="E18" s="30"/>
      <c r="F18" s="4"/>
      <c r="G18" s="3"/>
      <c r="H18" s="4"/>
      <c r="I18" s="4"/>
      <c r="J18" s="4"/>
      <c r="K18" s="4"/>
      <c r="L18" s="4"/>
    </row>
    <row r="19">
      <c r="A19" s="4"/>
      <c r="B19" s="31" t="s">
        <v>34</v>
      </c>
      <c r="C19" s="6" t="s">
        <v>2</v>
      </c>
      <c r="D19" s="7" t="s">
        <v>83</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3">$D23-$C23</f>
        <v>0</v>
      </c>
      <c r="F23" s="4"/>
      <c r="G23" s="4"/>
      <c r="H23" s="4"/>
      <c r="I23" s="4"/>
      <c r="J23" s="4"/>
      <c r="K23" s="4"/>
      <c r="L23" s="4"/>
    </row>
    <row r="24">
      <c r="A24" s="35"/>
      <c r="B24" s="32">
        <v>2.0</v>
      </c>
      <c r="C24" s="33"/>
      <c r="D24" s="33"/>
      <c r="E24" s="34">
        <f t="shared" si="3"/>
        <v>0</v>
      </c>
      <c r="F24" s="4"/>
      <c r="G24" s="3"/>
      <c r="H24" s="4"/>
      <c r="I24" s="4"/>
      <c r="J24" s="4"/>
      <c r="K24" s="4"/>
      <c r="L24" s="4"/>
    </row>
    <row r="25">
      <c r="A25" s="35"/>
      <c r="B25" s="32">
        <v>3.0</v>
      </c>
      <c r="C25" s="33"/>
      <c r="D25" s="33"/>
      <c r="E25" s="34">
        <f t="shared" si="3"/>
        <v>0</v>
      </c>
      <c r="F25" s="4"/>
      <c r="G25" s="4"/>
      <c r="H25" s="4"/>
      <c r="I25" s="4"/>
      <c r="J25" s="4"/>
      <c r="K25" s="4"/>
      <c r="L25" s="4"/>
    </row>
    <row r="26">
      <c r="A26" s="35"/>
      <c r="B26" s="32">
        <v>4.0</v>
      </c>
      <c r="C26" s="33"/>
      <c r="D26" s="33"/>
      <c r="E26" s="34">
        <f t="shared" si="3"/>
        <v>0</v>
      </c>
      <c r="F26" s="4"/>
      <c r="G26" s="4"/>
      <c r="H26" s="4"/>
      <c r="I26" s="4"/>
      <c r="J26" s="4"/>
      <c r="K26" s="4"/>
      <c r="L26" s="4"/>
    </row>
    <row r="27">
      <c r="A27" s="35"/>
      <c r="B27" s="32">
        <v>5.0</v>
      </c>
      <c r="C27" s="33">
        <f>C8+(B27*C17)+C13+C9</f>
        <v>30032</v>
      </c>
      <c r="D27" s="33">
        <f>D8+(D17*B27)+D13+D9</f>
        <v>28051.06455</v>
      </c>
      <c r="E27" s="34">
        <f t="shared" si="3"/>
        <v>-1980.935455</v>
      </c>
      <c r="F27" s="4"/>
      <c r="G27" s="3"/>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0</v>
      </c>
      <c r="F29" s="4"/>
      <c r="G29" s="4"/>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3">
    <mergeCell ref="J10:L10"/>
    <mergeCell ref="B1:D1"/>
    <mergeCell ref="G3:G8"/>
  </mergeCells>
  <hyperlinks>
    <hyperlink r:id="rId1" ref="J3"/>
    <hyperlink r:id="rId2" ref="J7"/>
    <hyperlink r:id="rId3" ref="J8"/>
    <hyperlink r:id="rId4" ref="E9"/>
    <hyperlink r:id="rId5" ref="E10"/>
    <hyperlink r:id="rId6" ref="J10"/>
    <hyperlink r:id="rId7" location="style=401773862" ref="E13"/>
    <hyperlink r:id="rId8" ref="F13"/>
    <hyperlink r:id="rId9" ref="E14"/>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2.86"/>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2</v>
      </c>
      <c r="D3" s="7" t="s">
        <v>3</v>
      </c>
      <c r="E3" s="3"/>
      <c r="F3" s="4"/>
      <c r="G3" s="4"/>
      <c r="H3" s="4"/>
      <c r="I3" s="4" t="s">
        <v>5</v>
      </c>
      <c r="J3" s="4"/>
      <c r="K3" s="4"/>
      <c r="L3" s="4"/>
    </row>
    <row r="4">
      <c r="A4" s="8"/>
      <c r="B4" s="9" t="s">
        <v>7</v>
      </c>
      <c r="C4" s="10">
        <v>39500.0</v>
      </c>
      <c r="D4" s="10">
        <v>29025.0</v>
      </c>
      <c r="E4" s="3"/>
      <c r="F4" s="11">
        <v>20000.0</v>
      </c>
      <c r="G4" s="9" t="s">
        <v>8</v>
      </c>
      <c r="H4" s="4"/>
      <c r="I4" s="4" t="s">
        <v>9</v>
      </c>
      <c r="J4" s="12" t="s">
        <v>10</v>
      </c>
      <c r="K4" s="4"/>
      <c r="L4" s="4"/>
    </row>
    <row r="5">
      <c r="A5" s="13"/>
      <c r="B5" s="11" t="s">
        <v>11</v>
      </c>
      <c r="C5" s="14">
        <f>C4*0.487</f>
        <v>19236.5</v>
      </c>
      <c r="D5" s="14">
        <f>D4*0.362</f>
        <v>10507.05</v>
      </c>
      <c r="E5" s="15"/>
      <c r="F5" s="11"/>
      <c r="H5" s="4"/>
      <c r="I5" s="4"/>
      <c r="J5" s="12"/>
      <c r="K5" s="4"/>
      <c r="L5" s="4"/>
    </row>
    <row r="6">
      <c r="A6" s="13"/>
      <c r="B6" s="11" t="s">
        <v>12</v>
      </c>
      <c r="C6" s="14">
        <f t="shared" ref="C6:D6" si="1">C4-C5</f>
        <v>20263.5</v>
      </c>
      <c r="D6" s="14">
        <f t="shared" si="1"/>
        <v>18517.95</v>
      </c>
      <c r="E6" s="15"/>
      <c r="F6" s="11"/>
      <c r="H6" s="4"/>
      <c r="I6" s="4"/>
      <c r="J6" s="12"/>
      <c r="K6" s="4"/>
      <c r="L6" s="4"/>
    </row>
    <row r="7">
      <c r="A7" s="13"/>
      <c r="B7" s="16" t="s">
        <v>13</v>
      </c>
      <c r="C7" s="10">
        <v>-3750.0</v>
      </c>
      <c r="D7" s="17">
        <v>0.0</v>
      </c>
      <c r="E7" s="15"/>
      <c r="F7" s="11">
        <v>1.3</v>
      </c>
      <c r="H7" s="4"/>
      <c r="I7" s="4" t="s">
        <v>14</v>
      </c>
      <c r="J7" s="12" t="s">
        <v>15</v>
      </c>
      <c r="K7" s="4"/>
      <c r="L7" s="4"/>
    </row>
    <row r="8">
      <c r="A8" s="13"/>
      <c r="B8" s="3" t="s">
        <v>16</v>
      </c>
      <c r="C8" s="18">
        <f t="shared" ref="C8:D8" si="2">SUM(C6:C7)</f>
        <v>16513.5</v>
      </c>
      <c r="D8" s="18">
        <f t="shared" si="2"/>
        <v>18517.95</v>
      </c>
      <c r="E8" s="19"/>
      <c r="F8" s="11">
        <v>0.0</v>
      </c>
      <c r="H8" s="4"/>
      <c r="I8" s="4" t="s">
        <v>17</v>
      </c>
      <c r="J8" s="12" t="s">
        <v>18</v>
      </c>
      <c r="K8" s="4"/>
      <c r="L8" s="4"/>
    </row>
    <row r="9">
      <c r="A9" s="8"/>
      <c r="B9" s="11" t="s">
        <v>19</v>
      </c>
      <c r="C9" s="14">
        <v>5039.41</v>
      </c>
      <c r="D9" s="14">
        <v>3509.33</v>
      </c>
      <c r="E9" s="3"/>
      <c r="F9" s="4"/>
      <c r="G9" s="4"/>
      <c r="H9" s="4"/>
      <c r="I9" s="4"/>
      <c r="J9" s="12"/>
      <c r="K9" s="12"/>
      <c r="L9" s="12"/>
    </row>
    <row r="10">
      <c r="A10" s="8"/>
      <c r="B10" s="11" t="s">
        <v>20</v>
      </c>
      <c r="C10" s="14" t="s">
        <v>21</v>
      </c>
      <c r="D10" s="14">
        <v>3.0</v>
      </c>
      <c r="E10" s="3"/>
      <c r="F10" s="4"/>
      <c r="G10" s="4"/>
      <c r="H10" s="4"/>
      <c r="I10" s="4" t="s">
        <v>22</v>
      </c>
      <c r="J10" s="12" t="s">
        <v>23</v>
      </c>
    </row>
    <row r="11">
      <c r="A11" s="8"/>
      <c r="B11" s="11" t="s">
        <v>24</v>
      </c>
      <c r="C11" s="14">
        <v>0.1</v>
      </c>
      <c r="D11" s="14" t="s">
        <v>21</v>
      </c>
      <c r="E11" s="20"/>
      <c r="F11" s="4"/>
      <c r="G11" s="4"/>
      <c r="H11" s="4"/>
    </row>
    <row r="12">
      <c r="A12" s="8"/>
      <c r="B12" s="11" t="s">
        <v>25</v>
      </c>
      <c r="C12" s="21">
        <v>13500.0</v>
      </c>
      <c r="D12" s="21">
        <v>13500.0</v>
      </c>
      <c r="E12" s="3"/>
      <c r="F12" s="4"/>
      <c r="G12" s="4"/>
      <c r="H12" s="4"/>
    </row>
    <row r="13">
      <c r="A13" s="8"/>
      <c r="B13" s="11" t="s">
        <v>26</v>
      </c>
      <c r="C13" s="10">
        <v>0.0</v>
      </c>
      <c r="D13" s="10">
        <v>0.0</v>
      </c>
      <c r="E13" s="3"/>
      <c r="F13" s="4"/>
      <c r="G13" s="4"/>
      <c r="H13" s="4"/>
      <c r="I13" s="4"/>
      <c r="J13" s="12"/>
    </row>
    <row r="14">
      <c r="A14" s="8"/>
      <c r="B14" s="4" t="s">
        <v>27</v>
      </c>
      <c r="C14" s="22">
        <f t="shared" ref="C14:D14" si="3">C13*C12</f>
        <v>0</v>
      </c>
      <c r="D14" s="22">
        <f t="shared" si="3"/>
        <v>0</v>
      </c>
      <c r="E14" s="19"/>
      <c r="F14" s="4"/>
      <c r="G14" s="4"/>
      <c r="H14" s="4"/>
      <c r="I14" s="4"/>
      <c r="J14" s="4"/>
      <c r="K14" s="4"/>
      <c r="L14" s="4"/>
    </row>
    <row r="15">
      <c r="A15" s="8"/>
      <c r="B15" s="11" t="s">
        <v>28</v>
      </c>
      <c r="C15" s="23">
        <v>4.0</v>
      </c>
      <c r="D15" s="23">
        <v>32.0</v>
      </c>
      <c r="E15" s="3"/>
      <c r="F15" s="4"/>
      <c r="G15" s="4"/>
      <c r="H15" s="4"/>
      <c r="I15" s="4"/>
      <c r="J15" s="4"/>
      <c r="K15" s="4"/>
      <c r="L15" s="4"/>
    </row>
    <row r="16">
      <c r="A16" s="8"/>
      <c r="B16" s="3" t="s">
        <v>29</v>
      </c>
      <c r="C16" s="24" t="s">
        <v>21</v>
      </c>
      <c r="D16" s="25">
        <f>D12/D15</f>
        <v>421.875</v>
      </c>
      <c r="E16" s="4"/>
      <c r="F16" s="4"/>
      <c r="G16" s="4"/>
      <c r="H16" s="4"/>
      <c r="I16" s="4"/>
      <c r="J16" s="4"/>
      <c r="K16" s="4"/>
      <c r="L16" s="4"/>
    </row>
    <row r="17">
      <c r="A17" s="8"/>
      <c r="B17" s="3" t="s">
        <v>30</v>
      </c>
      <c r="C17" s="26">
        <f>C12/C15</f>
        <v>3375</v>
      </c>
      <c r="D17" s="24" t="s">
        <v>21</v>
      </c>
      <c r="E17" s="4"/>
      <c r="F17" s="4"/>
      <c r="G17" s="4"/>
      <c r="H17" s="4"/>
      <c r="I17" s="4"/>
      <c r="J17" s="4"/>
      <c r="K17" s="4"/>
      <c r="L17" s="4"/>
    </row>
    <row r="18">
      <c r="A18" s="8"/>
      <c r="B18" s="3" t="s">
        <v>32</v>
      </c>
      <c r="C18" s="27">
        <f>C11*C17</f>
        <v>337.5</v>
      </c>
      <c r="D18" s="18">
        <f>D16*D10</f>
        <v>1265.625</v>
      </c>
      <c r="E18" s="4"/>
      <c r="F18" s="4"/>
      <c r="G18" s="3"/>
      <c r="H18" s="4"/>
      <c r="I18" s="4"/>
      <c r="J18" s="4"/>
      <c r="K18" s="4"/>
      <c r="L18" s="4"/>
    </row>
    <row r="19">
      <c r="A19" s="8"/>
      <c r="B19" s="28" t="s">
        <v>33</v>
      </c>
      <c r="C19" s="29">
        <f t="shared" ref="C19:D19" si="4">C28</f>
        <v>23240.41</v>
      </c>
      <c r="D19" s="29">
        <f t="shared" si="4"/>
        <v>28355.405</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3</v>
      </c>
      <c r="E23" s="6" t="s">
        <v>35</v>
      </c>
      <c r="F23" s="4"/>
      <c r="G23" s="4"/>
      <c r="H23" s="4"/>
      <c r="I23" s="4"/>
      <c r="J23" s="4"/>
      <c r="K23" s="4"/>
      <c r="L23" s="4"/>
    </row>
    <row r="24">
      <c r="A24" s="31"/>
      <c r="B24" s="32">
        <v>1.0</v>
      </c>
      <c r="C24" s="33"/>
      <c r="D24" s="33"/>
      <c r="E24" s="34">
        <f t="shared" ref="E24:E33" si="5">$D24-$C24</f>
        <v>0</v>
      </c>
      <c r="F24" s="4"/>
      <c r="G24" s="4"/>
      <c r="H24" s="4"/>
      <c r="I24" s="4"/>
      <c r="J24" s="4"/>
      <c r="K24" s="4"/>
      <c r="L24" s="4"/>
    </row>
    <row r="25">
      <c r="A25" s="35"/>
      <c r="B25" s="32">
        <v>2.0</v>
      </c>
      <c r="C25" s="33"/>
      <c r="D25" s="33"/>
      <c r="E25" s="34">
        <f t="shared" si="5"/>
        <v>0</v>
      </c>
      <c r="F25" s="4"/>
      <c r="G25" s="3"/>
      <c r="H25" s="4"/>
      <c r="I25" s="4"/>
      <c r="J25" s="4"/>
      <c r="K25" s="4"/>
      <c r="L25" s="4"/>
    </row>
    <row r="26">
      <c r="A26" s="35"/>
      <c r="B26" s="32">
        <v>3.0</v>
      </c>
      <c r="C26" s="33">
        <f>C8+(B26*C18)+(C14*B26)</f>
        <v>17526</v>
      </c>
      <c r="D26" s="33">
        <f>D8+(D18*B26)+(D14*B26)</f>
        <v>22314.825</v>
      </c>
      <c r="E26" s="34">
        <f t="shared" si="5"/>
        <v>4788.825</v>
      </c>
      <c r="F26" s="4"/>
      <c r="G26" s="4"/>
      <c r="H26" s="4"/>
      <c r="I26" s="4"/>
      <c r="J26" s="4"/>
      <c r="K26" s="4"/>
      <c r="L26" s="4"/>
    </row>
    <row r="27">
      <c r="A27" s="35"/>
      <c r="B27" s="32">
        <v>4.0</v>
      </c>
      <c r="C27" s="33"/>
      <c r="D27" s="33"/>
      <c r="E27" s="34">
        <f t="shared" si="5"/>
        <v>0</v>
      </c>
      <c r="F27" s="4"/>
      <c r="G27" s="4"/>
      <c r="H27" s="4"/>
      <c r="I27" s="4"/>
      <c r="J27" s="4"/>
      <c r="K27" s="4"/>
      <c r="L27" s="4"/>
    </row>
    <row r="28">
      <c r="A28" s="35"/>
      <c r="B28" s="35">
        <v>5.0</v>
      </c>
      <c r="C28" s="36">
        <f>C8+(B28*C18)+(C14*B28)+C9</f>
        <v>23240.41</v>
      </c>
      <c r="D28" s="36">
        <f>D8+(D18*B28)+(D14*B28)+D9</f>
        <v>28355.405</v>
      </c>
      <c r="E28" s="34">
        <f t="shared" si="5"/>
        <v>5114.995</v>
      </c>
      <c r="F28" s="4"/>
      <c r="G28" s="3"/>
      <c r="H28" s="4"/>
      <c r="I28" s="4"/>
      <c r="J28" s="4"/>
      <c r="K28" s="4"/>
      <c r="L28" s="4"/>
    </row>
    <row r="29">
      <c r="A29" s="35"/>
      <c r="B29" s="32">
        <v>6.0</v>
      </c>
      <c r="C29" s="33">
        <f>C8+(B29*C18)+(C14*B29)</f>
        <v>18538.5</v>
      </c>
      <c r="D29" s="33">
        <f>D8+(D18*B29)+(D14*B29)+480</f>
        <v>26591.7</v>
      </c>
      <c r="E29" s="34">
        <f t="shared" si="5"/>
        <v>8053.2</v>
      </c>
      <c r="F29" s="4"/>
      <c r="G29" s="4"/>
      <c r="H29" s="4"/>
      <c r="I29" s="4"/>
      <c r="J29" s="4"/>
      <c r="K29" s="4"/>
      <c r="L29" s="4"/>
    </row>
    <row r="30">
      <c r="A30" s="35"/>
      <c r="B30" s="32">
        <v>7.0</v>
      </c>
      <c r="C30" s="33">
        <f>C8+(B30*C18)+(C14*B30)</f>
        <v>18876</v>
      </c>
      <c r="D30" s="33">
        <f>D8+(D18*B30)+(D14*B30)+480</f>
        <v>27857.325</v>
      </c>
      <c r="E30" s="34">
        <f t="shared" si="5"/>
        <v>8981.325</v>
      </c>
      <c r="F30" s="4"/>
      <c r="G30" s="4"/>
      <c r="H30" s="4"/>
      <c r="I30" s="4"/>
      <c r="J30" s="4"/>
      <c r="K30" s="4"/>
      <c r="L30" s="4"/>
    </row>
    <row r="31">
      <c r="A31" s="35"/>
      <c r="B31" s="32">
        <v>8.0</v>
      </c>
      <c r="C31" s="33">
        <f>C8+(B31*C18)+(C14*B31)</f>
        <v>19213.5</v>
      </c>
      <c r="D31" s="33">
        <f>D8+(D18*B31)+(D14*B31)+480</f>
        <v>29122.95</v>
      </c>
      <c r="E31" s="34">
        <f t="shared" si="5"/>
        <v>9909.45</v>
      </c>
      <c r="F31" s="4"/>
      <c r="G31" s="4"/>
      <c r="H31" s="4"/>
      <c r="I31" s="4"/>
      <c r="J31" s="4"/>
      <c r="K31" s="4"/>
      <c r="L31" s="4"/>
    </row>
    <row r="32">
      <c r="A32" s="35"/>
      <c r="B32" s="32">
        <v>9.0</v>
      </c>
      <c r="C32" s="33">
        <f>C8+(B32*C18)+(C14*B32)+C19</f>
        <v>42791.41</v>
      </c>
      <c r="D32" s="33">
        <f>D8+(D18*B32)+(D14*B32)+480</f>
        <v>30388.575</v>
      </c>
      <c r="E32" s="34">
        <f t="shared" si="5"/>
        <v>-12402.835</v>
      </c>
      <c r="F32" s="4"/>
      <c r="G32" s="4"/>
      <c r="H32" s="4"/>
      <c r="I32" s="4"/>
      <c r="J32" s="4"/>
      <c r="K32" s="4"/>
      <c r="L32" s="4"/>
    </row>
    <row r="33">
      <c r="A33" s="35"/>
      <c r="B33" s="32">
        <v>10.0</v>
      </c>
      <c r="C33" s="33">
        <f>C8+(B33*C18)+(C14*B33)+C19</f>
        <v>43128.91</v>
      </c>
      <c r="D33" s="33">
        <f>D8+(D18*B33)+(D14*B33)+480</f>
        <v>31654.2</v>
      </c>
      <c r="E33" s="34">
        <f t="shared" si="5"/>
        <v>-11474.71</v>
      </c>
      <c r="F33" s="4"/>
      <c r="G33" s="4"/>
      <c r="H33" s="4"/>
      <c r="I33" s="4"/>
      <c r="J33" s="4"/>
      <c r="K33" s="4"/>
      <c r="L33" s="4"/>
    </row>
    <row r="34">
      <c r="A34" s="35"/>
      <c r="B34" s="35"/>
      <c r="C34" s="37"/>
      <c r="D34" s="37"/>
      <c r="E34" s="4"/>
      <c r="F34" s="4"/>
      <c r="G34" s="4"/>
      <c r="H34" s="4"/>
      <c r="I34" s="4"/>
      <c r="J34" s="4"/>
      <c r="K34" s="4"/>
      <c r="L34" s="4"/>
    </row>
    <row r="35">
      <c r="A35" s="35"/>
      <c r="B35" s="35"/>
      <c r="C35" s="37"/>
      <c r="D35" s="37">
        <f>C33-D33</f>
        <v>11474.71</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5">
    <mergeCell ref="J13:L13"/>
    <mergeCell ref="J10:L10"/>
    <mergeCell ref="G4:G8"/>
    <mergeCell ref="B1:D1"/>
    <mergeCell ref="B2:D2"/>
  </mergeCells>
  <hyperlinks>
    <hyperlink r:id="rId1" ref="J4"/>
    <hyperlink r:id="rId2" ref="J7"/>
    <hyperlink r:id="rId3" ref="J8"/>
    <hyperlink r:id="rId4" ref="J10"/>
  </hyperlinks>
  <drawing r:id="rId5"/>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9" t="s">
        <v>74</v>
      </c>
      <c r="E1" s="3"/>
      <c r="F1" s="4"/>
      <c r="G1" s="4"/>
      <c r="H1" s="4"/>
      <c r="I1" s="4"/>
      <c r="J1" s="4"/>
      <c r="K1" s="4"/>
      <c r="L1" s="4"/>
    </row>
    <row r="2">
      <c r="A2" s="46"/>
      <c r="B2" s="5" t="s">
        <v>53</v>
      </c>
      <c r="C2" s="6" t="s">
        <v>37</v>
      </c>
      <c r="D2" s="7" t="s">
        <v>84</v>
      </c>
      <c r="E2" s="3"/>
      <c r="F2" s="4"/>
      <c r="G2" s="4"/>
      <c r="H2" s="4"/>
      <c r="I2" s="4" t="s">
        <v>5</v>
      </c>
      <c r="J2" s="4"/>
      <c r="K2" s="4"/>
      <c r="L2" s="4"/>
    </row>
    <row r="3">
      <c r="A3" s="8"/>
      <c r="B3" s="9" t="s">
        <v>7</v>
      </c>
      <c r="C3" s="10">
        <v>38990.0</v>
      </c>
      <c r="D3" s="10">
        <v>20250.0</v>
      </c>
      <c r="E3" s="10">
        <v>20250.0</v>
      </c>
      <c r="F3" s="11">
        <v>20000.0</v>
      </c>
      <c r="G3" s="9" t="s">
        <v>8</v>
      </c>
      <c r="H3" s="4"/>
      <c r="I3" s="4" t="s">
        <v>9</v>
      </c>
      <c r="J3" s="12" t="s">
        <v>10</v>
      </c>
      <c r="K3" s="4"/>
      <c r="L3" s="4"/>
    </row>
    <row r="4">
      <c r="A4" s="13"/>
      <c r="B4" s="11" t="s">
        <v>39</v>
      </c>
      <c r="C4" s="10">
        <f>C3*0.07</f>
        <v>2729.3</v>
      </c>
      <c r="D4" s="17">
        <f t="shared" ref="D4:E4" si="1">(D3)*0.07</f>
        <v>1417.5</v>
      </c>
      <c r="E4" s="17">
        <f t="shared" si="1"/>
        <v>1417.5</v>
      </c>
      <c r="F4" s="11"/>
      <c r="H4" s="4"/>
      <c r="I4" s="4"/>
      <c r="J4" s="12"/>
      <c r="K4" s="4"/>
      <c r="L4" s="4"/>
    </row>
    <row r="5">
      <c r="A5" s="13"/>
      <c r="B5" s="11" t="s">
        <v>40</v>
      </c>
      <c r="C5" s="10">
        <v>1200.0</v>
      </c>
      <c r="D5" s="10">
        <v>920.0</v>
      </c>
      <c r="E5" s="10">
        <v>920.0</v>
      </c>
      <c r="F5" s="11"/>
      <c r="H5" s="4"/>
      <c r="I5" s="4"/>
      <c r="J5" s="12"/>
      <c r="K5" s="4"/>
      <c r="L5" s="4"/>
    </row>
    <row r="6">
      <c r="A6" s="13"/>
      <c r="B6" s="11" t="s">
        <v>11</v>
      </c>
      <c r="C6" s="10">
        <f>C3*0.487</f>
        <v>18988.13</v>
      </c>
      <c r="D6" s="17">
        <f>SUM(D3)*0.412</f>
        <v>8343</v>
      </c>
      <c r="E6" s="38">
        <f>SUM(E3:E5)-5000</f>
        <v>17587.5</v>
      </c>
      <c r="F6" s="11"/>
      <c r="H6" s="4"/>
      <c r="I6" s="4"/>
      <c r="J6" s="12"/>
      <c r="K6" s="4"/>
      <c r="L6" s="4"/>
    </row>
    <row r="7">
      <c r="A7" s="13"/>
      <c r="B7" s="16" t="s">
        <v>13</v>
      </c>
      <c r="C7" s="10">
        <v>-1875.0</v>
      </c>
      <c r="D7" s="17">
        <v>0.0</v>
      </c>
      <c r="E7" s="15"/>
      <c r="F7" s="11">
        <v>1.3</v>
      </c>
      <c r="H7" s="4"/>
      <c r="I7" s="4" t="s">
        <v>14</v>
      </c>
      <c r="J7" s="12" t="s">
        <v>15</v>
      </c>
      <c r="K7" s="4"/>
      <c r="L7" s="4"/>
    </row>
    <row r="8">
      <c r="A8" s="13"/>
      <c r="B8" s="3" t="s">
        <v>60</v>
      </c>
      <c r="C8" s="22">
        <f t="shared" ref="C8:D8" si="2">C3+C7-C6+C4+C5</f>
        <v>22056.17</v>
      </c>
      <c r="D8" s="22">
        <f t="shared" si="2"/>
        <v>14244.5</v>
      </c>
      <c r="E8" s="19"/>
      <c r="F8" s="11">
        <v>0.0</v>
      </c>
      <c r="H8" s="4"/>
      <c r="I8" s="4" t="s">
        <v>17</v>
      </c>
      <c r="J8" s="12" t="s">
        <v>18</v>
      </c>
      <c r="K8" s="4"/>
      <c r="L8" s="4"/>
    </row>
    <row r="9">
      <c r="A9" s="8"/>
      <c r="B9" s="39" t="s">
        <v>61</v>
      </c>
      <c r="C9" s="40">
        <v>4238.33</v>
      </c>
      <c r="D9" s="40">
        <v>1846.59</v>
      </c>
      <c r="E9" s="43" t="s">
        <v>77</v>
      </c>
      <c r="F9" s="4"/>
      <c r="G9" s="4"/>
      <c r="H9" s="4"/>
      <c r="I9" s="4"/>
      <c r="J9" s="12"/>
      <c r="K9" s="12"/>
      <c r="L9" s="12"/>
    </row>
    <row r="10">
      <c r="A10" s="8"/>
      <c r="B10" s="9" t="s">
        <v>20</v>
      </c>
      <c r="C10" s="14" t="s">
        <v>21</v>
      </c>
      <c r="D10" s="14">
        <v>3.1</v>
      </c>
      <c r="E10" s="43" t="s">
        <v>78</v>
      </c>
      <c r="F10" s="4"/>
      <c r="G10" s="4"/>
      <c r="H10" s="4"/>
      <c r="I10" s="4" t="s">
        <v>22</v>
      </c>
      <c r="J10" s="12" t="s">
        <v>23</v>
      </c>
    </row>
    <row r="11">
      <c r="A11" s="8"/>
      <c r="B11" s="11" t="s">
        <v>63</v>
      </c>
      <c r="C11" s="14">
        <v>0.13</v>
      </c>
      <c r="D11" s="14" t="s">
        <v>21</v>
      </c>
      <c r="E11" s="20"/>
      <c r="F11" s="4"/>
      <c r="G11" s="4"/>
      <c r="H11" s="4"/>
    </row>
    <row r="12">
      <c r="A12" s="8"/>
      <c r="B12" s="11" t="s">
        <v>25</v>
      </c>
      <c r="C12" s="21">
        <v>15000.0</v>
      </c>
      <c r="D12" s="50">
        <v>15000.0</v>
      </c>
      <c r="E12" s="3"/>
      <c r="F12" s="4"/>
      <c r="G12" s="4"/>
      <c r="H12" s="4"/>
    </row>
    <row r="13">
      <c r="A13" s="8"/>
      <c r="B13" s="3" t="s">
        <v>42</v>
      </c>
      <c r="C13" s="41">
        <v>1300.0</v>
      </c>
      <c r="D13" s="41">
        <v>3339.0</v>
      </c>
      <c r="E13" s="42" t="s">
        <v>86</v>
      </c>
      <c r="F13" s="43" t="s">
        <v>81</v>
      </c>
      <c r="G13" s="4"/>
      <c r="H13" s="4"/>
      <c r="I13" s="4"/>
      <c r="J13" s="4"/>
      <c r="K13" s="4"/>
      <c r="L13" s="4"/>
    </row>
    <row r="14">
      <c r="A14" s="8"/>
      <c r="B14" s="11" t="s">
        <v>64</v>
      </c>
      <c r="C14" s="23">
        <v>4.0</v>
      </c>
      <c r="D14" s="23">
        <v>33.0</v>
      </c>
      <c r="E14" s="43" t="s">
        <v>82</v>
      </c>
      <c r="F14" s="4"/>
      <c r="G14" s="4"/>
      <c r="H14" s="4"/>
      <c r="I14" s="4"/>
      <c r="J14" s="4"/>
      <c r="K14" s="4"/>
      <c r="L14" s="4"/>
    </row>
    <row r="15">
      <c r="A15" s="8"/>
      <c r="B15" s="51" t="s">
        <v>65</v>
      </c>
      <c r="C15" s="52" t="s">
        <v>21</v>
      </c>
      <c r="D15" s="53">
        <f>D12/D14</f>
        <v>454.5454545</v>
      </c>
      <c r="E15" s="4"/>
      <c r="F15" s="4"/>
      <c r="G15" s="4"/>
      <c r="H15" s="4"/>
      <c r="I15" s="4"/>
      <c r="J15" s="4"/>
      <c r="K15" s="4"/>
      <c r="L15" s="4"/>
    </row>
    <row r="16">
      <c r="A16" s="8"/>
      <c r="B16" s="54" t="s">
        <v>66</v>
      </c>
      <c r="C16" s="53">
        <f>C12/C14</f>
        <v>3750</v>
      </c>
      <c r="D16" s="52" t="s">
        <v>21</v>
      </c>
      <c r="E16" s="4"/>
      <c r="F16" s="4"/>
      <c r="G16" s="4"/>
      <c r="H16" s="4"/>
      <c r="I16" s="4"/>
      <c r="J16" s="4"/>
      <c r="K16" s="4"/>
      <c r="L16" s="4"/>
    </row>
    <row r="17">
      <c r="A17" s="8"/>
      <c r="B17" s="4" t="s">
        <v>67</v>
      </c>
      <c r="C17" s="27">
        <f>C11*C16</f>
        <v>487.5</v>
      </c>
      <c r="D17" s="18">
        <f>D15*D10</f>
        <v>1409.090909</v>
      </c>
      <c r="E17" s="4"/>
      <c r="F17" s="4"/>
      <c r="G17" s="3"/>
      <c r="H17" s="4"/>
      <c r="I17" s="4"/>
      <c r="J17" s="4"/>
      <c r="K17" s="4"/>
      <c r="L17" s="4"/>
    </row>
    <row r="18">
      <c r="A18" s="8"/>
      <c r="B18" s="28" t="s">
        <v>33</v>
      </c>
      <c r="C18" s="29">
        <f t="shared" ref="C18:D18" si="3">C27</f>
        <v>30032</v>
      </c>
      <c r="D18" s="29">
        <f t="shared" si="3"/>
        <v>26475.54455</v>
      </c>
      <c r="E18" s="30"/>
      <c r="F18" s="4"/>
      <c r="G18" s="3"/>
      <c r="H18" s="4"/>
      <c r="I18" s="4"/>
      <c r="J18" s="4"/>
      <c r="K18" s="4"/>
      <c r="L18" s="4"/>
    </row>
    <row r="19">
      <c r="A19" s="4"/>
      <c r="B19" s="31" t="s">
        <v>34</v>
      </c>
      <c r="C19" s="6" t="s">
        <v>2</v>
      </c>
      <c r="D19" s="7" t="s">
        <v>84</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4">$D23-$C23</f>
        <v>0</v>
      </c>
      <c r="F23" s="4"/>
      <c r="G23" s="4"/>
      <c r="H23" s="4"/>
      <c r="I23" s="4"/>
      <c r="J23" s="4"/>
      <c r="K23" s="4"/>
      <c r="L23" s="4"/>
    </row>
    <row r="24">
      <c r="A24" s="35"/>
      <c r="B24" s="32">
        <v>2.0</v>
      </c>
      <c r="C24" s="33"/>
      <c r="D24" s="33"/>
      <c r="E24" s="34">
        <f t="shared" si="4"/>
        <v>0</v>
      </c>
      <c r="F24" s="4"/>
      <c r="G24" s="3"/>
      <c r="H24" s="4"/>
      <c r="I24" s="4"/>
      <c r="J24" s="4"/>
      <c r="K24" s="4"/>
      <c r="L24" s="4"/>
    </row>
    <row r="25">
      <c r="A25" s="35"/>
      <c r="B25" s="32">
        <v>3.0</v>
      </c>
      <c r="C25" s="33"/>
      <c r="D25" s="33"/>
      <c r="E25" s="34">
        <f t="shared" si="4"/>
        <v>0</v>
      </c>
      <c r="F25" s="4"/>
      <c r="G25" s="4"/>
      <c r="H25" s="4"/>
      <c r="I25" s="4"/>
      <c r="J25" s="4"/>
      <c r="K25" s="4"/>
      <c r="L25" s="4"/>
    </row>
    <row r="26">
      <c r="A26" s="35"/>
      <c r="B26" s="32">
        <v>4.0</v>
      </c>
      <c r="C26" s="33"/>
      <c r="D26" s="33"/>
      <c r="E26" s="34">
        <f t="shared" si="4"/>
        <v>0</v>
      </c>
      <c r="F26" s="4"/>
      <c r="G26" s="4"/>
      <c r="H26" s="4"/>
      <c r="I26" s="4"/>
      <c r="J26" s="4"/>
      <c r="K26" s="4"/>
      <c r="L26" s="4"/>
    </row>
    <row r="27">
      <c r="A27" s="35"/>
      <c r="B27" s="32">
        <v>5.0</v>
      </c>
      <c r="C27" s="33">
        <f>C8+(B27*C17)+C13+C9</f>
        <v>30032</v>
      </c>
      <c r="D27" s="33">
        <f>D8+(D17*B27)+D13+D9</f>
        <v>26475.54455</v>
      </c>
      <c r="E27" s="34">
        <f t="shared" si="4"/>
        <v>-3556.455455</v>
      </c>
      <c r="F27" s="4"/>
      <c r="G27" s="3"/>
      <c r="H27" s="4"/>
      <c r="I27" s="4"/>
      <c r="J27" s="4"/>
      <c r="K27" s="4"/>
      <c r="L27" s="4"/>
    </row>
    <row r="28">
      <c r="A28" s="35"/>
      <c r="B28" s="32">
        <v>6.0</v>
      </c>
      <c r="C28" s="33"/>
      <c r="D28" s="33"/>
      <c r="E28" s="34">
        <f t="shared" si="4"/>
        <v>0</v>
      </c>
      <c r="F28" s="4"/>
      <c r="G28" s="4"/>
      <c r="H28" s="4"/>
      <c r="I28" s="4"/>
      <c r="J28" s="4"/>
      <c r="K28" s="4"/>
      <c r="L28" s="4"/>
    </row>
    <row r="29">
      <c r="A29" s="35"/>
      <c r="B29" s="32">
        <v>7.0</v>
      </c>
      <c r="C29" s="33"/>
      <c r="D29" s="33"/>
      <c r="E29" s="34">
        <f t="shared" si="4"/>
        <v>0</v>
      </c>
      <c r="F29" s="4"/>
      <c r="G29" s="4"/>
      <c r="H29" s="4"/>
      <c r="I29" s="4"/>
      <c r="J29" s="4"/>
      <c r="K29" s="4"/>
      <c r="L29" s="4"/>
    </row>
    <row r="30">
      <c r="A30" s="35"/>
      <c r="B30" s="32">
        <v>8.0</v>
      </c>
      <c r="C30" s="33"/>
      <c r="D30" s="33"/>
      <c r="E30" s="34">
        <f t="shared" si="4"/>
        <v>0</v>
      </c>
      <c r="F30" s="4"/>
      <c r="G30" s="4"/>
      <c r="H30" s="4"/>
      <c r="I30" s="4"/>
      <c r="J30" s="4"/>
      <c r="K30" s="4"/>
      <c r="L30" s="4"/>
    </row>
    <row r="31">
      <c r="A31" s="35"/>
      <c r="B31" s="32">
        <v>9.0</v>
      </c>
      <c r="C31" s="33"/>
      <c r="D31" s="33"/>
      <c r="E31" s="34">
        <f t="shared" si="4"/>
        <v>0</v>
      </c>
      <c r="F31" s="4"/>
      <c r="G31" s="4"/>
      <c r="H31" s="4"/>
      <c r="I31" s="4"/>
      <c r="J31" s="4"/>
      <c r="K31" s="4"/>
      <c r="L31" s="4"/>
    </row>
    <row r="32">
      <c r="A32" s="35"/>
      <c r="B32" s="32">
        <v>10.0</v>
      </c>
      <c r="C32" s="33"/>
      <c r="D32" s="33"/>
      <c r="E32" s="34">
        <f t="shared" si="4"/>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3">
    <mergeCell ref="J10:L10"/>
    <mergeCell ref="B1:D1"/>
    <mergeCell ref="G3:G8"/>
  </mergeCells>
  <hyperlinks>
    <hyperlink r:id="rId1" ref="J3"/>
    <hyperlink r:id="rId2" ref="J7"/>
    <hyperlink r:id="rId3" ref="J8"/>
    <hyperlink r:id="rId4" ref="E9"/>
    <hyperlink r:id="rId5" ref="E10"/>
    <hyperlink r:id="rId6" ref="J10"/>
    <hyperlink r:id="rId7" location="style=401773862" ref="E13"/>
    <hyperlink r:id="rId8" ref="F13"/>
    <hyperlink r:id="rId9" ref="E14"/>
  </hyperlinks>
  <drawing r:id="rId10"/>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9" t="s">
        <v>74</v>
      </c>
      <c r="E1" s="3"/>
      <c r="F1" s="4"/>
      <c r="G1" s="4"/>
      <c r="H1" s="4"/>
      <c r="I1" s="4"/>
      <c r="J1" s="4"/>
      <c r="K1" s="4"/>
      <c r="L1" s="4"/>
    </row>
    <row r="2">
      <c r="A2" s="46"/>
      <c r="B2" s="5" t="s">
        <v>53</v>
      </c>
      <c r="C2" s="6" t="s">
        <v>37</v>
      </c>
      <c r="D2" s="7" t="s">
        <v>85</v>
      </c>
      <c r="E2" s="3"/>
      <c r="F2" s="4"/>
      <c r="G2" s="4"/>
      <c r="H2" s="4"/>
      <c r="I2" s="4" t="s">
        <v>5</v>
      </c>
      <c r="J2" s="4"/>
      <c r="K2" s="4"/>
      <c r="L2" s="4"/>
    </row>
    <row r="3">
      <c r="A3" s="8"/>
      <c r="B3" s="9" t="s">
        <v>7</v>
      </c>
      <c r="C3" s="10">
        <v>38990.0</v>
      </c>
      <c r="D3" s="10">
        <f t="shared" ref="D3:E3" si="1">27165</f>
        <v>27165</v>
      </c>
      <c r="E3" s="10">
        <f t="shared" si="1"/>
        <v>27165</v>
      </c>
      <c r="F3" s="11">
        <v>20000.0</v>
      </c>
      <c r="G3" s="9" t="s">
        <v>8</v>
      </c>
      <c r="H3" s="4"/>
      <c r="I3" s="4" t="s">
        <v>9</v>
      </c>
      <c r="J3" s="12" t="s">
        <v>10</v>
      </c>
      <c r="K3" s="4"/>
      <c r="L3" s="4"/>
    </row>
    <row r="4">
      <c r="A4" s="13"/>
      <c r="B4" s="11" t="s">
        <v>39</v>
      </c>
      <c r="C4" s="10">
        <f t="shared" ref="C4:E4" si="2">C3*0.07</f>
        <v>2729.3</v>
      </c>
      <c r="D4" s="17">
        <f t="shared" si="2"/>
        <v>1901.55</v>
      </c>
      <c r="E4" s="17">
        <f t="shared" si="2"/>
        <v>1901.55</v>
      </c>
      <c r="F4" s="11"/>
      <c r="H4" s="4"/>
      <c r="I4" s="4"/>
      <c r="J4" s="12"/>
      <c r="K4" s="4"/>
      <c r="L4" s="4"/>
    </row>
    <row r="5">
      <c r="A5" s="13"/>
      <c r="B5" s="11" t="s">
        <v>40</v>
      </c>
      <c r="C5" s="10">
        <v>1200.0</v>
      </c>
      <c r="D5" s="10">
        <v>945.0</v>
      </c>
      <c r="E5" s="10">
        <v>945.0</v>
      </c>
      <c r="F5" s="11"/>
      <c r="H5" s="4"/>
      <c r="I5" s="4"/>
      <c r="J5" s="12"/>
      <c r="K5" s="4"/>
      <c r="L5" s="4"/>
    </row>
    <row r="6">
      <c r="A6" s="13"/>
      <c r="B6" s="11" t="s">
        <v>11</v>
      </c>
      <c r="C6" s="10">
        <f>C3*0.487</f>
        <v>18988.13</v>
      </c>
      <c r="D6" s="17">
        <f>SUM(D3)*0.362</f>
        <v>9833.73</v>
      </c>
      <c r="E6" s="38">
        <f>SUM(E3:E5)-5000</f>
        <v>25011.55</v>
      </c>
      <c r="F6" s="11"/>
      <c r="H6" s="4"/>
      <c r="I6" s="4"/>
      <c r="J6" s="12"/>
      <c r="K6" s="4"/>
      <c r="L6" s="4"/>
    </row>
    <row r="7">
      <c r="A7" s="13"/>
      <c r="B7" s="16" t="s">
        <v>13</v>
      </c>
      <c r="C7" s="10">
        <v>-1875.0</v>
      </c>
      <c r="D7" s="17">
        <v>0.0</v>
      </c>
      <c r="E7" s="15"/>
      <c r="F7" s="11">
        <v>1.3</v>
      </c>
      <c r="H7" s="4"/>
      <c r="I7" s="4" t="s">
        <v>14</v>
      </c>
      <c r="J7" s="12" t="s">
        <v>15</v>
      </c>
      <c r="K7" s="4"/>
      <c r="L7" s="4"/>
    </row>
    <row r="8">
      <c r="A8" s="13"/>
      <c r="B8" s="3" t="s">
        <v>60</v>
      </c>
      <c r="C8" s="22">
        <f t="shared" ref="C8:D8" si="3">C3+C7-C6+C4+C5</f>
        <v>22056.17</v>
      </c>
      <c r="D8" s="22">
        <f t="shared" si="3"/>
        <v>20177.82</v>
      </c>
      <c r="E8" s="19"/>
      <c r="F8" s="11">
        <v>0.0</v>
      </c>
      <c r="H8" s="4"/>
      <c r="I8" s="4" t="s">
        <v>17</v>
      </c>
      <c r="J8" s="12" t="s">
        <v>18</v>
      </c>
      <c r="K8" s="4"/>
      <c r="L8" s="4"/>
    </row>
    <row r="9">
      <c r="A9" s="8"/>
      <c r="B9" s="39" t="s">
        <v>61</v>
      </c>
      <c r="C9" s="40">
        <v>4238.33</v>
      </c>
      <c r="D9" s="40">
        <v>2626.04</v>
      </c>
      <c r="E9" s="43" t="s">
        <v>77</v>
      </c>
      <c r="F9" s="4"/>
      <c r="G9" s="4"/>
      <c r="H9" s="4"/>
      <c r="I9" s="4"/>
      <c r="J9" s="12"/>
      <c r="K9" s="12"/>
      <c r="L9" s="12"/>
    </row>
    <row r="10">
      <c r="A10" s="8"/>
      <c r="B10" s="9" t="s">
        <v>20</v>
      </c>
      <c r="C10" s="14" t="s">
        <v>21</v>
      </c>
      <c r="D10" s="14">
        <v>3.1</v>
      </c>
      <c r="E10" s="43" t="s">
        <v>78</v>
      </c>
      <c r="F10" s="4"/>
      <c r="G10" s="4"/>
      <c r="H10" s="4"/>
      <c r="I10" s="4" t="s">
        <v>22</v>
      </c>
      <c r="J10" s="12" t="s">
        <v>23</v>
      </c>
    </row>
    <row r="11">
      <c r="A11" s="8"/>
      <c r="B11" s="11" t="s">
        <v>63</v>
      </c>
      <c r="C11" s="14">
        <v>0.13</v>
      </c>
      <c r="D11" s="14" t="s">
        <v>21</v>
      </c>
      <c r="E11" s="20"/>
      <c r="F11" s="4"/>
      <c r="G11" s="4"/>
      <c r="H11" s="4"/>
    </row>
    <row r="12">
      <c r="A12" s="8"/>
      <c r="B12" s="11" t="s">
        <v>25</v>
      </c>
      <c r="C12" s="21">
        <v>15000.0</v>
      </c>
      <c r="D12" s="50">
        <v>15000.0</v>
      </c>
      <c r="E12" s="3"/>
      <c r="F12" s="4"/>
      <c r="G12" s="4"/>
      <c r="H12" s="4"/>
    </row>
    <row r="13">
      <c r="A13" s="8"/>
      <c r="B13" s="3" t="s">
        <v>42</v>
      </c>
      <c r="C13" s="41">
        <v>1300.0</v>
      </c>
      <c r="D13" s="41">
        <v>3411.0</v>
      </c>
      <c r="E13" s="42" t="s">
        <v>87</v>
      </c>
      <c r="F13" s="43" t="s">
        <v>81</v>
      </c>
      <c r="G13" s="4"/>
      <c r="H13" s="4"/>
      <c r="I13" s="4"/>
      <c r="J13" s="4"/>
      <c r="K13" s="4"/>
      <c r="L13" s="4"/>
    </row>
    <row r="14">
      <c r="A14" s="8"/>
      <c r="B14" s="11" t="s">
        <v>64</v>
      </c>
      <c r="C14" s="23">
        <v>4.0</v>
      </c>
      <c r="D14" s="23">
        <v>33.0</v>
      </c>
      <c r="E14" s="43" t="s">
        <v>88</v>
      </c>
      <c r="F14" s="4"/>
      <c r="G14" s="4"/>
      <c r="H14" s="4"/>
      <c r="I14" s="4"/>
      <c r="J14" s="4"/>
      <c r="K14" s="4"/>
      <c r="L14" s="4"/>
    </row>
    <row r="15">
      <c r="A15" s="8"/>
      <c r="B15" s="51" t="s">
        <v>65</v>
      </c>
      <c r="C15" s="52" t="s">
        <v>21</v>
      </c>
      <c r="D15" s="53">
        <f>D12/D14</f>
        <v>454.5454545</v>
      </c>
      <c r="E15" s="4"/>
      <c r="F15" s="4"/>
      <c r="G15" s="4"/>
      <c r="H15" s="4"/>
      <c r="I15" s="4"/>
      <c r="J15" s="4"/>
      <c r="K15" s="4"/>
      <c r="L15" s="4"/>
    </row>
    <row r="16">
      <c r="A16" s="8"/>
      <c r="B16" s="54" t="s">
        <v>66</v>
      </c>
      <c r="C16" s="53">
        <f>C12/C14</f>
        <v>3750</v>
      </c>
      <c r="D16" s="52" t="s">
        <v>21</v>
      </c>
      <c r="E16" s="4"/>
      <c r="F16" s="4"/>
      <c r="G16" s="4"/>
      <c r="H16" s="4"/>
      <c r="I16" s="4"/>
      <c r="J16" s="4"/>
      <c r="K16" s="4"/>
      <c r="L16" s="4"/>
    </row>
    <row r="17">
      <c r="A17" s="8"/>
      <c r="B17" s="4" t="s">
        <v>67</v>
      </c>
      <c r="C17" s="27">
        <f>C11*C16</f>
        <v>487.5</v>
      </c>
      <c r="D17" s="18">
        <f>D15*D10</f>
        <v>1409.090909</v>
      </c>
      <c r="E17" s="4"/>
      <c r="F17" s="4"/>
      <c r="G17" s="3"/>
      <c r="H17" s="4"/>
      <c r="I17" s="4"/>
      <c r="J17" s="4"/>
      <c r="K17" s="4"/>
      <c r="L17" s="4"/>
    </row>
    <row r="18">
      <c r="A18" s="8"/>
      <c r="B18" s="28" t="s">
        <v>33</v>
      </c>
      <c r="C18" s="29">
        <f t="shared" ref="C18:D18" si="4">C27</f>
        <v>30032</v>
      </c>
      <c r="D18" s="29">
        <f t="shared" si="4"/>
        <v>33260.31455</v>
      </c>
      <c r="E18" s="30"/>
      <c r="F18" s="4"/>
      <c r="G18" s="3"/>
      <c r="H18" s="4"/>
      <c r="I18" s="4"/>
      <c r="J18" s="4"/>
      <c r="K18" s="4"/>
      <c r="L18" s="4"/>
    </row>
    <row r="19">
      <c r="A19" s="4"/>
      <c r="B19" s="31" t="s">
        <v>34</v>
      </c>
      <c r="C19" s="6" t="s">
        <v>2</v>
      </c>
      <c r="D19" s="7" t="s">
        <v>85</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5">$D23-$C23</f>
        <v>0</v>
      </c>
      <c r="F23" s="4"/>
      <c r="G23" s="4"/>
      <c r="H23" s="4"/>
      <c r="I23" s="4"/>
      <c r="J23" s="4"/>
      <c r="K23" s="4"/>
      <c r="L23" s="4"/>
    </row>
    <row r="24">
      <c r="A24" s="35"/>
      <c r="B24" s="32">
        <v>2.0</v>
      </c>
      <c r="C24" s="33"/>
      <c r="D24" s="33"/>
      <c r="E24" s="34">
        <f t="shared" si="5"/>
        <v>0</v>
      </c>
      <c r="F24" s="4"/>
      <c r="G24" s="3"/>
      <c r="H24" s="4"/>
      <c r="I24" s="4"/>
      <c r="J24" s="4"/>
      <c r="K24" s="4"/>
      <c r="L24" s="4"/>
    </row>
    <row r="25">
      <c r="A25" s="35"/>
      <c r="B25" s="32">
        <v>3.0</v>
      </c>
      <c r="C25" s="33"/>
      <c r="D25" s="33"/>
      <c r="E25" s="34">
        <f t="shared" si="5"/>
        <v>0</v>
      </c>
      <c r="F25" s="4"/>
      <c r="G25" s="4"/>
      <c r="H25" s="4"/>
      <c r="I25" s="4"/>
      <c r="J25" s="4"/>
      <c r="K25" s="4"/>
      <c r="L25" s="4"/>
    </row>
    <row r="26">
      <c r="A26" s="35"/>
      <c r="B26" s="32">
        <v>4.0</v>
      </c>
      <c r="C26" s="33"/>
      <c r="D26" s="33"/>
      <c r="E26" s="34">
        <f t="shared" si="5"/>
        <v>0</v>
      </c>
      <c r="F26" s="4"/>
      <c r="G26" s="4"/>
      <c r="H26" s="4"/>
      <c r="I26" s="4"/>
      <c r="J26" s="4"/>
      <c r="K26" s="4"/>
      <c r="L26" s="4"/>
    </row>
    <row r="27">
      <c r="A27" s="35"/>
      <c r="B27" s="32">
        <v>5.0</v>
      </c>
      <c r="C27" s="33">
        <f>C8+(B27*C17)+C13+C9</f>
        <v>30032</v>
      </c>
      <c r="D27" s="33">
        <f>D8+(D17*B27)+D13+D9</f>
        <v>33260.31455</v>
      </c>
      <c r="E27" s="34">
        <f t="shared" si="5"/>
        <v>3228.314545</v>
      </c>
      <c r="F27" s="4"/>
      <c r="G27" s="3"/>
      <c r="H27" s="4"/>
      <c r="I27" s="4"/>
      <c r="J27" s="4"/>
      <c r="K27" s="4"/>
      <c r="L27" s="4"/>
    </row>
    <row r="28">
      <c r="A28" s="35"/>
      <c r="B28" s="32">
        <v>6.0</v>
      </c>
      <c r="C28" s="33"/>
      <c r="D28" s="33"/>
      <c r="E28" s="34">
        <f t="shared" si="5"/>
        <v>0</v>
      </c>
      <c r="F28" s="4"/>
      <c r="G28" s="4"/>
      <c r="H28" s="4"/>
      <c r="I28" s="4"/>
      <c r="J28" s="4"/>
      <c r="K28" s="4"/>
      <c r="L28" s="4"/>
    </row>
    <row r="29">
      <c r="A29" s="35"/>
      <c r="B29" s="32">
        <v>7.0</v>
      </c>
      <c r="C29" s="33"/>
      <c r="D29" s="33"/>
      <c r="E29" s="34">
        <f t="shared" si="5"/>
        <v>0</v>
      </c>
      <c r="F29" s="4"/>
      <c r="G29" s="4"/>
      <c r="H29" s="4"/>
      <c r="I29" s="4"/>
      <c r="J29" s="4"/>
      <c r="K29" s="4"/>
      <c r="L29" s="4"/>
    </row>
    <row r="30">
      <c r="A30" s="35"/>
      <c r="B30" s="32">
        <v>8.0</v>
      </c>
      <c r="C30" s="33"/>
      <c r="D30" s="33"/>
      <c r="E30" s="34">
        <f t="shared" si="5"/>
        <v>0</v>
      </c>
      <c r="F30" s="4"/>
      <c r="G30" s="4"/>
      <c r="H30" s="4"/>
      <c r="I30" s="4"/>
      <c r="J30" s="4"/>
      <c r="K30" s="4"/>
      <c r="L30" s="4"/>
    </row>
    <row r="31">
      <c r="A31" s="35"/>
      <c r="B31" s="32">
        <v>9.0</v>
      </c>
      <c r="C31" s="33"/>
      <c r="D31" s="33"/>
      <c r="E31" s="34">
        <f t="shared" si="5"/>
        <v>0</v>
      </c>
      <c r="F31" s="4"/>
      <c r="G31" s="4"/>
      <c r="H31" s="4"/>
      <c r="I31" s="4"/>
      <c r="J31" s="4"/>
      <c r="K31" s="4"/>
      <c r="L31" s="4"/>
    </row>
    <row r="32">
      <c r="A32" s="35"/>
      <c r="B32" s="32">
        <v>10.0</v>
      </c>
      <c r="C32" s="33"/>
      <c r="D32" s="33"/>
      <c r="E32" s="34">
        <f t="shared" si="5"/>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3">
    <mergeCell ref="J10:L10"/>
    <mergeCell ref="B1:D1"/>
    <mergeCell ref="G3:G8"/>
  </mergeCells>
  <hyperlinks>
    <hyperlink r:id="rId2" ref="J3"/>
    <hyperlink r:id="rId3" ref="J7"/>
    <hyperlink r:id="rId4" ref="J8"/>
    <hyperlink r:id="rId5" ref="E9"/>
    <hyperlink r:id="rId6" ref="E10"/>
    <hyperlink r:id="rId7" ref="J10"/>
    <hyperlink r:id="rId8" location="style=401756838" ref="E13"/>
    <hyperlink r:id="rId9" ref="F13"/>
    <hyperlink r:id="rId10" ref="E14"/>
  </hyperlinks>
  <drawing r:id="rId11"/>
  <legacyDrawing r:id="rId12"/>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9" t="s">
        <v>74</v>
      </c>
      <c r="E1" s="3"/>
      <c r="F1" s="4"/>
      <c r="G1" s="4"/>
      <c r="H1" s="4"/>
      <c r="I1" s="4"/>
      <c r="J1" s="4"/>
      <c r="K1" s="4"/>
      <c r="L1" s="4"/>
    </row>
    <row r="2">
      <c r="A2" s="46"/>
      <c r="B2" s="5" t="s">
        <v>53</v>
      </c>
      <c r="C2" s="6" t="s">
        <v>37</v>
      </c>
      <c r="D2" s="7" t="s">
        <v>89</v>
      </c>
      <c r="E2" s="3"/>
      <c r="F2" s="4"/>
      <c r="G2" s="4"/>
      <c r="H2" s="4"/>
      <c r="I2" s="4" t="s">
        <v>5</v>
      </c>
      <c r="J2" s="4"/>
      <c r="K2" s="4"/>
      <c r="L2" s="4"/>
    </row>
    <row r="3">
      <c r="A3" s="8"/>
      <c r="B3" s="9" t="s">
        <v>7</v>
      </c>
      <c r="C3" s="10">
        <v>38990.0</v>
      </c>
      <c r="D3" s="10">
        <v>23149.0</v>
      </c>
      <c r="E3" s="10">
        <v>23149.0</v>
      </c>
      <c r="F3" s="11">
        <v>20000.0</v>
      </c>
      <c r="G3" s="9" t="s">
        <v>8</v>
      </c>
      <c r="H3" s="4"/>
      <c r="I3" s="4" t="s">
        <v>9</v>
      </c>
      <c r="J3" s="12" t="s">
        <v>10</v>
      </c>
      <c r="K3" s="4"/>
      <c r="L3" s="4"/>
    </row>
    <row r="4">
      <c r="A4" s="13"/>
      <c r="B4" s="11" t="s">
        <v>39</v>
      </c>
      <c r="C4" s="10">
        <f t="shared" ref="C4:E4" si="1">C3*0.07</f>
        <v>2729.3</v>
      </c>
      <c r="D4" s="17">
        <f t="shared" si="1"/>
        <v>1620.43</v>
      </c>
      <c r="E4" s="17">
        <f t="shared" si="1"/>
        <v>1620.43</v>
      </c>
      <c r="F4" s="11"/>
      <c r="H4" s="4"/>
      <c r="I4" s="4"/>
      <c r="J4" s="12"/>
      <c r="K4" s="4"/>
      <c r="L4" s="4"/>
    </row>
    <row r="5">
      <c r="A5" s="13"/>
      <c r="B5" s="11" t="s">
        <v>40</v>
      </c>
      <c r="C5" s="10">
        <v>1200.0</v>
      </c>
      <c r="D5" s="10">
        <v>945.0</v>
      </c>
      <c r="E5" s="10">
        <v>945.0</v>
      </c>
      <c r="F5" s="11"/>
      <c r="H5" s="4"/>
      <c r="I5" s="4"/>
      <c r="J5" s="12"/>
      <c r="K5" s="4"/>
      <c r="L5" s="4"/>
    </row>
    <row r="6">
      <c r="A6" s="13"/>
      <c r="B6" s="11" t="s">
        <v>11</v>
      </c>
      <c r="C6" s="10">
        <f>C3*0.487</f>
        <v>18988.13</v>
      </c>
      <c r="D6" s="17">
        <f>SUM(D3)*0.362</f>
        <v>8379.938</v>
      </c>
      <c r="E6" s="38">
        <f>SUM(E3:E5)-5000</f>
        <v>20714.43</v>
      </c>
      <c r="F6" s="11"/>
      <c r="H6" s="4"/>
      <c r="I6" s="4"/>
      <c r="J6" s="12"/>
      <c r="K6" s="4"/>
      <c r="L6" s="4"/>
    </row>
    <row r="7">
      <c r="A7" s="13"/>
      <c r="B7" s="16" t="s">
        <v>13</v>
      </c>
      <c r="C7" s="10">
        <v>-1875.0</v>
      </c>
      <c r="D7" s="17">
        <v>0.0</v>
      </c>
      <c r="E7" s="15"/>
      <c r="F7" s="11">
        <v>1.3</v>
      </c>
      <c r="H7" s="4"/>
      <c r="I7" s="4" t="s">
        <v>14</v>
      </c>
      <c r="J7" s="12" t="s">
        <v>15</v>
      </c>
      <c r="K7" s="4"/>
      <c r="L7" s="4"/>
    </row>
    <row r="8">
      <c r="A8" s="13"/>
      <c r="B8" s="3" t="s">
        <v>60</v>
      </c>
      <c r="C8" s="22">
        <f t="shared" ref="C8:D8" si="2">C3+C7-C6+C4+C5</f>
        <v>22056.17</v>
      </c>
      <c r="D8" s="22">
        <f t="shared" si="2"/>
        <v>17334.492</v>
      </c>
      <c r="E8" s="19"/>
      <c r="F8" s="11">
        <v>0.0</v>
      </c>
      <c r="H8" s="4"/>
      <c r="I8" s="4" t="s">
        <v>17</v>
      </c>
      <c r="J8" s="12" t="s">
        <v>18</v>
      </c>
      <c r="K8" s="4"/>
      <c r="L8" s="4"/>
    </row>
    <row r="9">
      <c r="A9" s="8"/>
      <c r="B9" s="39" t="s">
        <v>61</v>
      </c>
      <c r="C9" s="40">
        <v>4238.33</v>
      </c>
      <c r="D9" s="40">
        <v>2174.79</v>
      </c>
      <c r="E9" s="43" t="s">
        <v>77</v>
      </c>
      <c r="F9" s="4"/>
      <c r="G9" s="4"/>
      <c r="H9" s="4"/>
      <c r="I9" s="4"/>
      <c r="J9" s="12"/>
      <c r="K9" s="12"/>
      <c r="L9" s="12"/>
    </row>
    <row r="10">
      <c r="A10" s="8"/>
      <c r="B10" s="9" t="s">
        <v>20</v>
      </c>
      <c r="C10" s="14" t="s">
        <v>21</v>
      </c>
      <c r="D10" s="14">
        <v>3.1</v>
      </c>
      <c r="E10" s="43" t="s">
        <v>78</v>
      </c>
      <c r="F10" s="4"/>
      <c r="G10" s="4"/>
      <c r="H10" s="4"/>
      <c r="I10" s="4" t="s">
        <v>22</v>
      </c>
      <c r="J10" s="12" t="s">
        <v>23</v>
      </c>
    </row>
    <row r="11">
      <c r="A11" s="8"/>
      <c r="B11" s="11" t="s">
        <v>63</v>
      </c>
      <c r="C11" s="14">
        <v>0.13</v>
      </c>
      <c r="D11" s="14" t="s">
        <v>21</v>
      </c>
      <c r="E11" s="20"/>
      <c r="F11" s="4"/>
      <c r="G11" s="4"/>
      <c r="H11" s="4"/>
    </row>
    <row r="12">
      <c r="A12" s="8"/>
      <c r="B12" s="11" t="s">
        <v>25</v>
      </c>
      <c r="C12" s="21">
        <v>15000.0</v>
      </c>
      <c r="D12" s="50">
        <v>15000.0</v>
      </c>
      <c r="E12" s="3"/>
      <c r="F12" s="4"/>
      <c r="G12" s="4"/>
      <c r="H12" s="4"/>
    </row>
    <row r="13">
      <c r="A13" s="8"/>
      <c r="B13" s="3" t="s">
        <v>42</v>
      </c>
      <c r="C13" s="41">
        <v>1300.0</v>
      </c>
      <c r="D13" s="41">
        <v>3304.0</v>
      </c>
      <c r="E13" s="42" t="s">
        <v>87</v>
      </c>
      <c r="F13" s="43" t="s">
        <v>81</v>
      </c>
      <c r="G13" s="4"/>
      <c r="H13" s="4"/>
      <c r="I13" s="4"/>
      <c r="J13" s="4"/>
      <c r="K13" s="4"/>
      <c r="L13" s="4"/>
    </row>
    <row r="14">
      <c r="A14" s="8"/>
      <c r="B14" s="11" t="s">
        <v>28</v>
      </c>
      <c r="C14" s="23">
        <v>4.0</v>
      </c>
      <c r="D14" s="23">
        <v>52.0</v>
      </c>
      <c r="E14" s="43" t="s">
        <v>88</v>
      </c>
      <c r="F14" s="4"/>
      <c r="G14" s="4"/>
      <c r="H14" s="4"/>
      <c r="I14" s="4"/>
      <c r="J14" s="4"/>
      <c r="K14" s="4"/>
      <c r="L14" s="4"/>
    </row>
    <row r="15">
      <c r="A15" s="8"/>
      <c r="B15" s="51" t="s">
        <v>65</v>
      </c>
      <c r="C15" s="52" t="s">
        <v>21</v>
      </c>
      <c r="D15" s="53">
        <f>D12/D14</f>
        <v>288.4615385</v>
      </c>
      <c r="E15" s="4"/>
      <c r="F15" s="4"/>
      <c r="G15" s="4"/>
      <c r="H15" s="4"/>
      <c r="I15" s="4"/>
      <c r="J15" s="4"/>
      <c r="K15" s="4"/>
      <c r="L15" s="4"/>
    </row>
    <row r="16">
      <c r="A16" s="8"/>
      <c r="B16" s="54" t="s">
        <v>66</v>
      </c>
      <c r="C16" s="53">
        <f>C12/C14</f>
        <v>3750</v>
      </c>
      <c r="D16" s="52" t="s">
        <v>21</v>
      </c>
      <c r="E16" s="4"/>
      <c r="F16" s="4"/>
      <c r="G16" s="4"/>
      <c r="H16" s="4"/>
      <c r="I16" s="4"/>
      <c r="J16" s="4"/>
      <c r="K16" s="4"/>
      <c r="L16" s="4"/>
    </row>
    <row r="17">
      <c r="A17" s="8"/>
      <c r="B17" s="4" t="s">
        <v>67</v>
      </c>
      <c r="C17" s="27">
        <f>C11*C16</f>
        <v>487.5</v>
      </c>
      <c r="D17" s="18">
        <f>D15*D10</f>
        <v>894.2307692</v>
      </c>
      <c r="E17" s="4"/>
      <c r="F17" s="4"/>
      <c r="G17" s="3"/>
      <c r="H17" s="4"/>
      <c r="I17" s="4"/>
      <c r="J17" s="4"/>
      <c r="K17" s="4"/>
      <c r="L17" s="4"/>
    </row>
    <row r="18">
      <c r="A18" s="8"/>
      <c r="B18" s="28" t="s">
        <v>33</v>
      </c>
      <c r="C18" s="29">
        <f t="shared" ref="C18:D18" si="3">C27</f>
        <v>30032</v>
      </c>
      <c r="D18" s="29">
        <f t="shared" si="3"/>
        <v>27284.43585</v>
      </c>
      <c r="E18" s="30"/>
      <c r="F18" s="4"/>
      <c r="G18" s="3"/>
      <c r="H18" s="4"/>
      <c r="I18" s="4"/>
      <c r="J18" s="4"/>
      <c r="K18" s="4"/>
      <c r="L18" s="4"/>
    </row>
    <row r="19">
      <c r="A19" s="4"/>
      <c r="B19" s="31" t="s">
        <v>34</v>
      </c>
      <c r="C19" s="6" t="s">
        <v>2</v>
      </c>
      <c r="D19" s="7" t="s">
        <v>89</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4">$D23-$C23</f>
        <v>0</v>
      </c>
      <c r="F23" s="4"/>
      <c r="G23" s="4"/>
      <c r="H23" s="4"/>
      <c r="I23" s="4"/>
      <c r="J23" s="4"/>
      <c r="K23" s="4"/>
      <c r="L23" s="4"/>
    </row>
    <row r="24">
      <c r="A24" s="35"/>
      <c r="B24" s="32">
        <v>2.0</v>
      </c>
      <c r="C24" s="33"/>
      <c r="D24" s="33"/>
      <c r="E24" s="34">
        <f t="shared" si="4"/>
        <v>0</v>
      </c>
      <c r="F24" s="4"/>
      <c r="G24" s="3"/>
      <c r="H24" s="4"/>
      <c r="I24" s="4"/>
      <c r="J24" s="4"/>
      <c r="K24" s="4"/>
      <c r="L24" s="4"/>
    </row>
    <row r="25">
      <c r="A25" s="35"/>
      <c r="B25" s="32">
        <v>3.0</v>
      </c>
      <c r="C25" s="33"/>
      <c r="D25" s="33"/>
      <c r="E25" s="34">
        <f t="shared" si="4"/>
        <v>0</v>
      </c>
      <c r="F25" s="4"/>
      <c r="G25" s="4"/>
      <c r="H25" s="4"/>
      <c r="I25" s="4"/>
      <c r="J25" s="4"/>
      <c r="K25" s="4"/>
      <c r="L25" s="4"/>
    </row>
    <row r="26">
      <c r="A26" s="35"/>
      <c r="B26" s="32">
        <v>4.0</v>
      </c>
      <c r="C26" s="33"/>
      <c r="D26" s="33"/>
      <c r="E26" s="34">
        <f t="shared" si="4"/>
        <v>0</v>
      </c>
      <c r="F26" s="4"/>
      <c r="G26" s="4"/>
      <c r="H26" s="4"/>
      <c r="I26" s="4"/>
      <c r="J26" s="4"/>
      <c r="K26" s="4"/>
      <c r="L26" s="4"/>
    </row>
    <row r="27">
      <c r="A27" s="35"/>
      <c r="B27" s="32">
        <v>5.0</v>
      </c>
      <c r="C27" s="33">
        <f>C8+(B27*C17)+C13+C9</f>
        <v>30032</v>
      </c>
      <c r="D27" s="33">
        <f>D8+(D17*B27)+D13+D9</f>
        <v>27284.43585</v>
      </c>
      <c r="E27" s="34">
        <f t="shared" si="4"/>
        <v>-2747.564154</v>
      </c>
      <c r="F27" s="4"/>
      <c r="G27" s="3"/>
      <c r="H27" s="4"/>
      <c r="I27" s="4"/>
      <c r="J27" s="4"/>
      <c r="K27" s="4"/>
      <c r="L27" s="4"/>
    </row>
    <row r="28">
      <c r="A28" s="35"/>
      <c r="B28" s="32">
        <v>6.0</v>
      </c>
      <c r="C28" s="33"/>
      <c r="D28" s="33"/>
      <c r="E28" s="34">
        <f t="shared" si="4"/>
        <v>0</v>
      </c>
      <c r="F28" s="4"/>
      <c r="G28" s="4"/>
      <c r="H28" s="4"/>
      <c r="I28" s="4"/>
      <c r="J28" s="4"/>
      <c r="K28" s="4"/>
      <c r="L28" s="4"/>
    </row>
    <row r="29">
      <c r="A29" s="35"/>
      <c r="B29" s="32">
        <v>7.0</v>
      </c>
      <c r="C29" s="33"/>
      <c r="D29" s="33"/>
      <c r="E29" s="34">
        <f t="shared" si="4"/>
        <v>0</v>
      </c>
      <c r="F29" s="4"/>
      <c r="G29" s="4"/>
      <c r="H29" s="4"/>
      <c r="I29" s="4"/>
      <c r="J29" s="4"/>
      <c r="K29" s="4"/>
      <c r="L29" s="4"/>
    </row>
    <row r="30">
      <c r="A30" s="35"/>
      <c r="B30" s="32">
        <v>8.0</v>
      </c>
      <c r="C30" s="33"/>
      <c r="D30" s="33"/>
      <c r="E30" s="34">
        <f t="shared" si="4"/>
        <v>0</v>
      </c>
      <c r="F30" s="4"/>
      <c r="G30" s="4"/>
      <c r="H30" s="4"/>
      <c r="I30" s="4"/>
      <c r="J30" s="4"/>
      <c r="K30" s="4"/>
      <c r="L30" s="4"/>
    </row>
    <row r="31">
      <c r="A31" s="35"/>
      <c r="B31" s="32">
        <v>9.0</v>
      </c>
      <c r="C31" s="33"/>
      <c r="D31" s="33"/>
      <c r="E31" s="34">
        <f t="shared" si="4"/>
        <v>0</v>
      </c>
      <c r="F31" s="4"/>
      <c r="G31" s="4"/>
      <c r="H31" s="4"/>
      <c r="I31" s="4"/>
      <c r="J31" s="4"/>
      <c r="K31" s="4"/>
      <c r="L31" s="4"/>
    </row>
    <row r="32">
      <c r="A32" s="35"/>
      <c r="B32" s="32">
        <v>10.0</v>
      </c>
      <c r="C32" s="33"/>
      <c r="D32" s="33"/>
      <c r="E32" s="34">
        <f t="shared" si="4"/>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3">
    <mergeCell ref="J10:L10"/>
    <mergeCell ref="B1:D1"/>
    <mergeCell ref="G3:G8"/>
  </mergeCells>
  <hyperlinks>
    <hyperlink r:id="rId2" ref="J3"/>
    <hyperlink r:id="rId3" ref="J7"/>
    <hyperlink r:id="rId4" ref="J8"/>
    <hyperlink r:id="rId5" ref="E9"/>
    <hyperlink r:id="rId6" ref="E10"/>
    <hyperlink r:id="rId7" ref="J10"/>
    <hyperlink r:id="rId8" location="style=401756838" ref="E13"/>
    <hyperlink r:id="rId9" ref="F13"/>
    <hyperlink r:id="rId10" ref="E14"/>
  </hyperlinks>
  <drawing r:id="rId11"/>
  <legacyDrawing r:id="rId1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9" t="s">
        <v>74</v>
      </c>
      <c r="E1" s="3"/>
      <c r="F1" s="4"/>
      <c r="G1" s="4"/>
      <c r="H1" s="4"/>
      <c r="I1" s="4"/>
      <c r="J1" s="4"/>
      <c r="K1" s="4"/>
      <c r="L1" s="4"/>
    </row>
    <row r="2">
      <c r="A2" s="46"/>
      <c r="B2" s="5" t="s">
        <v>53</v>
      </c>
      <c r="C2" s="6" t="s">
        <v>37</v>
      </c>
      <c r="D2" s="7" t="s">
        <v>90</v>
      </c>
      <c r="E2" s="3"/>
      <c r="F2" s="4"/>
      <c r="G2" s="4"/>
      <c r="H2" s="4"/>
      <c r="I2" s="4" t="s">
        <v>5</v>
      </c>
      <c r="J2" s="4"/>
      <c r="K2" s="4"/>
      <c r="L2" s="4"/>
    </row>
    <row r="3">
      <c r="A3" s="8"/>
      <c r="B3" s="9" t="s">
        <v>7</v>
      </c>
      <c r="C3" s="10">
        <v>38990.0</v>
      </c>
      <c r="D3" s="10">
        <v>19898.0</v>
      </c>
      <c r="E3" s="10">
        <v>19898.0</v>
      </c>
      <c r="F3" s="11">
        <v>20000.0</v>
      </c>
      <c r="G3" s="9" t="s">
        <v>8</v>
      </c>
      <c r="H3" s="4"/>
      <c r="I3" s="4" t="s">
        <v>9</v>
      </c>
      <c r="J3" s="12" t="s">
        <v>10</v>
      </c>
      <c r="K3" s="4"/>
      <c r="L3" s="4"/>
    </row>
    <row r="4">
      <c r="A4" s="13"/>
      <c r="B4" s="11" t="s">
        <v>39</v>
      </c>
      <c r="C4" s="10">
        <f t="shared" ref="C4:E4" si="1">C3*0.07</f>
        <v>2729.3</v>
      </c>
      <c r="D4" s="17">
        <f t="shared" si="1"/>
        <v>1392.86</v>
      </c>
      <c r="E4" s="17">
        <f t="shared" si="1"/>
        <v>1392.86</v>
      </c>
      <c r="F4" s="11"/>
      <c r="H4" s="4"/>
      <c r="I4" s="4"/>
      <c r="J4" s="12"/>
      <c r="K4" s="4"/>
      <c r="L4" s="4"/>
    </row>
    <row r="5">
      <c r="A5" s="13"/>
      <c r="B5" s="11" t="s">
        <v>40</v>
      </c>
      <c r="C5" s="10">
        <v>1200.0</v>
      </c>
      <c r="D5" s="10">
        <v>945.0</v>
      </c>
      <c r="E5" s="10">
        <v>945.0</v>
      </c>
      <c r="F5" s="11"/>
      <c r="H5" s="4"/>
      <c r="I5" s="4"/>
      <c r="J5" s="12"/>
      <c r="K5" s="4"/>
      <c r="L5" s="4"/>
    </row>
    <row r="6">
      <c r="A6" s="13"/>
      <c r="B6" s="11" t="s">
        <v>11</v>
      </c>
      <c r="C6" s="10">
        <f>C3*0.487</f>
        <v>18988.13</v>
      </c>
      <c r="D6" s="17">
        <f>SUM(D3)*0.362</f>
        <v>7203.076</v>
      </c>
      <c r="E6" s="38">
        <f>SUM(E3:E5)-5000</f>
        <v>17235.86</v>
      </c>
      <c r="F6" s="11"/>
      <c r="H6" s="4"/>
      <c r="I6" s="4"/>
      <c r="J6" s="12"/>
      <c r="K6" s="4"/>
      <c r="L6" s="4"/>
    </row>
    <row r="7">
      <c r="A7" s="13"/>
      <c r="B7" s="16" t="s">
        <v>13</v>
      </c>
      <c r="C7" s="10">
        <v>-1875.0</v>
      </c>
      <c r="D7" s="17">
        <v>0.0</v>
      </c>
      <c r="E7" s="15"/>
      <c r="F7" s="11">
        <v>1.3</v>
      </c>
      <c r="H7" s="4"/>
      <c r="I7" s="4" t="s">
        <v>14</v>
      </c>
      <c r="J7" s="12" t="s">
        <v>15</v>
      </c>
      <c r="K7" s="4"/>
      <c r="L7" s="4"/>
    </row>
    <row r="8">
      <c r="A8" s="13"/>
      <c r="B8" s="3" t="s">
        <v>60</v>
      </c>
      <c r="C8" s="22">
        <f t="shared" ref="C8:D8" si="2">C3+C7-C6+C4+C5</f>
        <v>22056.17</v>
      </c>
      <c r="D8" s="22">
        <f t="shared" si="2"/>
        <v>15032.784</v>
      </c>
      <c r="E8" s="19"/>
      <c r="F8" s="11">
        <v>0.0</v>
      </c>
      <c r="H8" s="4"/>
      <c r="I8" s="4" t="s">
        <v>17</v>
      </c>
      <c r="J8" s="12" t="s">
        <v>18</v>
      </c>
      <c r="K8" s="4"/>
      <c r="L8" s="4"/>
    </row>
    <row r="9">
      <c r="A9" s="8"/>
      <c r="B9" s="39" t="s">
        <v>61</v>
      </c>
      <c r="C9" s="40">
        <v>4238.33</v>
      </c>
      <c r="D9" s="40">
        <v>1809.63</v>
      </c>
      <c r="E9" s="43" t="s">
        <v>77</v>
      </c>
      <c r="F9" s="4"/>
      <c r="G9" s="4"/>
      <c r="H9" s="4"/>
      <c r="I9" s="4"/>
      <c r="J9" s="12"/>
      <c r="K9" s="12"/>
      <c r="L9" s="12"/>
    </row>
    <row r="10">
      <c r="A10" s="8"/>
      <c r="B10" s="9" t="s">
        <v>20</v>
      </c>
      <c r="C10" s="14" t="s">
        <v>21</v>
      </c>
      <c r="D10" s="14">
        <v>3.1</v>
      </c>
      <c r="E10" s="43" t="s">
        <v>78</v>
      </c>
      <c r="F10" s="4"/>
      <c r="G10" s="4"/>
      <c r="H10" s="4"/>
      <c r="I10" s="4" t="s">
        <v>22</v>
      </c>
      <c r="J10" s="12" t="s">
        <v>23</v>
      </c>
    </row>
    <row r="11">
      <c r="A11" s="8"/>
      <c r="B11" s="11" t="s">
        <v>63</v>
      </c>
      <c r="C11" s="14">
        <v>0.13</v>
      </c>
      <c r="D11" s="14" t="s">
        <v>21</v>
      </c>
      <c r="E11" s="20"/>
      <c r="F11" s="4"/>
      <c r="G11" s="4"/>
      <c r="H11" s="4"/>
    </row>
    <row r="12">
      <c r="A12" s="8"/>
      <c r="B12" s="11" t="s">
        <v>25</v>
      </c>
      <c r="C12" s="21">
        <v>15000.0</v>
      </c>
      <c r="D12" s="50">
        <v>15000.0</v>
      </c>
      <c r="E12" s="3"/>
      <c r="F12" s="4"/>
      <c r="G12" s="4"/>
      <c r="H12" s="4"/>
    </row>
    <row r="13">
      <c r="A13" s="8"/>
      <c r="B13" s="3" t="s">
        <v>42</v>
      </c>
      <c r="C13" s="41">
        <v>1300.0</v>
      </c>
      <c r="D13" s="41">
        <v>3129.0</v>
      </c>
      <c r="E13" s="42" t="s">
        <v>87</v>
      </c>
      <c r="F13" s="43" t="s">
        <v>81</v>
      </c>
      <c r="G13" s="4"/>
      <c r="H13" s="4"/>
      <c r="I13" s="4"/>
      <c r="J13" s="4"/>
      <c r="K13" s="4"/>
      <c r="L13" s="4"/>
    </row>
    <row r="14">
      <c r="A14" s="8"/>
      <c r="B14" s="11" t="s">
        <v>28</v>
      </c>
      <c r="C14" s="23">
        <v>4.0</v>
      </c>
      <c r="D14" s="23">
        <v>31.0</v>
      </c>
      <c r="E14" s="43" t="s">
        <v>88</v>
      </c>
      <c r="F14" s="4"/>
      <c r="G14" s="4"/>
      <c r="H14" s="4"/>
      <c r="I14" s="4"/>
      <c r="J14" s="4"/>
      <c r="K14" s="4"/>
      <c r="L14" s="4"/>
    </row>
    <row r="15">
      <c r="A15" s="8"/>
      <c r="B15" s="51" t="s">
        <v>65</v>
      </c>
      <c r="C15" s="52" t="s">
        <v>21</v>
      </c>
      <c r="D15" s="53">
        <f>D12/D14</f>
        <v>483.8709677</v>
      </c>
      <c r="E15" s="4"/>
      <c r="F15" s="4"/>
      <c r="G15" s="4"/>
      <c r="H15" s="4"/>
      <c r="I15" s="4"/>
      <c r="J15" s="4"/>
      <c r="K15" s="4"/>
      <c r="L15" s="4"/>
    </row>
    <row r="16">
      <c r="A16" s="8"/>
      <c r="B16" s="54" t="s">
        <v>66</v>
      </c>
      <c r="C16" s="53">
        <f>C12/C14</f>
        <v>3750</v>
      </c>
      <c r="D16" s="52" t="s">
        <v>21</v>
      </c>
      <c r="E16" s="4"/>
      <c r="F16" s="4"/>
      <c r="G16" s="4"/>
      <c r="H16" s="4"/>
      <c r="I16" s="4"/>
      <c r="J16" s="4"/>
      <c r="K16" s="4"/>
      <c r="L16" s="4"/>
    </row>
    <row r="17">
      <c r="A17" s="8"/>
      <c r="B17" s="4" t="s">
        <v>67</v>
      </c>
      <c r="C17" s="27">
        <f>C11*C16</f>
        <v>487.5</v>
      </c>
      <c r="D17" s="18">
        <f>D15*D10</f>
        <v>1500</v>
      </c>
      <c r="E17" s="4"/>
      <c r="F17" s="4"/>
      <c r="G17" s="3"/>
      <c r="H17" s="4"/>
      <c r="I17" s="4"/>
      <c r="J17" s="4"/>
      <c r="K17" s="4"/>
      <c r="L17" s="4"/>
    </row>
    <row r="18">
      <c r="A18" s="8"/>
      <c r="B18" s="28" t="s">
        <v>33</v>
      </c>
      <c r="C18" s="29">
        <f t="shared" ref="C18:D18" si="3">C27</f>
        <v>30032</v>
      </c>
      <c r="D18" s="29">
        <f t="shared" si="3"/>
        <v>27471.414</v>
      </c>
      <c r="E18" s="30"/>
      <c r="F18" s="4"/>
      <c r="G18" s="3"/>
      <c r="H18" s="4"/>
      <c r="I18" s="4"/>
      <c r="J18" s="4"/>
      <c r="K18" s="4"/>
      <c r="L18" s="4"/>
    </row>
    <row r="19">
      <c r="A19" s="4"/>
      <c r="B19" s="31" t="s">
        <v>34</v>
      </c>
      <c r="C19" s="6" t="s">
        <v>2</v>
      </c>
      <c r="D19" s="7" t="s">
        <v>90</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3"/>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4">$D23-$C23</f>
        <v>0</v>
      </c>
      <c r="F23" s="4"/>
      <c r="G23" s="4"/>
      <c r="H23" s="4"/>
      <c r="I23" s="4"/>
      <c r="J23" s="4"/>
      <c r="K23" s="4"/>
      <c r="L23" s="4"/>
    </row>
    <row r="24">
      <c r="A24" s="35"/>
      <c r="B24" s="32">
        <v>2.0</v>
      </c>
      <c r="C24" s="33"/>
      <c r="D24" s="33"/>
      <c r="E24" s="34">
        <f t="shared" si="4"/>
        <v>0</v>
      </c>
      <c r="F24" s="4"/>
      <c r="G24" s="3"/>
      <c r="H24" s="4"/>
      <c r="I24" s="4"/>
      <c r="J24" s="4"/>
      <c r="K24" s="4"/>
      <c r="L24" s="4"/>
    </row>
    <row r="25">
      <c r="A25" s="35"/>
      <c r="B25" s="32">
        <v>3.0</v>
      </c>
      <c r="C25" s="33"/>
      <c r="D25" s="33"/>
      <c r="E25" s="34">
        <f t="shared" si="4"/>
        <v>0</v>
      </c>
      <c r="F25" s="4"/>
      <c r="G25" s="4"/>
      <c r="H25" s="4"/>
      <c r="I25" s="4"/>
      <c r="J25" s="4"/>
      <c r="K25" s="4"/>
      <c r="L25" s="4"/>
    </row>
    <row r="26">
      <c r="A26" s="35"/>
      <c r="B26" s="32">
        <v>4.0</v>
      </c>
      <c r="C26" s="33"/>
      <c r="D26" s="33"/>
      <c r="E26" s="34">
        <f t="shared" si="4"/>
        <v>0</v>
      </c>
      <c r="F26" s="4"/>
      <c r="G26" s="4"/>
      <c r="H26" s="4"/>
      <c r="I26" s="4"/>
      <c r="J26" s="4"/>
      <c r="K26" s="4"/>
      <c r="L26" s="4"/>
    </row>
    <row r="27">
      <c r="A27" s="35"/>
      <c r="B27" s="32">
        <v>5.0</v>
      </c>
      <c r="C27" s="33">
        <f>C8+(B27*C17)+C13+C9</f>
        <v>30032</v>
      </c>
      <c r="D27" s="33">
        <f>D8+(D17*B27)+D13+D9</f>
        <v>27471.414</v>
      </c>
      <c r="E27" s="34">
        <f t="shared" si="4"/>
        <v>-2560.586</v>
      </c>
      <c r="F27" s="4"/>
      <c r="G27" s="3"/>
      <c r="H27" s="4"/>
      <c r="I27" s="4"/>
      <c r="J27" s="4"/>
      <c r="K27" s="4"/>
      <c r="L27" s="4"/>
    </row>
    <row r="28">
      <c r="A28" s="35"/>
      <c r="B28" s="32">
        <v>6.0</v>
      </c>
      <c r="C28" s="33"/>
      <c r="D28" s="33"/>
      <c r="E28" s="34">
        <f t="shared" si="4"/>
        <v>0</v>
      </c>
      <c r="F28" s="4"/>
      <c r="G28" s="4"/>
      <c r="H28" s="4"/>
      <c r="I28" s="4"/>
      <c r="J28" s="4"/>
      <c r="K28" s="4"/>
      <c r="L28" s="4"/>
    </row>
    <row r="29">
      <c r="A29" s="35"/>
      <c r="B29" s="32">
        <v>7.0</v>
      </c>
      <c r="C29" s="33"/>
      <c r="D29" s="33"/>
      <c r="E29" s="34">
        <f t="shared" si="4"/>
        <v>0</v>
      </c>
      <c r="F29" s="4"/>
      <c r="G29" s="4"/>
      <c r="H29" s="4"/>
      <c r="I29" s="4"/>
      <c r="J29" s="4"/>
      <c r="K29" s="4"/>
      <c r="L29" s="4"/>
    </row>
    <row r="30">
      <c r="A30" s="35"/>
      <c r="B30" s="32">
        <v>8.0</v>
      </c>
      <c r="C30" s="33"/>
      <c r="D30" s="33"/>
      <c r="E30" s="34">
        <f t="shared" si="4"/>
        <v>0</v>
      </c>
      <c r="F30" s="4"/>
      <c r="G30" s="4"/>
      <c r="H30" s="4"/>
      <c r="I30" s="4"/>
      <c r="J30" s="4"/>
      <c r="K30" s="4"/>
      <c r="L30" s="4"/>
    </row>
    <row r="31">
      <c r="A31" s="35"/>
      <c r="B31" s="32">
        <v>9.0</v>
      </c>
      <c r="C31" s="33"/>
      <c r="D31" s="33"/>
      <c r="E31" s="34">
        <f t="shared" si="4"/>
        <v>0</v>
      </c>
      <c r="F31" s="4"/>
      <c r="G31" s="4"/>
      <c r="H31" s="4"/>
      <c r="I31" s="4"/>
      <c r="J31" s="4"/>
      <c r="K31" s="4"/>
      <c r="L31" s="4"/>
    </row>
    <row r="32">
      <c r="A32" s="35"/>
      <c r="B32" s="32">
        <v>10.0</v>
      </c>
      <c r="C32" s="33"/>
      <c r="D32" s="33"/>
      <c r="E32" s="34">
        <f t="shared" si="4"/>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3">
    <mergeCell ref="J10:L10"/>
    <mergeCell ref="B1:D1"/>
    <mergeCell ref="G3:G8"/>
  </mergeCells>
  <hyperlinks>
    <hyperlink r:id="rId2" ref="J3"/>
    <hyperlink r:id="rId3" ref="J7"/>
    <hyperlink r:id="rId4" ref="J8"/>
    <hyperlink r:id="rId5" ref="E9"/>
    <hyperlink r:id="rId6" ref="E10"/>
    <hyperlink r:id="rId7" ref="J10"/>
    <hyperlink r:id="rId8" location="style=401756838" ref="E13"/>
    <hyperlink r:id="rId9" ref="F13"/>
    <hyperlink r:id="rId10" ref="E14"/>
  </hyperlinks>
  <drawing r:id="rId11"/>
  <legacyDrawing r:id="rId1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45.14"/>
    <col customWidth="1" min="3" max="3" width="18.57"/>
    <col customWidth="1" min="4" max="4" width="20.14"/>
    <col customWidth="1" min="5" max="5" width="21.14"/>
    <col customWidth="1" min="6" max="6" width="41.43"/>
    <col customWidth="1" min="7" max="7" width="25.14"/>
    <col customWidth="1" min="8" max="8" width="45.43"/>
    <col customWidth="1" min="9" max="9" width="3.0"/>
    <col customWidth="1" min="10" max="10" width="27.0"/>
  </cols>
  <sheetData>
    <row r="1">
      <c r="A1" s="46"/>
      <c r="B1" s="49" t="s">
        <v>74</v>
      </c>
      <c r="F1" s="3"/>
      <c r="G1" s="4"/>
      <c r="H1" s="4"/>
      <c r="I1" s="4"/>
      <c r="J1" s="4"/>
      <c r="K1" s="4"/>
      <c r="L1" s="4"/>
      <c r="M1" s="4"/>
    </row>
    <row r="2">
      <c r="A2" s="46"/>
      <c r="B2" s="5" t="s">
        <v>53</v>
      </c>
      <c r="C2" s="6" t="s">
        <v>37</v>
      </c>
      <c r="D2" s="7" t="s">
        <v>91</v>
      </c>
      <c r="E2" s="7" t="s">
        <v>92</v>
      </c>
      <c r="F2" s="3"/>
      <c r="G2" s="4"/>
      <c r="H2" s="4"/>
      <c r="I2" s="4"/>
      <c r="J2" s="4" t="s">
        <v>5</v>
      </c>
      <c r="K2" s="4"/>
      <c r="L2" s="4"/>
      <c r="M2" s="4"/>
    </row>
    <row r="3">
      <c r="A3" s="8"/>
      <c r="B3" s="55" t="s">
        <v>33</v>
      </c>
      <c r="C3" s="56">
        <f t="shared" ref="C3:E3" si="1">C28</f>
        <v>30032</v>
      </c>
      <c r="D3" s="56">
        <f t="shared" si="1"/>
        <v>45064.54</v>
      </c>
      <c r="E3" s="56">
        <f t="shared" si="1"/>
        <v>37531.44</v>
      </c>
      <c r="F3" s="10">
        <f>29740</f>
        <v>29740</v>
      </c>
      <c r="G3" s="11"/>
      <c r="H3" s="9"/>
      <c r="I3" s="4"/>
      <c r="J3" s="4"/>
      <c r="K3" s="12"/>
      <c r="L3" s="4"/>
      <c r="M3" s="4"/>
    </row>
    <row r="4">
      <c r="A4" s="8"/>
      <c r="B4" s="57" t="s">
        <v>7</v>
      </c>
      <c r="C4" s="10">
        <v>38990.0</v>
      </c>
      <c r="D4" s="10">
        <v>36275.0</v>
      </c>
      <c r="E4" s="10">
        <f>29740</f>
        <v>29740</v>
      </c>
      <c r="F4" s="17">
        <f>F3*0.07</f>
        <v>2081.8</v>
      </c>
      <c r="G4" s="11">
        <v>20000.0</v>
      </c>
      <c r="H4" s="9" t="s">
        <v>8</v>
      </c>
      <c r="I4" s="4"/>
      <c r="J4" s="4" t="s">
        <v>9</v>
      </c>
      <c r="K4" s="12" t="s">
        <v>10</v>
      </c>
      <c r="L4" s="4"/>
      <c r="M4" s="4"/>
    </row>
    <row r="5">
      <c r="A5" s="13"/>
      <c r="B5" s="58" t="s">
        <v>39</v>
      </c>
      <c r="C5" s="10">
        <f t="shared" ref="C5:E5" si="2">C4*0.07</f>
        <v>2729.3</v>
      </c>
      <c r="D5" s="17">
        <f t="shared" si="2"/>
        <v>2539.25</v>
      </c>
      <c r="E5" s="17">
        <f t="shared" si="2"/>
        <v>2081.8</v>
      </c>
      <c r="F5" s="10">
        <v>895.0</v>
      </c>
      <c r="G5" s="11"/>
      <c r="I5" s="4"/>
      <c r="J5" s="4"/>
      <c r="K5" s="12"/>
      <c r="L5" s="4"/>
      <c r="M5" s="4"/>
    </row>
    <row r="6">
      <c r="A6" s="13"/>
      <c r="B6" s="58" t="s">
        <v>40</v>
      </c>
      <c r="C6" s="10">
        <v>1200.0</v>
      </c>
      <c r="D6" s="10">
        <v>895.0</v>
      </c>
      <c r="E6" s="10">
        <v>895.0</v>
      </c>
      <c r="F6" s="38">
        <f>SUM(F3:F5)-5000</f>
        <v>27716.8</v>
      </c>
      <c r="G6" s="11"/>
      <c r="I6" s="4"/>
      <c r="J6" s="4"/>
      <c r="K6" s="12"/>
      <c r="L6" s="4"/>
      <c r="M6" s="4"/>
    </row>
    <row r="7">
      <c r="A7" s="13"/>
      <c r="B7" s="58" t="s">
        <v>11</v>
      </c>
      <c r="C7" s="10">
        <f>C4*0.487</f>
        <v>18988.13</v>
      </c>
      <c r="D7" s="17">
        <f>SUM(D4)*0.314</f>
        <v>11390.35</v>
      </c>
      <c r="E7" s="17">
        <f>SUM(E4)*0.31</f>
        <v>9219.4</v>
      </c>
      <c r="F7" s="15"/>
      <c r="G7" s="11"/>
      <c r="I7" s="4"/>
      <c r="J7" s="4"/>
      <c r="K7" s="12"/>
      <c r="L7" s="4"/>
      <c r="M7" s="4"/>
    </row>
    <row r="8">
      <c r="A8" s="13"/>
      <c r="B8" s="59" t="s">
        <v>13</v>
      </c>
      <c r="C8" s="10">
        <v>-1875.0</v>
      </c>
      <c r="D8" s="17">
        <v>0.0</v>
      </c>
      <c r="E8" s="17">
        <v>0.0</v>
      </c>
      <c r="F8" s="15"/>
      <c r="G8" s="11">
        <v>1.3</v>
      </c>
      <c r="I8" s="4"/>
      <c r="J8" s="4" t="s">
        <v>14</v>
      </c>
      <c r="K8" s="12" t="s">
        <v>15</v>
      </c>
      <c r="L8" s="4"/>
      <c r="M8" s="4"/>
    </row>
    <row r="9">
      <c r="A9" s="13"/>
      <c r="B9" s="60" t="s">
        <v>60</v>
      </c>
      <c r="C9" s="22">
        <f>C4+C8-C7+C5+C6</f>
        <v>22056.17</v>
      </c>
      <c r="D9" s="22">
        <f t="shared" ref="D9:E9" si="3">D4+D8-D7+D5</f>
        <v>27423.9</v>
      </c>
      <c r="E9" s="22">
        <f t="shared" si="3"/>
        <v>22602.4</v>
      </c>
      <c r="F9" s="19"/>
      <c r="G9" s="11">
        <v>0.0</v>
      </c>
      <c r="I9" s="4"/>
      <c r="J9" s="4" t="s">
        <v>17</v>
      </c>
      <c r="K9" s="12" t="s">
        <v>18</v>
      </c>
      <c r="L9" s="4"/>
      <c r="M9" s="4"/>
    </row>
    <row r="10">
      <c r="A10" s="8"/>
      <c r="B10" s="61" t="s">
        <v>61</v>
      </c>
      <c r="C10" s="40">
        <v>4238.33</v>
      </c>
      <c r="D10" s="40">
        <v>3644.14</v>
      </c>
      <c r="E10" s="40">
        <v>2910.04</v>
      </c>
      <c r="F10" s="43" t="s">
        <v>77</v>
      </c>
      <c r="G10" s="4"/>
      <c r="H10" s="4"/>
      <c r="I10" s="4"/>
      <c r="J10" s="4"/>
      <c r="K10" s="12"/>
      <c r="L10" s="12"/>
      <c r="M10" s="12"/>
    </row>
    <row r="11">
      <c r="A11" s="8"/>
      <c r="B11" s="57" t="s">
        <v>20</v>
      </c>
      <c r="C11" s="14" t="s">
        <v>21</v>
      </c>
      <c r="D11" s="14">
        <v>3.1</v>
      </c>
      <c r="E11" s="14">
        <v>3.1</v>
      </c>
      <c r="F11" s="43" t="s">
        <v>78</v>
      </c>
      <c r="G11" s="4"/>
      <c r="H11" s="4"/>
      <c r="I11" s="4"/>
      <c r="J11" s="4" t="s">
        <v>22</v>
      </c>
      <c r="K11" s="12" t="s">
        <v>23</v>
      </c>
    </row>
    <row r="12">
      <c r="A12" s="8"/>
      <c r="B12" s="58" t="s">
        <v>63</v>
      </c>
      <c r="C12" s="14">
        <v>0.13</v>
      </c>
      <c r="D12" s="14" t="s">
        <v>21</v>
      </c>
      <c r="E12" s="14" t="s">
        <v>21</v>
      </c>
      <c r="F12" s="20"/>
      <c r="G12" s="4"/>
      <c r="H12" s="4"/>
      <c r="I12" s="4"/>
    </row>
    <row r="13">
      <c r="A13" s="8"/>
      <c r="B13" s="58" t="s">
        <v>25</v>
      </c>
      <c r="C13" s="21">
        <v>15000.0</v>
      </c>
      <c r="D13" s="50">
        <v>15000.0</v>
      </c>
      <c r="E13" s="50">
        <v>15000.0</v>
      </c>
      <c r="F13" s="3"/>
      <c r="G13" s="4"/>
      <c r="H13" s="4"/>
      <c r="I13" s="4"/>
    </row>
    <row r="14">
      <c r="A14" s="8"/>
      <c r="B14" s="60" t="s">
        <v>42</v>
      </c>
      <c r="C14" s="41">
        <v>1300.0</v>
      </c>
      <c r="D14" s="41">
        <v>4309.0</v>
      </c>
      <c r="E14" s="41">
        <v>4269.0</v>
      </c>
      <c r="F14" s="42" t="s">
        <v>87</v>
      </c>
      <c r="G14" s="43" t="s">
        <v>81</v>
      </c>
      <c r="H14" s="4"/>
      <c r="I14" s="4"/>
      <c r="J14" s="4"/>
      <c r="K14" s="4"/>
      <c r="L14" s="4"/>
      <c r="M14" s="4"/>
    </row>
    <row r="15">
      <c r="A15" s="8"/>
      <c r="B15" s="58" t="s">
        <v>28</v>
      </c>
      <c r="C15" s="23">
        <v>4.0</v>
      </c>
      <c r="D15" s="23">
        <v>24.0</v>
      </c>
      <c r="E15" s="23">
        <v>30.0</v>
      </c>
      <c r="F15" s="43" t="s">
        <v>88</v>
      </c>
      <c r="G15" s="4"/>
      <c r="H15" s="4"/>
      <c r="I15" s="4"/>
      <c r="J15" s="4"/>
      <c r="K15" s="4"/>
      <c r="L15" s="4"/>
      <c r="M15" s="4"/>
    </row>
    <row r="16">
      <c r="A16" s="8"/>
      <c r="B16" s="62" t="s">
        <v>65</v>
      </c>
      <c r="C16" s="52" t="s">
        <v>21</v>
      </c>
      <c r="D16" s="53">
        <f t="shared" ref="D16:E16" si="4">D13/D15</f>
        <v>625</v>
      </c>
      <c r="E16" s="53">
        <f t="shared" si="4"/>
        <v>500</v>
      </c>
      <c r="F16" s="4"/>
      <c r="G16" s="4"/>
      <c r="H16" s="4"/>
      <c r="I16" s="4"/>
      <c r="J16" s="4"/>
      <c r="K16" s="4"/>
      <c r="L16" s="4"/>
      <c r="M16" s="4"/>
    </row>
    <row r="17">
      <c r="A17" s="8"/>
      <c r="B17" s="63" t="s">
        <v>66</v>
      </c>
      <c r="C17" s="53">
        <f>C13/C15</f>
        <v>3750</v>
      </c>
      <c r="D17" s="52" t="s">
        <v>21</v>
      </c>
      <c r="E17" s="52" t="s">
        <v>21</v>
      </c>
      <c r="F17" s="4"/>
      <c r="G17" s="4"/>
      <c r="H17" s="4"/>
      <c r="I17" s="4"/>
      <c r="J17" s="4"/>
      <c r="K17" s="4"/>
      <c r="L17" s="4"/>
      <c r="M17" s="4"/>
    </row>
    <row r="18">
      <c r="A18" s="8"/>
      <c r="B18" s="64" t="s">
        <v>67</v>
      </c>
      <c r="C18" s="41">
        <f>C12*C17</f>
        <v>487.5</v>
      </c>
      <c r="D18" s="22">
        <f t="shared" ref="D18:E18" si="5">D16*D11</f>
        <v>1937.5</v>
      </c>
      <c r="E18" s="22">
        <f t="shared" si="5"/>
        <v>1550</v>
      </c>
      <c r="F18" s="4"/>
      <c r="G18" s="4"/>
      <c r="H18" s="3"/>
      <c r="I18" s="4"/>
      <c r="J18" s="4"/>
      <c r="K18" s="4"/>
      <c r="L18" s="4"/>
      <c r="M18" s="4"/>
    </row>
    <row r="19">
      <c r="A19" s="8"/>
      <c r="B19" s="55"/>
      <c r="C19" s="29"/>
      <c r="D19" s="29"/>
      <c r="E19" s="29"/>
      <c r="F19" s="30"/>
      <c r="G19" s="4"/>
      <c r="H19" s="3"/>
      <c r="I19" s="4"/>
      <c r="J19" s="4"/>
      <c r="K19" s="4"/>
      <c r="L19" s="4"/>
      <c r="M19" s="4"/>
    </row>
    <row r="20">
      <c r="A20" s="4"/>
      <c r="B20" s="65" t="s">
        <v>34</v>
      </c>
      <c r="C20" s="6"/>
      <c r="D20" s="7"/>
      <c r="E20" s="7"/>
      <c r="F20" s="6" t="s">
        <v>35</v>
      </c>
      <c r="G20" s="4"/>
      <c r="H20" s="4"/>
      <c r="I20" s="4"/>
      <c r="J20" s="4"/>
      <c r="K20" s="4"/>
      <c r="L20" s="4"/>
      <c r="M20" s="4"/>
    </row>
    <row r="21">
      <c r="A21" s="31"/>
      <c r="B21" s="32"/>
      <c r="C21" s="33"/>
      <c r="D21" s="33"/>
      <c r="E21" s="33"/>
      <c r="F21" s="4"/>
      <c r="G21" s="4"/>
      <c r="H21" s="4"/>
      <c r="I21" s="4"/>
      <c r="J21" s="4"/>
      <c r="K21" s="4"/>
      <c r="L21" s="4"/>
      <c r="M21" s="4"/>
    </row>
    <row r="22">
      <c r="A22" s="31"/>
      <c r="B22" s="32"/>
      <c r="C22" s="33"/>
      <c r="D22" s="33"/>
      <c r="E22" s="33"/>
      <c r="F22" s="3"/>
      <c r="G22" s="4"/>
      <c r="H22" s="4"/>
      <c r="I22" s="4"/>
      <c r="J22" s="4"/>
      <c r="K22" s="4"/>
      <c r="L22" s="4"/>
      <c r="M22" s="4"/>
    </row>
    <row r="23">
      <c r="A23" s="31"/>
      <c r="B23" s="32"/>
      <c r="C23" s="33"/>
      <c r="D23" s="33"/>
      <c r="E23" s="33"/>
      <c r="F23" s="4"/>
      <c r="G23" s="4"/>
      <c r="H23" s="4"/>
      <c r="I23" s="4"/>
      <c r="J23" s="4"/>
      <c r="K23" s="4"/>
      <c r="L23" s="4"/>
      <c r="M23" s="4"/>
    </row>
    <row r="24">
      <c r="A24" s="31"/>
      <c r="B24" s="32">
        <v>1.0</v>
      </c>
      <c r="C24" s="33"/>
      <c r="D24" s="33"/>
      <c r="E24" s="33"/>
      <c r="F24" s="34">
        <f t="shared" ref="F24:F33" si="6">$D24-$C24</f>
        <v>0</v>
      </c>
      <c r="G24" s="4"/>
      <c r="H24" s="4"/>
      <c r="I24" s="4"/>
      <c r="J24" s="4"/>
      <c r="K24" s="4"/>
      <c r="L24" s="4"/>
      <c r="M24" s="4"/>
    </row>
    <row r="25">
      <c r="A25" s="35"/>
      <c r="B25" s="32">
        <v>2.0</v>
      </c>
      <c r="C25" s="33"/>
      <c r="D25" s="33"/>
      <c r="E25" s="33"/>
      <c r="F25" s="34">
        <f t="shared" si="6"/>
        <v>0</v>
      </c>
      <c r="G25" s="4"/>
      <c r="H25" s="3"/>
      <c r="I25" s="4"/>
      <c r="J25" s="4"/>
      <c r="K25" s="4"/>
      <c r="L25" s="4"/>
      <c r="M25" s="4"/>
    </row>
    <row r="26">
      <c r="A26" s="35"/>
      <c r="B26" s="32">
        <v>3.0</v>
      </c>
      <c r="C26" s="33"/>
      <c r="D26" s="33"/>
      <c r="E26" s="33"/>
      <c r="F26" s="34">
        <f t="shared" si="6"/>
        <v>0</v>
      </c>
      <c r="G26" s="4"/>
      <c r="H26" s="4"/>
      <c r="I26" s="4"/>
      <c r="J26" s="4"/>
      <c r="K26" s="4"/>
      <c r="L26" s="4"/>
      <c r="M26" s="4"/>
    </row>
    <row r="27">
      <c r="A27" s="35"/>
      <c r="B27" s="32">
        <v>4.0</v>
      </c>
      <c r="C27" s="33"/>
      <c r="D27" s="33"/>
      <c r="E27" s="33"/>
      <c r="F27" s="34">
        <f t="shared" si="6"/>
        <v>0</v>
      </c>
      <c r="G27" s="4"/>
      <c r="H27" s="4"/>
      <c r="I27" s="4"/>
      <c r="J27" s="4"/>
      <c r="K27" s="4"/>
      <c r="L27" s="4"/>
      <c r="M27" s="4"/>
    </row>
    <row r="28">
      <c r="A28" s="35"/>
      <c r="B28" s="32">
        <v>5.0</v>
      </c>
      <c r="C28" s="33">
        <f>C9+(B28*C18)+C14+C10</f>
        <v>30032</v>
      </c>
      <c r="D28" s="33">
        <f>D9+(D18*B28)+D14+D10</f>
        <v>45064.54</v>
      </c>
      <c r="E28" s="33">
        <f>E9+(E18*B28)+E14+E10</f>
        <v>37531.44</v>
      </c>
      <c r="F28" s="34">
        <f t="shared" si="6"/>
        <v>15032.54</v>
      </c>
      <c r="G28" s="4"/>
      <c r="H28" s="3"/>
      <c r="I28" s="4"/>
      <c r="J28" s="4"/>
      <c r="K28" s="4"/>
      <c r="L28" s="4"/>
      <c r="M28" s="4"/>
    </row>
    <row r="29">
      <c r="A29" s="35"/>
      <c r="B29" s="32">
        <v>6.0</v>
      </c>
      <c r="C29" s="33"/>
      <c r="D29" s="33"/>
      <c r="E29" s="33"/>
      <c r="F29" s="34">
        <f t="shared" si="6"/>
        <v>0</v>
      </c>
      <c r="G29" s="4"/>
      <c r="H29" s="4"/>
      <c r="I29" s="4"/>
      <c r="J29" s="4"/>
      <c r="K29" s="4"/>
      <c r="L29" s="4"/>
      <c r="M29" s="4"/>
    </row>
    <row r="30">
      <c r="A30" s="35"/>
      <c r="B30" s="32">
        <v>7.0</v>
      </c>
      <c r="C30" s="33"/>
      <c r="D30" s="33"/>
      <c r="E30" s="33"/>
      <c r="F30" s="34">
        <f t="shared" si="6"/>
        <v>0</v>
      </c>
      <c r="G30" s="4"/>
      <c r="H30" s="4"/>
      <c r="I30" s="4"/>
      <c r="J30" s="4"/>
      <c r="K30" s="4"/>
      <c r="L30" s="4"/>
      <c r="M30" s="4"/>
    </row>
    <row r="31">
      <c r="A31" s="35"/>
      <c r="B31" s="32">
        <v>8.0</v>
      </c>
      <c r="C31" s="33"/>
      <c r="D31" s="33"/>
      <c r="E31" s="33"/>
      <c r="F31" s="34">
        <f t="shared" si="6"/>
        <v>0</v>
      </c>
      <c r="G31" s="4"/>
      <c r="H31" s="4"/>
      <c r="I31" s="4"/>
      <c r="J31" s="4"/>
      <c r="K31" s="4"/>
      <c r="L31" s="4"/>
      <c r="M31" s="4"/>
    </row>
    <row r="32">
      <c r="A32" s="35"/>
      <c r="B32" s="32">
        <v>9.0</v>
      </c>
      <c r="C32" s="33"/>
      <c r="D32" s="33"/>
      <c r="E32" s="33"/>
      <c r="F32" s="34">
        <f t="shared" si="6"/>
        <v>0</v>
      </c>
      <c r="G32" s="4"/>
      <c r="H32" s="4"/>
      <c r="I32" s="4"/>
      <c r="J32" s="4"/>
      <c r="K32" s="4"/>
      <c r="L32" s="4"/>
      <c r="M32" s="4"/>
    </row>
    <row r="33">
      <c r="A33" s="35"/>
      <c r="B33" s="32">
        <v>10.0</v>
      </c>
      <c r="C33" s="33"/>
      <c r="D33" s="33"/>
      <c r="E33" s="33"/>
      <c r="F33" s="34">
        <f t="shared" si="6"/>
        <v>0</v>
      </c>
      <c r="G33" s="4"/>
      <c r="H33" s="4"/>
      <c r="I33" s="4"/>
      <c r="J33" s="4"/>
      <c r="K33" s="4"/>
      <c r="L33" s="4"/>
      <c r="M33" s="4"/>
    </row>
    <row r="34">
      <c r="A34" s="35"/>
      <c r="B34" s="35"/>
      <c r="C34" s="37"/>
      <c r="D34" s="37"/>
      <c r="E34" s="37"/>
      <c r="F34" s="4"/>
      <c r="G34" s="4"/>
      <c r="H34" s="4"/>
      <c r="I34" s="4"/>
      <c r="J34" s="4"/>
      <c r="K34" s="4"/>
      <c r="L34" s="4"/>
      <c r="M34" s="4"/>
    </row>
    <row r="35">
      <c r="A35" s="35"/>
      <c r="B35" s="35"/>
      <c r="C35" s="37"/>
      <c r="D35" s="37">
        <f>C33-D33</f>
        <v>0</v>
      </c>
      <c r="E35" s="37"/>
      <c r="F35" s="4"/>
      <c r="G35" s="4"/>
      <c r="H35" s="4"/>
      <c r="I35" s="4"/>
      <c r="J35" s="4"/>
      <c r="K35" s="4"/>
      <c r="L35" s="4"/>
      <c r="M35" s="4"/>
    </row>
    <row r="36">
      <c r="A36" s="35"/>
      <c r="B36" s="35"/>
      <c r="C36" s="37"/>
      <c r="D36" s="37"/>
      <c r="E36" s="37"/>
      <c r="F36" s="4"/>
      <c r="G36" s="4"/>
      <c r="H36" s="4"/>
      <c r="I36" s="4"/>
      <c r="J36" s="4"/>
      <c r="K36" s="4"/>
      <c r="L36" s="4"/>
      <c r="M36" s="4"/>
    </row>
    <row r="37">
      <c r="A37" s="35"/>
      <c r="F37" s="4"/>
      <c r="G37" s="4"/>
      <c r="H37" s="4"/>
      <c r="I37" s="4"/>
      <c r="J37" s="4"/>
      <c r="K37" s="4"/>
      <c r="L37" s="4"/>
      <c r="M37" s="4"/>
    </row>
  </sheetData>
  <mergeCells count="3">
    <mergeCell ref="K11:M11"/>
    <mergeCell ref="H4:H9"/>
    <mergeCell ref="B1:E1"/>
  </mergeCells>
  <hyperlinks>
    <hyperlink r:id="rId2" ref="K4"/>
    <hyperlink r:id="rId3" ref="K8"/>
    <hyperlink r:id="rId4" ref="K9"/>
    <hyperlink r:id="rId5" ref="F10"/>
    <hyperlink r:id="rId6" ref="F11"/>
    <hyperlink r:id="rId7" ref="K11"/>
    <hyperlink r:id="rId8" location="style=401756838" ref="F14"/>
    <hyperlink r:id="rId9" ref="G14"/>
    <hyperlink r:id="rId10" ref="F15"/>
  </hyperlinks>
  <drawing r:id="rId11"/>
  <legacyDrawing r:id="rId12"/>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45.14"/>
    <col customWidth="1" min="3" max="3" width="18.57"/>
    <col customWidth="1" min="4" max="4" width="20.14"/>
    <col customWidth="1" min="5" max="5" width="21.14"/>
    <col customWidth="1" min="6" max="6" width="41.43"/>
    <col customWidth="1" min="7" max="7" width="25.14"/>
    <col customWidth="1" min="8" max="8" width="45.43"/>
    <col customWidth="1" min="9" max="9" width="3.0"/>
    <col customWidth="1" min="10" max="10" width="27.0"/>
  </cols>
  <sheetData>
    <row r="1">
      <c r="A1" s="46"/>
      <c r="B1" s="49" t="s">
        <v>74</v>
      </c>
      <c r="F1" s="3"/>
      <c r="G1" s="4"/>
      <c r="H1" s="4"/>
      <c r="I1" s="4"/>
      <c r="J1" s="4"/>
      <c r="K1" s="4"/>
      <c r="L1" s="4"/>
      <c r="M1" s="4"/>
    </row>
    <row r="2">
      <c r="A2" s="46"/>
      <c r="B2" s="66" t="s">
        <v>53</v>
      </c>
      <c r="C2" s="68" t="s">
        <v>37</v>
      </c>
      <c r="D2" s="70" t="s">
        <v>94</v>
      </c>
      <c r="E2" s="70" t="s">
        <v>97</v>
      </c>
      <c r="F2" s="3"/>
      <c r="G2" s="4"/>
      <c r="H2" s="4"/>
      <c r="I2" s="4"/>
      <c r="J2" s="4" t="s">
        <v>5</v>
      </c>
      <c r="K2" s="4"/>
      <c r="L2" s="4"/>
      <c r="M2" s="4"/>
    </row>
    <row r="3">
      <c r="A3" s="8"/>
      <c r="B3" s="55" t="s">
        <v>33</v>
      </c>
      <c r="C3" s="29">
        <f t="shared" ref="C3:E3" si="1">C28</f>
        <v>30032</v>
      </c>
      <c r="D3" s="29">
        <f t="shared" si="1"/>
        <v>51661.02</v>
      </c>
      <c r="E3" s="29">
        <f t="shared" si="1"/>
        <v>43491.56138</v>
      </c>
      <c r="F3" s="3"/>
      <c r="G3" s="11"/>
      <c r="H3" s="9"/>
      <c r="I3" s="4"/>
      <c r="J3" s="4"/>
      <c r="K3" s="12"/>
      <c r="L3" s="4"/>
      <c r="M3" s="4"/>
    </row>
    <row r="4">
      <c r="A4" s="8"/>
      <c r="B4" s="57" t="s">
        <v>7</v>
      </c>
      <c r="C4" s="10">
        <v>38990.0</v>
      </c>
      <c r="D4" s="10">
        <v>42895.0</v>
      </c>
      <c r="E4" s="10">
        <v>35240.0</v>
      </c>
      <c r="F4" s="10">
        <v>42895.0</v>
      </c>
      <c r="G4" s="11">
        <v>20000.0</v>
      </c>
      <c r="H4" s="9" t="s">
        <v>8</v>
      </c>
      <c r="I4" s="4"/>
      <c r="J4" s="4" t="s">
        <v>9</v>
      </c>
      <c r="K4" s="12" t="s">
        <v>10</v>
      </c>
      <c r="L4" s="4"/>
      <c r="M4" s="4"/>
    </row>
    <row r="5">
      <c r="A5" s="13"/>
      <c r="B5" s="58" t="s">
        <v>39</v>
      </c>
      <c r="C5" s="10">
        <f t="shared" ref="C5:F5" si="2">C4*0.07</f>
        <v>2729.3</v>
      </c>
      <c r="D5" s="17">
        <f t="shared" si="2"/>
        <v>3002.65</v>
      </c>
      <c r="E5" s="17">
        <f t="shared" si="2"/>
        <v>2466.8</v>
      </c>
      <c r="F5" s="17">
        <f t="shared" si="2"/>
        <v>3002.65</v>
      </c>
      <c r="G5" s="11"/>
      <c r="I5" s="4"/>
      <c r="J5" s="4"/>
      <c r="K5" s="12"/>
      <c r="L5" s="4"/>
      <c r="M5" s="4"/>
    </row>
    <row r="6">
      <c r="A6" s="13"/>
      <c r="B6" s="58" t="s">
        <v>40</v>
      </c>
      <c r="C6" s="10">
        <v>1200.0</v>
      </c>
      <c r="D6" s="10">
        <v>895.0</v>
      </c>
      <c r="E6" s="10">
        <v>895.0</v>
      </c>
      <c r="F6" s="10">
        <v>895.0</v>
      </c>
      <c r="G6" s="11"/>
      <c r="I6" s="4"/>
      <c r="J6" s="4"/>
      <c r="K6" s="12"/>
      <c r="L6" s="4"/>
      <c r="M6" s="4"/>
    </row>
    <row r="7">
      <c r="A7" s="13"/>
      <c r="B7" s="58" t="s">
        <v>11</v>
      </c>
      <c r="C7" s="10">
        <f>C4*0.487</f>
        <v>18988.13</v>
      </c>
      <c r="D7" s="17">
        <f>SUM(D4)*0.314</f>
        <v>13469.03</v>
      </c>
      <c r="E7" s="17">
        <f>SUM(E4)*0.31</f>
        <v>10924.4</v>
      </c>
      <c r="F7" s="38">
        <f>SUM(F4:F6)-5000</f>
        <v>41792.65</v>
      </c>
      <c r="G7" s="11"/>
      <c r="I7" s="4"/>
      <c r="J7" s="4"/>
      <c r="K7" s="12"/>
      <c r="L7" s="4"/>
      <c r="M7" s="4"/>
    </row>
    <row r="8">
      <c r="A8" s="13"/>
      <c r="B8" s="59" t="s">
        <v>13</v>
      </c>
      <c r="C8" s="10">
        <v>-1875.0</v>
      </c>
      <c r="D8" s="17">
        <v>0.0</v>
      </c>
      <c r="E8" s="17">
        <v>0.0</v>
      </c>
      <c r="F8" s="15"/>
      <c r="G8" s="11">
        <v>1.3</v>
      </c>
      <c r="I8" s="4"/>
      <c r="J8" s="4" t="s">
        <v>14</v>
      </c>
      <c r="K8" s="12" t="s">
        <v>15</v>
      </c>
      <c r="L8" s="4"/>
      <c r="M8" s="4"/>
    </row>
    <row r="9">
      <c r="A9" s="13"/>
      <c r="B9" s="60" t="s">
        <v>60</v>
      </c>
      <c r="C9" s="22">
        <f t="shared" ref="C9:E9" si="3">C4+C8-C7+C5+C6</f>
        <v>22056.17</v>
      </c>
      <c r="D9" s="22">
        <f t="shared" si="3"/>
        <v>33323.62</v>
      </c>
      <c r="E9" s="22">
        <f t="shared" si="3"/>
        <v>27677.4</v>
      </c>
      <c r="F9" s="19"/>
      <c r="G9" s="11">
        <v>0.0</v>
      </c>
      <c r="I9" s="4"/>
      <c r="J9" s="4" t="s">
        <v>17</v>
      </c>
      <c r="K9" s="12" t="s">
        <v>18</v>
      </c>
      <c r="L9" s="4"/>
      <c r="M9" s="4"/>
    </row>
    <row r="10">
      <c r="A10" s="8"/>
      <c r="B10" s="61" t="s">
        <v>61</v>
      </c>
      <c r="C10" s="40">
        <v>4238.33</v>
      </c>
      <c r="D10" s="40">
        <v>4387.9</v>
      </c>
      <c r="E10" s="40">
        <v>3527.92</v>
      </c>
      <c r="F10" s="43" t="s">
        <v>77</v>
      </c>
      <c r="G10" s="4"/>
      <c r="H10" s="4"/>
      <c r="I10" s="4"/>
      <c r="J10" s="4"/>
      <c r="K10" s="12"/>
      <c r="L10" s="12"/>
      <c r="M10" s="12"/>
    </row>
    <row r="11">
      <c r="A11" s="8"/>
      <c r="B11" s="57" t="s">
        <v>20</v>
      </c>
      <c r="C11" s="14" t="s">
        <v>21</v>
      </c>
      <c r="D11" s="14">
        <v>3.1</v>
      </c>
      <c r="E11" s="14">
        <v>3.1</v>
      </c>
      <c r="F11" s="43" t="s">
        <v>78</v>
      </c>
      <c r="G11" s="4"/>
      <c r="H11" s="4"/>
      <c r="I11" s="4"/>
      <c r="J11" s="4" t="s">
        <v>22</v>
      </c>
      <c r="K11" s="12" t="s">
        <v>23</v>
      </c>
    </row>
    <row r="12">
      <c r="A12" s="8"/>
      <c r="B12" s="58" t="s">
        <v>63</v>
      </c>
      <c r="C12" s="14">
        <v>0.13</v>
      </c>
      <c r="D12" s="14" t="s">
        <v>21</v>
      </c>
      <c r="E12" s="14" t="s">
        <v>21</v>
      </c>
      <c r="F12" s="20"/>
      <c r="G12" s="4"/>
      <c r="H12" s="4"/>
      <c r="I12" s="4"/>
    </row>
    <row r="13">
      <c r="A13" s="8"/>
      <c r="B13" s="58" t="s">
        <v>25</v>
      </c>
      <c r="C13" s="21">
        <v>15000.0</v>
      </c>
      <c r="D13" s="50">
        <v>15000.0</v>
      </c>
      <c r="E13" s="50">
        <v>15000.0</v>
      </c>
      <c r="F13" s="3"/>
      <c r="G13" s="4"/>
      <c r="H13" s="4"/>
      <c r="I13" s="4"/>
    </row>
    <row r="14">
      <c r="A14" s="8"/>
      <c r="B14" s="60" t="s">
        <v>42</v>
      </c>
      <c r="C14" s="41">
        <v>1300.0</v>
      </c>
      <c r="D14" s="41">
        <v>4262.0</v>
      </c>
      <c r="E14" s="41">
        <v>4269.0</v>
      </c>
      <c r="F14" s="42" t="s">
        <v>87</v>
      </c>
      <c r="G14" s="43" t="s">
        <v>81</v>
      </c>
      <c r="H14" s="4"/>
      <c r="I14" s="4"/>
      <c r="J14" s="4"/>
      <c r="K14" s="4"/>
      <c r="L14" s="4"/>
      <c r="M14" s="4"/>
    </row>
    <row r="15">
      <c r="A15" s="8"/>
      <c r="B15" s="58" t="s">
        <v>28</v>
      </c>
      <c r="C15" s="23">
        <v>4.0</v>
      </c>
      <c r="D15" s="23">
        <v>24.0</v>
      </c>
      <c r="E15" s="23">
        <v>29.0</v>
      </c>
      <c r="F15" s="43" t="s">
        <v>104</v>
      </c>
      <c r="G15" s="4"/>
      <c r="H15" s="4"/>
      <c r="I15" s="4"/>
      <c r="J15" s="4"/>
      <c r="K15" s="4"/>
      <c r="L15" s="4"/>
      <c r="M15" s="4"/>
    </row>
    <row r="16">
      <c r="A16" s="8"/>
      <c r="B16" s="62" t="s">
        <v>65</v>
      </c>
      <c r="C16" s="52" t="s">
        <v>21</v>
      </c>
      <c r="D16" s="53">
        <f t="shared" ref="D16:E16" si="4">D13/D15</f>
        <v>625</v>
      </c>
      <c r="E16" s="53">
        <f t="shared" si="4"/>
        <v>517.2413793</v>
      </c>
      <c r="F16" s="43" t="s">
        <v>106</v>
      </c>
      <c r="G16" s="4"/>
      <c r="H16" s="4"/>
      <c r="I16" s="4"/>
      <c r="J16" s="4"/>
      <c r="K16" s="4"/>
      <c r="L16" s="4"/>
      <c r="M16" s="4"/>
    </row>
    <row r="17">
      <c r="A17" s="8"/>
      <c r="B17" s="63" t="s">
        <v>66</v>
      </c>
      <c r="C17" s="53">
        <f>C13/C15</f>
        <v>3750</v>
      </c>
      <c r="D17" s="52" t="s">
        <v>21</v>
      </c>
      <c r="E17" s="52" t="s">
        <v>21</v>
      </c>
      <c r="F17" s="4"/>
      <c r="G17" s="4"/>
      <c r="H17" s="4"/>
      <c r="I17" s="4"/>
      <c r="J17" s="4"/>
      <c r="K17" s="4"/>
      <c r="L17" s="4"/>
      <c r="M17" s="4"/>
    </row>
    <row r="18">
      <c r="A18" s="8"/>
      <c r="B18" s="64" t="s">
        <v>67</v>
      </c>
      <c r="C18" s="41">
        <f>C12*C17</f>
        <v>487.5</v>
      </c>
      <c r="D18" s="22">
        <f t="shared" ref="D18:E18" si="5">D16*D11</f>
        <v>1937.5</v>
      </c>
      <c r="E18" s="22">
        <f t="shared" si="5"/>
        <v>1603.448276</v>
      </c>
      <c r="F18" s="4"/>
      <c r="G18" s="4"/>
      <c r="H18" s="3"/>
      <c r="I18" s="4"/>
      <c r="J18" s="4"/>
      <c r="K18" s="4"/>
      <c r="L18" s="4"/>
      <c r="M18" s="4"/>
    </row>
    <row r="19">
      <c r="A19" s="8"/>
      <c r="B19" s="55"/>
      <c r="C19" s="29"/>
      <c r="D19" s="29"/>
      <c r="E19" s="29"/>
      <c r="F19" s="30"/>
      <c r="G19" s="4"/>
      <c r="H19" s="3"/>
      <c r="I19" s="4"/>
      <c r="J19" s="4"/>
      <c r="K19" s="4"/>
      <c r="L19" s="4"/>
      <c r="M19" s="4"/>
    </row>
    <row r="20">
      <c r="A20" s="4"/>
      <c r="B20" s="65" t="s">
        <v>34</v>
      </c>
      <c r="C20" s="6"/>
      <c r="D20" s="7"/>
      <c r="E20" s="7"/>
      <c r="F20" s="6" t="s">
        <v>35</v>
      </c>
      <c r="G20" s="4"/>
      <c r="H20" s="4"/>
      <c r="I20" s="4"/>
      <c r="J20" s="4"/>
      <c r="K20" s="4"/>
      <c r="L20" s="4"/>
      <c r="M20" s="4"/>
    </row>
    <row r="21">
      <c r="A21" s="31"/>
      <c r="B21" s="32"/>
      <c r="C21" s="33"/>
      <c r="D21" s="33"/>
      <c r="E21" s="33"/>
      <c r="F21" s="4"/>
      <c r="G21" s="4"/>
      <c r="H21" s="4"/>
      <c r="I21" s="4"/>
      <c r="J21" s="4"/>
      <c r="K21" s="4"/>
      <c r="L21" s="4"/>
      <c r="M21" s="4"/>
    </row>
    <row r="22">
      <c r="A22" s="31"/>
      <c r="B22" s="32"/>
      <c r="C22" s="33"/>
      <c r="D22" s="33"/>
      <c r="E22" s="33"/>
      <c r="F22" s="3"/>
      <c r="G22" s="4"/>
      <c r="H22" s="4"/>
      <c r="I22" s="4"/>
      <c r="J22" s="4"/>
      <c r="K22" s="4"/>
      <c r="L22" s="4"/>
      <c r="M22" s="4"/>
    </row>
    <row r="23">
      <c r="A23" s="31"/>
      <c r="B23" s="32"/>
      <c r="C23" s="33"/>
      <c r="D23" s="33"/>
      <c r="E23" s="33"/>
      <c r="F23" s="4"/>
      <c r="G23" s="4"/>
      <c r="H23" s="4"/>
      <c r="I23" s="4"/>
      <c r="J23" s="4"/>
      <c r="K23" s="4"/>
      <c r="L23" s="4"/>
      <c r="M23" s="4"/>
    </row>
    <row r="24">
      <c r="A24" s="31"/>
      <c r="B24" s="32">
        <v>1.0</v>
      </c>
      <c r="C24" s="33"/>
      <c r="D24" s="33"/>
      <c r="E24" s="33"/>
      <c r="F24" s="34">
        <f t="shared" ref="F24:F33" si="6">$D24-$C24</f>
        <v>0</v>
      </c>
      <c r="G24" s="4"/>
      <c r="H24" s="4"/>
      <c r="I24" s="4"/>
      <c r="J24" s="4"/>
      <c r="K24" s="4"/>
      <c r="L24" s="4"/>
      <c r="M24" s="4"/>
    </row>
    <row r="25">
      <c r="A25" s="35"/>
      <c r="B25" s="32">
        <v>2.0</v>
      </c>
      <c r="C25" s="33"/>
      <c r="D25" s="33"/>
      <c r="E25" s="33"/>
      <c r="F25" s="34">
        <f t="shared" si="6"/>
        <v>0</v>
      </c>
      <c r="G25" s="4"/>
      <c r="H25" s="3"/>
      <c r="I25" s="4"/>
      <c r="J25" s="4"/>
      <c r="K25" s="4"/>
      <c r="L25" s="4"/>
      <c r="M25" s="4"/>
    </row>
    <row r="26">
      <c r="A26" s="35"/>
      <c r="B26" s="32">
        <v>3.0</v>
      </c>
      <c r="C26" s="33"/>
      <c r="D26" s="33"/>
      <c r="E26" s="33"/>
      <c r="F26" s="34">
        <f t="shared" si="6"/>
        <v>0</v>
      </c>
      <c r="G26" s="4"/>
      <c r="H26" s="4"/>
      <c r="I26" s="4"/>
      <c r="J26" s="4"/>
      <c r="K26" s="4"/>
      <c r="L26" s="4"/>
      <c r="M26" s="4"/>
    </row>
    <row r="27">
      <c r="A27" s="35"/>
      <c r="B27" s="32">
        <v>4.0</v>
      </c>
      <c r="C27" s="33"/>
      <c r="D27" s="33"/>
      <c r="E27" s="33"/>
      <c r="F27" s="34">
        <f t="shared" si="6"/>
        <v>0</v>
      </c>
      <c r="G27" s="4"/>
      <c r="H27" s="4"/>
      <c r="I27" s="4"/>
      <c r="J27" s="4"/>
      <c r="K27" s="4"/>
      <c r="L27" s="4"/>
      <c r="M27" s="4"/>
    </row>
    <row r="28">
      <c r="A28" s="35"/>
      <c r="B28" s="32">
        <v>5.0</v>
      </c>
      <c r="C28" s="33">
        <f>C9+(B28*C18)+C14+C10</f>
        <v>30032</v>
      </c>
      <c r="D28" s="33">
        <f>D9+(D18*B28)+D14+D10</f>
        <v>51661.02</v>
      </c>
      <c r="E28" s="33">
        <f>E9+(E18*B28)+E14+E10</f>
        <v>43491.56138</v>
      </c>
      <c r="F28" s="34">
        <f t="shared" si="6"/>
        <v>21629.02</v>
      </c>
      <c r="G28" s="4"/>
      <c r="H28" s="3"/>
      <c r="I28" s="4"/>
      <c r="J28" s="4"/>
      <c r="K28" s="4"/>
      <c r="L28" s="4"/>
      <c r="M28" s="4"/>
    </row>
    <row r="29">
      <c r="A29" s="35"/>
      <c r="B29" s="32">
        <v>6.0</v>
      </c>
      <c r="C29" s="33"/>
      <c r="D29" s="33"/>
      <c r="E29" s="33"/>
      <c r="F29" s="34">
        <f t="shared" si="6"/>
        <v>0</v>
      </c>
      <c r="G29" s="4"/>
      <c r="H29" s="4"/>
      <c r="I29" s="4"/>
      <c r="J29" s="4"/>
      <c r="K29" s="4"/>
      <c r="L29" s="4"/>
      <c r="M29" s="4"/>
    </row>
    <row r="30">
      <c r="A30" s="35"/>
      <c r="B30" s="32">
        <v>7.0</v>
      </c>
      <c r="C30" s="33"/>
      <c r="D30" s="33"/>
      <c r="E30" s="33"/>
      <c r="F30" s="34">
        <f t="shared" si="6"/>
        <v>0</v>
      </c>
      <c r="G30" s="4"/>
      <c r="H30" s="4"/>
      <c r="I30" s="4"/>
      <c r="J30" s="4"/>
      <c r="K30" s="4"/>
      <c r="L30" s="4"/>
      <c r="M30" s="4"/>
    </row>
    <row r="31">
      <c r="A31" s="35"/>
      <c r="B31" s="32">
        <v>8.0</v>
      </c>
      <c r="C31" s="33"/>
      <c r="D31" s="33"/>
      <c r="E31" s="33"/>
      <c r="F31" s="34">
        <f t="shared" si="6"/>
        <v>0</v>
      </c>
      <c r="G31" s="4"/>
      <c r="H31" s="4"/>
      <c r="I31" s="4"/>
      <c r="J31" s="4"/>
      <c r="K31" s="4"/>
      <c r="L31" s="4"/>
      <c r="M31" s="4"/>
    </row>
    <row r="32">
      <c r="A32" s="35"/>
      <c r="B32" s="32">
        <v>9.0</v>
      </c>
      <c r="C32" s="33"/>
      <c r="D32" s="33"/>
      <c r="E32" s="33"/>
      <c r="F32" s="34">
        <f t="shared" si="6"/>
        <v>0</v>
      </c>
      <c r="G32" s="4"/>
      <c r="H32" s="4"/>
      <c r="I32" s="4"/>
      <c r="J32" s="4"/>
      <c r="K32" s="4"/>
      <c r="L32" s="4"/>
      <c r="M32" s="4"/>
    </row>
    <row r="33">
      <c r="A33" s="35"/>
      <c r="B33" s="32">
        <v>10.0</v>
      </c>
      <c r="C33" s="33"/>
      <c r="D33" s="33"/>
      <c r="E33" s="33"/>
      <c r="F33" s="34">
        <f t="shared" si="6"/>
        <v>0</v>
      </c>
      <c r="G33" s="4"/>
      <c r="H33" s="4"/>
      <c r="I33" s="4"/>
      <c r="J33" s="4"/>
      <c r="K33" s="4"/>
      <c r="L33" s="4"/>
      <c r="M33" s="4"/>
    </row>
    <row r="34">
      <c r="A34" s="35"/>
      <c r="B34" s="35"/>
      <c r="C34" s="37"/>
      <c r="D34" s="37"/>
      <c r="E34" s="37"/>
      <c r="F34" s="4"/>
      <c r="G34" s="4"/>
      <c r="H34" s="4"/>
      <c r="I34" s="4"/>
      <c r="J34" s="4"/>
      <c r="K34" s="4"/>
      <c r="L34" s="4"/>
      <c r="M34" s="4"/>
    </row>
    <row r="35">
      <c r="A35" s="35"/>
      <c r="B35" s="35"/>
      <c r="C35" s="37"/>
      <c r="D35" s="37">
        <f>C33-D33</f>
        <v>0</v>
      </c>
      <c r="E35" s="37"/>
      <c r="F35" s="4"/>
      <c r="G35" s="4"/>
      <c r="H35" s="4"/>
      <c r="I35" s="4"/>
      <c r="J35" s="4"/>
      <c r="K35" s="4"/>
      <c r="L35" s="4"/>
      <c r="M35" s="4"/>
    </row>
    <row r="36">
      <c r="A36" s="35"/>
      <c r="B36" s="35"/>
      <c r="C36" s="37"/>
      <c r="D36" s="37"/>
      <c r="E36" s="37"/>
      <c r="F36" s="4"/>
      <c r="G36" s="4"/>
      <c r="H36" s="4"/>
      <c r="I36" s="4"/>
      <c r="J36" s="4"/>
      <c r="K36" s="4"/>
      <c r="L36" s="4"/>
      <c r="M36" s="4"/>
    </row>
    <row r="37">
      <c r="A37" s="35"/>
      <c r="F37" s="4"/>
      <c r="G37" s="4"/>
      <c r="H37" s="4"/>
      <c r="I37" s="4"/>
      <c r="J37" s="4"/>
      <c r="K37" s="4"/>
      <c r="L37" s="4"/>
      <c r="M37" s="4"/>
    </row>
  </sheetData>
  <mergeCells count="3">
    <mergeCell ref="K11:M11"/>
    <mergeCell ref="H4:H9"/>
    <mergeCell ref="B1:E1"/>
  </mergeCells>
  <hyperlinks>
    <hyperlink r:id="rId2" ref="K4"/>
    <hyperlink r:id="rId3" ref="K8"/>
    <hyperlink r:id="rId4" ref="K9"/>
    <hyperlink r:id="rId5" ref="F10"/>
    <hyperlink r:id="rId6" ref="F11"/>
    <hyperlink r:id="rId7" ref="K11"/>
    <hyperlink r:id="rId8" location="style=401756838" ref="F14"/>
    <hyperlink r:id="rId9" ref="G14"/>
    <hyperlink r:id="rId10" ref="F15"/>
    <hyperlink r:id="rId11" ref="F16"/>
  </hyperlinks>
  <drawing r:id="rId12"/>
  <legacyDrawing r:id="rId1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45.14"/>
    <col customWidth="1" min="3" max="3" width="20.57"/>
    <col customWidth="1" min="4" max="4" width="20.71"/>
    <col customWidth="1" min="5" max="5" width="20.14"/>
    <col customWidth="1" min="6" max="6" width="21.14"/>
    <col customWidth="1" min="7" max="7" width="41.43"/>
    <col customWidth="1" min="8" max="8" width="25.14"/>
    <col customWidth="1" min="9" max="9" width="45.43"/>
    <col customWidth="1" min="10" max="10" width="3.0"/>
    <col customWidth="1" min="11" max="11" width="27.0"/>
  </cols>
  <sheetData>
    <row r="1">
      <c r="A1" s="46"/>
      <c r="B1" s="49" t="s">
        <v>74</v>
      </c>
      <c r="F1" s="49"/>
      <c r="G1" s="3"/>
      <c r="H1" s="4"/>
      <c r="I1" s="4"/>
      <c r="J1" s="4"/>
      <c r="K1" s="4"/>
      <c r="L1" s="4"/>
      <c r="M1" s="4"/>
      <c r="N1" s="4"/>
    </row>
    <row r="2">
      <c r="A2" s="46"/>
      <c r="B2" s="67" t="s">
        <v>53</v>
      </c>
      <c r="C2" s="69" t="s">
        <v>93</v>
      </c>
      <c r="D2" s="69" t="s">
        <v>95</v>
      </c>
      <c r="E2" s="71" t="s">
        <v>96</v>
      </c>
      <c r="F2" s="71" t="s">
        <v>98</v>
      </c>
      <c r="G2" s="3"/>
      <c r="H2" s="4"/>
      <c r="I2" s="4"/>
      <c r="J2" s="4"/>
      <c r="K2" s="4" t="s">
        <v>5</v>
      </c>
      <c r="L2" s="4"/>
      <c r="M2" s="4"/>
      <c r="N2" s="4"/>
    </row>
    <row r="3">
      <c r="A3" s="8"/>
      <c r="B3" s="72" t="s">
        <v>33</v>
      </c>
      <c r="C3" s="73">
        <f t="shared" ref="C3:F3" si="1">C25</f>
        <v>20959.8</v>
      </c>
      <c r="D3" s="73">
        <f t="shared" si="1"/>
        <v>23659.77</v>
      </c>
      <c r="E3" s="73">
        <f t="shared" si="1"/>
        <v>24223.97</v>
      </c>
      <c r="F3" s="73">
        <f t="shared" si="1"/>
        <v>29559.04</v>
      </c>
      <c r="G3" s="3"/>
      <c r="H3" s="11"/>
      <c r="I3" s="9"/>
      <c r="J3" s="4"/>
      <c r="K3" s="4"/>
      <c r="L3" s="12"/>
      <c r="M3" s="4"/>
      <c r="N3" s="4"/>
    </row>
    <row r="4">
      <c r="A4" s="8"/>
      <c r="B4" s="74" t="s">
        <v>7</v>
      </c>
      <c r="C4" s="75">
        <v>26000.0</v>
      </c>
      <c r="D4" s="75">
        <v>30000.0</v>
      </c>
      <c r="E4" s="75">
        <v>21415.0</v>
      </c>
      <c r="F4" s="75">
        <v>27670.0</v>
      </c>
      <c r="G4" s="3"/>
      <c r="H4" s="11">
        <v>20000.0</v>
      </c>
      <c r="I4" s="9" t="s">
        <v>8</v>
      </c>
      <c r="J4" s="4"/>
      <c r="K4" s="4" t="s">
        <v>9</v>
      </c>
      <c r="L4" s="12" t="s">
        <v>10</v>
      </c>
      <c r="M4" s="4"/>
      <c r="N4" s="4"/>
    </row>
    <row r="5">
      <c r="A5" s="13"/>
      <c r="B5" s="76" t="s">
        <v>99</v>
      </c>
      <c r="C5" s="77">
        <f>C4*0.43</f>
        <v>11180</v>
      </c>
      <c r="D5" s="78">
        <f>SUM(D4)*0.43</f>
        <v>12900</v>
      </c>
      <c r="E5" s="78">
        <f t="shared" ref="E5:F5" si="2">SUM(E4)*0.33</f>
        <v>7066.95</v>
      </c>
      <c r="F5" s="78">
        <f t="shared" si="2"/>
        <v>9131.1</v>
      </c>
      <c r="G5" s="15"/>
      <c r="H5" s="11"/>
      <c r="J5" s="4"/>
      <c r="K5" s="4"/>
      <c r="L5" s="12"/>
      <c r="M5" s="4"/>
      <c r="N5" s="4"/>
    </row>
    <row r="6">
      <c r="A6" s="13"/>
      <c r="B6" s="79" t="s">
        <v>60</v>
      </c>
      <c r="C6" s="80">
        <f t="shared" ref="C6:F6" si="3">C4-C5</f>
        <v>14820</v>
      </c>
      <c r="D6" s="80">
        <f t="shared" si="3"/>
        <v>17100</v>
      </c>
      <c r="E6" s="80">
        <f t="shared" si="3"/>
        <v>14348.05</v>
      </c>
      <c r="F6" s="80">
        <f t="shared" si="3"/>
        <v>18538.9</v>
      </c>
      <c r="G6" s="19"/>
      <c r="H6" s="11">
        <v>0.0</v>
      </c>
      <c r="J6" s="4"/>
      <c r="K6" s="4" t="s">
        <v>17</v>
      </c>
      <c r="L6" s="12" t="s">
        <v>18</v>
      </c>
      <c r="M6" s="4"/>
      <c r="N6" s="4"/>
    </row>
    <row r="7">
      <c r="A7" s="8"/>
      <c r="B7" s="79" t="s">
        <v>102</v>
      </c>
      <c r="C7" s="81">
        <v>2414.8</v>
      </c>
      <c r="D7" s="81">
        <v>2834.77</v>
      </c>
      <c r="E7" s="81">
        <v>1933.42</v>
      </c>
      <c r="F7" s="81">
        <v>2590.14</v>
      </c>
      <c r="G7" s="43" t="s">
        <v>77</v>
      </c>
      <c r="H7" s="4"/>
      <c r="I7" s="4"/>
      <c r="J7" s="4"/>
      <c r="K7" s="4"/>
      <c r="L7" s="12"/>
      <c r="M7" s="12"/>
      <c r="N7" s="12"/>
    </row>
    <row r="8">
      <c r="A8" s="8"/>
      <c r="B8" s="76" t="s">
        <v>20</v>
      </c>
      <c r="C8" s="82" t="s">
        <v>21</v>
      </c>
      <c r="D8" s="82" t="s">
        <v>21</v>
      </c>
      <c r="E8" s="83">
        <v>1.5</v>
      </c>
      <c r="F8" s="83">
        <v>1.5</v>
      </c>
      <c r="G8" s="43" t="s">
        <v>78</v>
      </c>
      <c r="H8" s="4"/>
      <c r="I8" s="4"/>
      <c r="J8" s="4"/>
      <c r="K8" s="4" t="s">
        <v>22</v>
      </c>
      <c r="L8" s="12" t="s">
        <v>23</v>
      </c>
    </row>
    <row r="9">
      <c r="A9" s="8"/>
      <c r="B9" s="76" t="s">
        <v>63</v>
      </c>
      <c r="C9" s="83">
        <v>0.3</v>
      </c>
      <c r="D9" s="83">
        <v>0.3</v>
      </c>
      <c r="E9" s="82" t="s">
        <v>21</v>
      </c>
      <c r="F9" s="82"/>
      <c r="G9" s="20"/>
      <c r="H9" s="4"/>
      <c r="I9" s="4"/>
      <c r="J9" s="4"/>
    </row>
    <row r="10">
      <c r="A10" s="8"/>
      <c r="B10" s="76" t="s">
        <v>103</v>
      </c>
      <c r="C10" s="84">
        <v>13000.0</v>
      </c>
      <c r="D10" s="84">
        <v>13000.0</v>
      </c>
      <c r="E10" s="84">
        <v>13000.0</v>
      </c>
      <c r="F10" s="84">
        <v>13000.0</v>
      </c>
      <c r="G10" s="3"/>
      <c r="H10" s="4"/>
      <c r="I10" s="4"/>
      <c r="J10" s="4"/>
    </row>
    <row r="11">
      <c r="A11" s="8"/>
      <c r="B11" s="79" t="s">
        <v>42</v>
      </c>
      <c r="C11" s="81">
        <v>800.0</v>
      </c>
      <c r="D11" s="81">
        <v>800.0</v>
      </c>
      <c r="E11" s="81">
        <v>1800.0</v>
      </c>
      <c r="F11" s="81">
        <v>1800.0</v>
      </c>
      <c r="G11" s="42" t="s">
        <v>87</v>
      </c>
      <c r="H11" s="43" t="s">
        <v>81</v>
      </c>
      <c r="I11" s="4"/>
      <c r="J11" s="4"/>
      <c r="K11" s="4"/>
      <c r="L11" s="4"/>
      <c r="M11" s="4"/>
      <c r="N11" s="4"/>
    </row>
    <row r="12">
      <c r="A12" s="8"/>
      <c r="B12" s="76" t="s">
        <v>105</v>
      </c>
      <c r="C12" s="85"/>
      <c r="D12" s="85"/>
      <c r="E12" s="85">
        <v>6.3</v>
      </c>
      <c r="F12" s="85">
        <v>6.8</v>
      </c>
      <c r="G12" s="43" t="s">
        <v>88</v>
      </c>
      <c r="H12" s="4"/>
      <c r="I12" s="4"/>
      <c r="J12" s="4"/>
      <c r="K12" s="4"/>
      <c r="L12" s="4"/>
      <c r="M12" s="4"/>
      <c r="N12" s="4"/>
    </row>
    <row r="13">
      <c r="A13" s="8"/>
      <c r="B13" s="86" t="s">
        <v>107</v>
      </c>
      <c r="C13" s="87"/>
      <c r="D13" s="88"/>
      <c r="E13" s="89">
        <f t="shared" ref="E13:F13" si="4">E12*(E10/100)</f>
        <v>819</v>
      </c>
      <c r="F13" s="89">
        <f t="shared" si="4"/>
        <v>884</v>
      </c>
      <c r="G13" s="4"/>
      <c r="H13" s="4"/>
      <c r="I13" s="4"/>
      <c r="J13" s="4"/>
      <c r="K13" s="4"/>
      <c r="L13" s="4"/>
      <c r="M13" s="4"/>
      <c r="N13" s="4"/>
    </row>
    <row r="14">
      <c r="A14" s="8"/>
      <c r="B14" s="86" t="s">
        <v>108</v>
      </c>
      <c r="C14" s="90">
        <f t="shared" ref="C14:D14" si="5">15*(C10/100)</f>
        <v>1950</v>
      </c>
      <c r="D14" s="90">
        <f t="shared" si="5"/>
        <v>1950</v>
      </c>
      <c r="E14" s="87" t="s">
        <v>21</v>
      </c>
      <c r="F14" s="87"/>
      <c r="G14" s="4"/>
      <c r="H14" s="4"/>
      <c r="I14" s="4"/>
      <c r="J14" s="4"/>
      <c r="K14" s="4"/>
      <c r="L14" s="4"/>
      <c r="M14" s="4"/>
      <c r="N14" s="4"/>
    </row>
    <row r="15">
      <c r="A15" s="8"/>
      <c r="B15" s="91" t="s">
        <v>67</v>
      </c>
      <c r="C15" s="81">
        <f t="shared" ref="C15:D15" si="6">C9*C14</f>
        <v>585</v>
      </c>
      <c r="D15" s="81">
        <f t="shared" si="6"/>
        <v>585</v>
      </c>
      <c r="E15" s="80">
        <f t="shared" ref="E15:F15" si="7">E13*1.5</f>
        <v>1228.5</v>
      </c>
      <c r="F15" s="80">
        <f t="shared" si="7"/>
        <v>1326</v>
      </c>
      <c r="G15" s="4"/>
      <c r="H15" s="4"/>
      <c r="I15" s="3"/>
      <c r="J15" s="4"/>
      <c r="K15" s="4"/>
      <c r="L15" s="4"/>
      <c r="M15" s="4"/>
      <c r="N15" s="4"/>
    </row>
    <row r="16">
      <c r="A16" s="8"/>
      <c r="B16" s="92" t="s">
        <v>109</v>
      </c>
      <c r="D16" s="93"/>
      <c r="E16" s="93"/>
      <c r="F16" s="93"/>
      <c r="G16" s="30"/>
      <c r="H16" s="4"/>
      <c r="I16" s="3"/>
      <c r="J16" s="4"/>
      <c r="K16" s="4"/>
      <c r="L16" s="4"/>
      <c r="M16" s="4"/>
      <c r="N16" s="4"/>
    </row>
    <row r="17">
      <c r="A17" s="4"/>
      <c r="B17" s="65" t="s">
        <v>34</v>
      </c>
      <c r="C17" s="6"/>
      <c r="D17" s="7"/>
      <c r="E17" s="7"/>
      <c r="F17" s="7"/>
      <c r="G17" s="6" t="s">
        <v>35</v>
      </c>
      <c r="H17" s="4"/>
      <c r="I17" s="4"/>
      <c r="J17" s="4"/>
      <c r="K17" s="4"/>
      <c r="L17" s="4"/>
      <c r="M17" s="4"/>
      <c r="N17" s="4"/>
    </row>
    <row r="18">
      <c r="A18" s="31"/>
      <c r="B18" s="32"/>
      <c r="C18" s="33"/>
      <c r="D18" s="33"/>
      <c r="E18" s="33"/>
      <c r="F18" s="33"/>
      <c r="G18" s="4"/>
      <c r="H18" s="4"/>
      <c r="I18" s="4"/>
      <c r="J18" s="4"/>
      <c r="K18" s="4"/>
      <c r="L18" s="4"/>
      <c r="M18" s="4"/>
      <c r="N18" s="4"/>
    </row>
    <row r="19">
      <c r="A19" s="31"/>
      <c r="B19" s="32"/>
      <c r="C19" s="33"/>
      <c r="D19" s="33"/>
      <c r="E19" s="33"/>
      <c r="F19" s="33"/>
      <c r="G19" s="3"/>
      <c r="H19" s="4"/>
      <c r="I19" s="4"/>
      <c r="J19" s="4"/>
      <c r="K19" s="4"/>
      <c r="L19" s="4"/>
      <c r="M19" s="4"/>
      <c r="N19" s="4"/>
    </row>
    <row r="20">
      <c r="A20" s="31"/>
      <c r="B20" s="32"/>
      <c r="C20" s="33"/>
      <c r="D20" s="33"/>
      <c r="E20" s="33"/>
      <c r="F20" s="33"/>
      <c r="G20" s="4"/>
      <c r="H20" s="4"/>
      <c r="I20" s="4"/>
      <c r="J20" s="4"/>
      <c r="K20" s="4"/>
      <c r="L20" s="4"/>
      <c r="M20" s="4"/>
      <c r="N20" s="4"/>
    </row>
    <row r="21">
      <c r="A21" s="31"/>
      <c r="B21" s="32">
        <v>1.0</v>
      </c>
      <c r="C21" s="33"/>
      <c r="D21" s="33"/>
      <c r="E21" s="33"/>
      <c r="F21" s="33"/>
      <c r="G21" s="34">
        <f t="shared" ref="G21:G30" si="8">$D21-$C21</f>
        <v>0</v>
      </c>
      <c r="H21" s="4"/>
      <c r="I21" s="4"/>
      <c r="J21" s="4"/>
      <c r="K21" s="4"/>
      <c r="L21" s="4"/>
      <c r="M21" s="4"/>
      <c r="N21" s="4"/>
    </row>
    <row r="22">
      <c r="A22" s="35"/>
      <c r="B22" s="32">
        <v>2.0</v>
      </c>
      <c r="C22" s="33"/>
      <c r="D22" s="33"/>
      <c r="E22" s="33"/>
      <c r="F22" s="33"/>
      <c r="G22" s="34">
        <f t="shared" si="8"/>
        <v>0</v>
      </c>
      <c r="H22" s="4"/>
      <c r="I22" s="3"/>
      <c r="J22" s="4"/>
      <c r="K22" s="4"/>
      <c r="L22" s="4"/>
      <c r="M22" s="4"/>
      <c r="N22" s="4"/>
    </row>
    <row r="23">
      <c r="A23" s="35"/>
      <c r="B23" s="32">
        <v>3.0</v>
      </c>
      <c r="C23" s="33"/>
      <c r="D23" s="33"/>
      <c r="E23" s="33"/>
      <c r="F23" s="33"/>
      <c r="G23" s="34">
        <f t="shared" si="8"/>
        <v>0</v>
      </c>
      <c r="H23" s="4"/>
      <c r="I23" s="4"/>
      <c r="J23" s="4"/>
      <c r="K23" s="4"/>
      <c r="L23" s="4"/>
      <c r="M23" s="4"/>
      <c r="N23" s="4"/>
    </row>
    <row r="24">
      <c r="A24" s="35"/>
      <c r="B24" s="32">
        <v>4.0</v>
      </c>
      <c r="C24" s="33"/>
      <c r="D24" s="33"/>
      <c r="E24" s="33"/>
      <c r="F24" s="33"/>
      <c r="G24" s="34">
        <f t="shared" si="8"/>
        <v>0</v>
      </c>
      <c r="H24" s="4"/>
      <c r="I24" s="4"/>
      <c r="J24" s="4"/>
      <c r="K24" s="4"/>
      <c r="L24" s="4"/>
      <c r="M24" s="4"/>
      <c r="N24" s="4"/>
    </row>
    <row r="25">
      <c r="A25" s="35"/>
      <c r="B25" s="32">
        <v>5.0</v>
      </c>
      <c r="C25" s="33">
        <f>C6+(B25*C15)+C11+C7</f>
        <v>20959.8</v>
      </c>
      <c r="D25" s="33">
        <f>D6+(B25*D15)+D11+D7</f>
        <v>23659.77</v>
      </c>
      <c r="E25" s="33">
        <f>E6+(B25*E15)+E11+E7</f>
        <v>24223.97</v>
      </c>
      <c r="F25" s="33">
        <f>F6+(B25*F15)+F11+F7</f>
        <v>29559.04</v>
      </c>
      <c r="G25" s="34">
        <f t="shared" si="8"/>
        <v>2699.97</v>
      </c>
      <c r="H25" s="4"/>
      <c r="I25" s="3"/>
      <c r="J25" s="4"/>
      <c r="K25" s="4"/>
      <c r="L25" s="4"/>
      <c r="M25" s="4"/>
      <c r="N25" s="4"/>
    </row>
    <row r="26">
      <c r="A26" s="35"/>
      <c r="B26" s="32">
        <v>6.0</v>
      </c>
      <c r="C26" s="33"/>
      <c r="D26" s="33"/>
      <c r="E26" s="33"/>
      <c r="F26" s="33"/>
      <c r="G26" s="34">
        <f t="shared" si="8"/>
        <v>0</v>
      </c>
      <c r="H26" s="4"/>
      <c r="I26" s="4"/>
      <c r="J26" s="4"/>
      <c r="K26" s="4"/>
      <c r="L26" s="4"/>
      <c r="M26" s="4"/>
      <c r="N26" s="4"/>
    </row>
    <row r="27">
      <c r="A27" s="35"/>
      <c r="B27" s="32">
        <v>7.0</v>
      </c>
      <c r="C27" s="33"/>
      <c r="D27" s="33"/>
      <c r="E27" s="33"/>
      <c r="F27" s="33"/>
      <c r="G27" s="34">
        <f t="shared" si="8"/>
        <v>0</v>
      </c>
      <c r="H27" s="4"/>
      <c r="I27" s="4"/>
      <c r="J27" s="4"/>
      <c r="K27" s="4"/>
      <c r="L27" s="4"/>
      <c r="M27" s="4"/>
      <c r="N27" s="4"/>
    </row>
    <row r="28">
      <c r="A28" s="35"/>
      <c r="B28" s="32">
        <v>8.0</v>
      </c>
      <c r="C28" s="33"/>
      <c r="D28" s="33"/>
      <c r="E28" s="33"/>
      <c r="F28" s="33"/>
      <c r="G28" s="34">
        <f t="shared" si="8"/>
        <v>0</v>
      </c>
      <c r="H28" s="4"/>
      <c r="I28" s="4"/>
      <c r="J28" s="4"/>
      <c r="K28" s="4"/>
      <c r="L28" s="4"/>
      <c r="M28" s="4"/>
      <c r="N28" s="4"/>
    </row>
    <row r="29">
      <c r="A29" s="35"/>
      <c r="B29" s="32">
        <v>9.0</v>
      </c>
      <c r="C29" s="33"/>
      <c r="D29" s="33"/>
      <c r="E29" s="33"/>
      <c r="F29" s="33"/>
      <c r="G29" s="34">
        <f t="shared" si="8"/>
        <v>0</v>
      </c>
      <c r="H29" s="4"/>
      <c r="I29" s="4"/>
      <c r="J29" s="4"/>
      <c r="K29" s="4"/>
      <c r="L29" s="4"/>
      <c r="M29" s="4"/>
      <c r="N29" s="4"/>
    </row>
    <row r="30">
      <c r="A30" s="35"/>
      <c r="B30" s="32">
        <v>10.0</v>
      </c>
      <c r="C30" s="33"/>
      <c r="D30" s="33"/>
      <c r="E30" s="33"/>
      <c r="F30" s="33"/>
      <c r="G30" s="34">
        <f t="shared" si="8"/>
        <v>0</v>
      </c>
      <c r="H30" s="4"/>
      <c r="I30" s="4"/>
      <c r="J30" s="4"/>
      <c r="K30" s="4"/>
      <c r="L30" s="4"/>
      <c r="M30" s="4"/>
      <c r="N30" s="4"/>
    </row>
    <row r="31">
      <c r="A31" s="35"/>
      <c r="B31" s="35"/>
      <c r="C31" s="37"/>
      <c r="D31" s="37"/>
      <c r="E31" s="37"/>
      <c r="F31" s="37"/>
      <c r="G31" s="4"/>
      <c r="H31" s="4"/>
      <c r="I31" s="4"/>
      <c r="J31" s="4"/>
      <c r="K31" s="4"/>
      <c r="L31" s="4"/>
      <c r="M31" s="4"/>
      <c r="N31" s="4"/>
    </row>
    <row r="32">
      <c r="A32" s="35"/>
      <c r="B32" s="35"/>
      <c r="C32" s="37"/>
      <c r="D32" s="37">
        <f>C30-D30</f>
        <v>0</v>
      </c>
      <c r="E32" s="37"/>
      <c r="F32" s="37"/>
      <c r="G32" s="4"/>
      <c r="H32" s="4"/>
      <c r="I32" s="4"/>
      <c r="J32" s="4"/>
      <c r="K32" s="4"/>
      <c r="L32" s="4"/>
      <c r="M32" s="4"/>
      <c r="N32" s="4"/>
    </row>
    <row r="33">
      <c r="A33" s="35"/>
      <c r="B33" s="35"/>
      <c r="C33" s="37"/>
      <c r="D33" s="37"/>
      <c r="E33" s="37"/>
      <c r="F33" s="37"/>
      <c r="G33" s="4"/>
      <c r="H33" s="4"/>
      <c r="I33" s="4"/>
      <c r="J33" s="4"/>
      <c r="K33" s="4"/>
      <c r="L33" s="4"/>
      <c r="M33" s="4"/>
      <c r="N33" s="4"/>
    </row>
    <row r="34">
      <c r="A34" s="35"/>
      <c r="G34" s="4"/>
      <c r="H34" s="4"/>
      <c r="I34" s="4"/>
      <c r="J34" s="4"/>
      <c r="K34" s="4"/>
      <c r="L34" s="4"/>
      <c r="M34" s="4"/>
      <c r="N34" s="4"/>
    </row>
  </sheetData>
  <mergeCells count="3">
    <mergeCell ref="L8:N8"/>
    <mergeCell ref="B1:E1"/>
    <mergeCell ref="I4:I6"/>
  </mergeCells>
  <hyperlinks>
    <hyperlink r:id="rId1" ref="L4"/>
    <hyperlink r:id="rId2" ref="L6"/>
    <hyperlink r:id="rId3" ref="G7"/>
    <hyperlink r:id="rId4" ref="G8"/>
    <hyperlink r:id="rId5" ref="L8"/>
    <hyperlink r:id="rId6" location="style=401756838" ref="G11"/>
    <hyperlink r:id="rId7" ref="H11"/>
    <hyperlink r:id="rId8" ref="G12"/>
  </hyperlinks>
  <drawing r:id="rId9"/>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45.14"/>
    <col customWidth="1" min="3" max="3" width="20.57"/>
    <col customWidth="1" min="4" max="4" width="20.71"/>
    <col customWidth="1" min="5" max="5" width="26.86"/>
    <col customWidth="1" min="6" max="6" width="27.86"/>
    <col customWidth="1" min="7" max="7" width="41.43"/>
    <col customWidth="1" min="8" max="8" width="25.14"/>
    <col customWidth="1" min="9" max="9" width="45.43"/>
    <col customWidth="1" min="10" max="10" width="3.0"/>
    <col customWidth="1" min="11" max="11" width="27.0"/>
  </cols>
  <sheetData>
    <row r="1">
      <c r="A1" s="46"/>
      <c r="B1" s="49" t="s">
        <v>74</v>
      </c>
      <c r="F1" s="49"/>
      <c r="G1" s="3"/>
      <c r="H1" s="4"/>
      <c r="I1" s="4"/>
      <c r="J1" s="4"/>
      <c r="K1" s="4"/>
      <c r="L1" s="4"/>
      <c r="M1" s="4"/>
      <c r="N1" s="4"/>
    </row>
    <row r="2">
      <c r="A2" s="46"/>
      <c r="B2" s="67" t="s">
        <v>53</v>
      </c>
      <c r="C2" s="69" t="s">
        <v>93</v>
      </c>
      <c r="D2" s="69" t="s">
        <v>95</v>
      </c>
      <c r="E2" s="71" t="s">
        <v>100</v>
      </c>
      <c r="F2" s="71" t="s">
        <v>101</v>
      </c>
      <c r="G2" s="3"/>
      <c r="H2" s="4"/>
      <c r="I2" s="4"/>
      <c r="J2" s="4"/>
      <c r="K2" s="4" t="s">
        <v>5</v>
      </c>
      <c r="L2" s="4"/>
      <c r="M2" s="4"/>
      <c r="N2" s="4"/>
    </row>
    <row r="3">
      <c r="A3" s="8"/>
      <c r="B3" s="72" t="s">
        <v>33</v>
      </c>
      <c r="C3" s="73">
        <f t="shared" ref="C3:F3" si="1">C25</f>
        <v>20959.8</v>
      </c>
      <c r="D3" s="73">
        <f t="shared" si="1"/>
        <v>23659.77</v>
      </c>
      <c r="E3" s="73">
        <f t="shared" si="1"/>
        <v>27515.2</v>
      </c>
      <c r="F3" s="73">
        <f t="shared" si="1"/>
        <v>37455.5</v>
      </c>
      <c r="G3" s="3"/>
      <c r="H3" s="11"/>
      <c r="I3" s="9"/>
      <c r="J3" s="4"/>
      <c r="K3" s="4"/>
      <c r="L3" s="12"/>
      <c r="M3" s="4"/>
      <c r="N3" s="4"/>
    </row>
    <row r="4">
      <c r="A4" s="8"/>
      <c r="B4" s="74" t="s">
        <v>7</v>
      </c>
      <c r="C4" s="75">
        <v>26000.0</v>
      </c>
      <c r="D4" s="75">
        <v>30000.0</v>
      </c>
      <c r="E4" s="77">
        <v>25410.0</v>
      </c>
      <c r="F4" s="77">
        <v>36350.0</v>
      </c>
      <c r="G4" s="3"/>
      <c r="H4" s="11">
        <v>20000.0</v>
      </c>
      <c r="I4" s="9" t="s">
        <v>8</v>
      </c>
      <c r="J4" s="4"/>
      <c r="K4" s="4" t="s">
        <v>9</v>
      </c>
      <c r="L4" s="12" t="s">
        <v>10</v>
      </c>
      <c r="M4" s="4"/>
      <c r="N4" s="4"/>
    </row>
    <row r="5">
      <c r="A5" s="13"/>
      <c r="B5" s="76" t="s">
        <v>99</v>
      </c>
      <c r="C5" s="77">
        <f>C4*0.43</f>
        <v>11180</v>
      </c>
      <c r="D5" s="78">
        <f>SUM(D4)*0.43</f>
        <v>12900</v>
      </c>
      <c r="E5" s="78">
        <f t="shared" ref="E5:F5" si="2">SUM(E4)*0.33</f>
        <v>8385.3</v>
      </c>
      <c r="F5" s="78">
        <f t="shared" si="2"/>
        <v>11995.5</v>
      </c>
      <c r="G5" s="15"/>
      <c r="H5" s="11"/>
      <c r="J5" s="4"/>
      <c r="K5" s="4"/>
      <c r="L5" s="12"/>
      <c r="M5" s="4"/>
      <c r="N5" s="4"/>
    </row>
    <row r="6">
      <c r="A6" s="13"/>
      <c r="B6" s="79" t="s">
        <v>60</v>
      </c>
      <c r="C6" s="80">
        <f t="shared" ref="C6:F6" si="3">C4-C5</f>
        <v>14820</v>
      </c>
      <c r="D6" s="80">
        <f t="shared" si="3"/>
        <v>17100</v>
      </c>
      <c r="E6" s="80">
        <f t="shared" si="3"/>
        <v>17024.7</v>
      </c>
      <c r="F6" s="80">
        <f t="shared" si="3"/>
        <v>24354.5</v>
      </c>
      <c r="G6" s="19"/>
      <c r="H6" s="11">
        <v>0.0</v>
      </c>
      <c r="J6" s="4"/>
      <c r="K6" s="4" t="s">
        <v>17</v>
      </c>
      <c r="L6" s="12" t="s">
        <v>18</v>
      </c>
      <c r="M6" s="4"/>
      <c r="N6" s="4"/>
    </row>
    <row r="7">
      <c r="A7" s="8"/>
      <c r="B7" s="79" t="s">
        <v>102</v>
      </c>
      <c r="C7" s="81">
        <v>2414.8</v>
      </c>
      <c r="D7" s="81">
        <v>2834.77</v>
      </c>
      <c r="E7" s="81">
        <v>2353.0</v>
      </c>
      <c r="F7" s="81">
        <v>3501.0</v>
      </c>
      <c r="G7" s="43" t="s">
        <v>77</v>
      </c>
      <c r="H7" s="4"/>
      <c r="I7" s="4"/>
      <c r="J7" s="4"/>
      <c r="K7" s="4"/>
      <c r="L7" s="12"/>
      <c r="M7" s="12"/>
      <c r="N7" s="12"/>
    </row>
    <row r="8">
      <c r="A8" s="8"/>
      <c r="B8" s="76" t="s">
        <v>20</v>
      </c>
      <c r="C8" s="82" t="s">
        <v>21</v>
      </c>
      <c r="D8" s="82" t="s">
        <v>21</v>
      </c>
      <c r="E8" s="83">
        <v>1.5</v>
      </c>
      <c r="F8" s="83">
        <v>1.5</v>
      </c>
      <c r="G8" s="43" t="s">
        <v>78</v>
      </c>
      <c r="H8" s="4"/>
      <c r="I8" s="4"/>
      <c r="J8" s="4"/>
      <c r="K8" s="4" t="s">
        <v>22</v>
      </c>
      <c r="L8" s="12" t="s">
        <v>23</v>
      </c>
    </row>
    <row r="9">
      <c r="A9" s="8"/>
      <c r="B9" s="76" t="s">
        <v>63</v>
      </c>
      <c r="C9" s="83">
        <v>0.3</v>
      </c>
      <c r="D9" s="83">
        <v>0.3</v>
      </c>
      <c r="E9" s="82" t="s">
        <v>21</v>
      </c>
      <c r="F9" s="82"/>
      <c r="G9" s="20"/>
      <c r="H9" s="4"/>
      <c r="I9" s="4"/>
      <c r="J9" s="4"/>
    </row>
    <row r="10">
      <c r="A10" s="8"/>
      <c r="B10" s="76" t="s">
        <v>103</v>
      </c>
      <c r="C10" s="84">
        <v>13000.0</v>
      </c>
      <c r="D10" s="84">
        <v>13000.0</v>
      </c>
      <c r="E10" s="84">
        <v>13000.0</v>
      </c>
      <c r="F10" s="84">
        <v>13000.0</v>
      </c>
      <c r="G10" s="3"/>
      <c r="H10" s="4"/>
      <c r="I10" s="4"/>
      <c r="J10" s="4"/>
    </row>
    <row r="11">
      <c r="A11" s="8"/>
      <c r="B11" s="79" t="s">
        <v>42</v>
      </c>
      <c r="C11" s="81">
        <v>800.0</v>
      </c>
      <c r="D11" s="81">
        <v>800.0</v>
      </c>
      <c r="E11" s="81">
        <v>1800.0</v>
      </c>
      <c r="F11" s="81">
        <v>1800.0</v>
      </c>
      <c r="G11" s="42" t="s">
        <v>87</v>
      </c>
      <c r="H11" s="43" t="s">
        <v>81</v>
      </c>
      <c r="I11" s="4"/>
      <c r="J11" s="4"/>
      <c r="K11" s="4"/>
      <c r="L11" s="4"/>
      <c r="M11" s="4"/>
      <c r="N11" s="4"/>
    </row>
    <row r="12">
      <c r="A12" s="8"/>
      <c r="B12" s="76" t="s">
        <v>105</v>
      </c>
      <c r="C12" s="85"/>
      <c r="D12" s="85"/>
      <c r="E12" s="85">
        <v>6.5</v>
      </c>
      <c r="F12" s="85">
        <v>8.0</v>
      </c>
      <c r="G12" s="43" t="s">
        <v>88</v>
      </c>
      <c r="H12" s="4"/>
      <c r="I12" s="4"/>
      <c r="J12" s="4"/>
      <c r="K12" s="4"/>
      <c r="L12" s="4"/>
      <c r="M12" s="4"/>
      <c r="N12" s="4"/>
    </row>
    <row r="13">
      <c r="A13" s="8"/>
      <c r="B13" s="86" t="s">
        <v>107</v>
      </c>
      <c r="C13" s="87"/>
      <c r="D13" s="88"/>
      <c r="E13" s="89">
        <f t="shared" ref="E13:F13" si="4">E12*(E10/100)</f>
        <v>845</v>
      </c>
      <c r="F13" s="89">
        <f t="shared" si="4"/>
        <v>1040</v>
      </c>
      <c r="G13" s="4"/>
      <c r="H13" s="4"/>
      <c r="I13" s="4"/>
      <c r="J13" s="4"/>
      <c r="K13" s="4"/>
      <c r="L13" s="4"/>
      <c r="M13" s="4"/>
      <c r="N13" s="4"/>
    </row>
    <row r="14">
      <c r="A14" s="8"/>
      <c r="B14" s="86" t="s">
        <v>108</v>
      </c>
      <c r="C14" s="90">
        <f t="shared" ref="C14:D14" si="5">15*(C10/100)</f>
        <v>1950</v>
      </c>
      <c r="D14" s="90">
        <f t="shared" si="5"/>
        <v>1950</v>
      </c>
      <c r="E14" s="87" t="s">
        <v>21</v>
      </c>
      <c r="F14" s="87"/>
      <c r="G14" s="4"/>
      <c r="H14" s="4"/>
      <c r="I14" s="4"/>
      <c r="J14" s="4"/>
      <c r="K14" s="4"/>
      <c r="L14" s="4"/>
      <c r="M14" s="4"/>
      <c r="N14" s="4"/>
    </row>
    <row r="15">
      <c r="A15" s="8"/>
      <c r="B15" s="91" t="s">
        <v>67</v>
      </c>
      <c r="C15" s="81">
        <f t="shared" ref="C15:D15" si="6">C9*C14</f>
        <v>585</v>
      </c>
      <c r="D15" s="81">
        <f t="shared" si="6"/>
        <v>585</v>
      </c>
      <c r="E15" s="80">
        <f t="shared" ref="E15:F15" si="7">E13*1.5</f>
        <v>1267.5</v>
      </c>
      <c r="F15" s="80">
        <f t="shared" si="7"/>
        <v>1560</v>
      </c>
      <c r="G15" s="4"/>
      <c r="H15" s="4"/>
      <c r="I15" s="3"/>
      <c r="J15" s="4"/>
      <c r="K15" s="4"/>
      <c r="L15" s="4"/>
      <c r="M15" s="4"/>
      <c r="N15" s="4"/>
    </row>
    <row r="16">
      <c r="A16" s="8"/>
      <c r="B16" s="92" t="s">
        <v>109</v>
      </c>
      <c r="D16" s="93"/>
      <c r="E16" s="93"/>
      <c r="F16" s="93"/>
      <c r="G16" s="30"/>
      <c r="H16" s="4"/>
      <c r="I16" s="3"/>
      <c r="J16" s="4"/>
      <c r="K16" s="4"/>
      <c r="L16" s="4"/>
      <c r="M16" s="4"/>
      <c r="N16" s="4"/>
    </row>
    <row r="17">
      <c r="A17" s="4"/>
      <c r="B17" s="65" t="s">
        <v>34</v>
      </c>
      <c r="C17" s="6"/>
      <c r="D17" s="7"/>
      <c r="E17" s="7"/>
      <c r="F17" s="7"/>
      <c r="G17" s="6" t="s">
        <v>35</v>
      </c>
      <c r="H17" s="4"/>
      <c r="I17" s="4"/>
      <c r="J17" s="4"/>
      <c r="K17" s="4"/>
      <c r="L17" s="4"/>
      <c r="M17" s="4"/>
      <c r="N17" s="4"/>
    </row>
    <row r="18">
      <c r="A18" s="31"/>
      <c r="B18" s="32"/>
      <c r="C18" s="33"/>
      <c r="D18" s="33"/>
      <c r="E18" s="33"/>
      <c r="F18" s="33"/>
      <c r="G18" s="4"/>
      <c r="H18" s="4"/>
      <c r="I18" s="4"/>
      <c r="J18" s="4"/>
      <c r="K18" s="4"/>
      <c r="L18" s="4"/>
      <c r="M18" s="4"/>
      <c r="N18" s="4"/>
    </row>
    <row r="19">
      <c r="A19" s="31"/>
      <c r="B19" s="32"/>
      <c r="C19" s="33"/>
      <c r="D19" s="33"/>
      <c r="E19" s="33"/>
      <c r="F19" s="33"/>
      <c r="G19" s="3"/>
      <c r="H19" s="4"/>
      <c r="I19" s="4"/>
      <c r="J19" s="4"/>
      <c r="K19" s="4"/>
      <c r="L19" s="4"/>
      <c r="M19" s="4"/>
      <c r="N19" s="4"/>
    </row>
    <row r="20">
      <c r="A20" s="31"/>
      <c r="B20" s="32"/>
      <c r="C20" s="33"/>
      <c r="D20" s="33"/>
      <c r="E20" s="33"/>
      <c r="F20" s="33"/>
      <c r="G20" s="4"/>
      <c r="H20" s="4"/>
      <c r="I20" s="4"/>
      <c r="J20" s="4"/>
      <c r="K20" s="4"/>
      <c r="L20" s="4"/>
      <c r="M20" s="4"/>
      <c r="N20" s="4"/>
    </row>
    <row r="21">
      <c r="A21" s="31"/>
      <c r="B21" s="32">
        <v>1.0</v>
      </c>
      <c r="C21" s="33"/>
      <c r="D21" s="33"/>
      <c r="E21" s="33"/>
      <c r="F21" s="33"/>
      <c r="G21" s="34">
        <f t="shared" ref="G21:G30" si="8">$D21-$C21</f>
        <v>0</v>
      </c>
      <c r="H21" s="4"/>
      <c r="I21" s="4"/>
      <c r="J21" s="4"/>
      <c r="K21" s="4"/>
      <c r="L21" s="4"/>
      <c r="M21" s="4"/>
      <c r="N21" s="4"/>
    </row>
    <row r="22">
      <c r="A22" s="35"/>
      <c r="B22" s="32">
        <v>2.0</v>
      </c>
      <c r="C22" s="33"/>
      <c r="D22" s="33"/>
      <c r="E22" s="33"/>
      <c r="F22" s="33"/>
      <c r="G22" s="34">
        <f t="shared" si="8"/>
        <v>0</v>
      </c>
      <c r="H22" s="4"/>
      <c r="I22" s="3"/>
      <c r="J22" s="4"/>
      <c r="K22" s="4"/>
      <c r="L22" s="4"/>
      <c r="M22" s="4"/>
      <c r="N22" s="4"/>
    </row>
    <row r="23">
      <c r="A23" s="35"/>
      <c r="B23" s="32">
        <v>3.0</v>
      </c>
      <c r="C23" s="33"/>
      <c r="D23" s="33"/>
      <c r="E23" s="33"/>
      <c r="F23" s="33"/>
      <c r="G23" s="34">
        <f t="shared" si="8"/>
        <v>0</v>
      </c>
      <c r="H23" s="4"/>
      <c r="I23" s="4"/>
      <c r="J23" s="4"/>
      <c r="K23" s="4"/>
      <c r="L23" s="4"/>
      <c r="M23" s="4"/>
      <c r="N23" s="4"/>
    </row>
    <row r="24">
      <c r="A24" s="35"/>
      <c r="B24" s="32">
        <v>4.0</v>
      </c>
      <c r="C24" s="33"/>
      <c r="D24" s="33"/>
      <c r="E24" s="33"/>
      <c r="F24" s="33"/>
      <c r="G24" s="34">
        <f t="shared" si="8"/>
        <v>0</v>
      </c>
      <c r="H24" s="4"/>
      <c r="I24" s="4"/>
      <c r="J24" s="4"/>
      <c r="K24" s="4"/>
      <c r="L24" s="4"/>
      <c r="M24" s="4"/>
      <c r="N24" s="4"/>
    </row>
    <row r="25">
      <c r="A25" s="35"/>
      <c r="B25" s="32">
        <v>5.0</v>
      </c>
      <c r="C25" s="33">
        <f>C6+(B25*C15)+C11+C7</f>
        <v>20959.8</v>
      </c>
      <c r="D25" s="33">
        <f>D6+(B25*D15)+D11+D7</f>
        <v>23659.77</v>
      </c>
      <c r="E25" s="33">
        <f>E6+(B25*E15)+E11+E7</f>
        <v>27515.2</v>
      </c>
      <c r="F25" s="33">
        <f>F6+(B25*F15)+F11+F7</f>
        <v>37455.5</v>
      </c>
      <c r="G25" s="34">
        <f t="shared" si="8"/>
        <v>2699.97</v>
      </c>
      <c r="H25" s="4"/>
      <c r="I25" s="3"/>
      <c r="J25" s="4"/>
      <c r="K25" s="4"/>
      <c r="L25" s="4"/>
      <c r="M25" s="4"/>
      <c r="N25" s="4"/>
    </row>
    <row r="26">
      <c r="A26" s="35"/>
      <c r="B26" s="32">
        <v>6.0</v>
      </c>
      <c r="C26" s="33"/>
      <c r="D26" s="33"/>
      <c r="E26" s="33"/>
      <c r="F26" s="33"/>
      <c r="G26" s="34">
        <f t="shared" si="8"/>
        <v>0</v>
      </c>
      <c r="H26" s="4"/>
      <c r="I26" s="4"/>
      <c r="J26" s="4"/>
      <c r="K26" s="4"/>
      <c r="L26" s="4"/>
      <c r="M26" s="4"/>
      <c r="N26" s="4"/>
    </row>
    <row r="27">
      <c r="A27" s="35"/>
      <c r="B27" s="32">
        <v>7.0</v>
      </c>
      <c r="C27" s="33"/>
      <c r="D27" s="33"/>
      <c r="E27" s="33"/>
      <c r="F27" s="33"/>
      <c r="G27" s="34">
        <f t="shared" si="8"/>
        <v>0</v>
      </c>
      <c r="H27" s="4"/>
      <c r="I27" s="4"/>
      <c r="J27" s="4"/>
      <c r="K27" s="4"/>
      <c r="L27" s="4"/>
      <c r="M27" s="4"/>
      <c r="N27" s="4"/>
    </row>
    <row r="28">
      <c r="A28" s="35"/>
      <c r="B28" s="32">
        <v>8.0</v>
      </c>
      <c r="C28" s="33"/>
      <c r="D28" s="33"/>
      <c r="E28" s="33"/>
      <c r="F28" s="33"/>
      <c r="G28" s="34">
        <f t="shared" si="8"/>
        <v>0</v>
      </c>
      <c r="H28" s="4"/>
      <c r="I28" s="4"/>
      <c r="J28" s="4"/>
      <c r="K28" s="4"/>
      <c r="L28" s="4"/>
      <c r="M28" s="4"/>
      <c r="N28" s="4"/>
    </row>
    <row r="29">
      <c r="A29" s="35"/>
      <c r="B29" s="32">
        <v>9.0</v>
      </c>
      <c r="C29" s="33"/>
      <c r="D29" s="33"/>
      <c r="E29" s="33"/>
      <c r="F29" s="33"/>
      <c r="G29" s="34">
        <f t="shared" si="8"/>
        <v>0</v>
      </c>
      <c r="H29" s="4"/>
      <c r="I29" s="4"/>
      <c r="J29" s="4"/>
      <c r="K29" s="4"/>
      <c r="L29" s="4"/>
      <c r="M29" s="4"/>
      <c r="N29" s="4"/>
    </row>
    <row r="30">
      <c r="A30" s="35"/>
      <c r="B30" s="32">
        <v>10.0</v>
      </c>
      <c r="C30" s="33"/>
      <c r="D30" s="33"/>
      <c r="E30" s="33"/>
      <c r="F30" s="33"/>
      <c r="G30" s="34">
        <f t="shared" si="8"/>
        <v>0</v>
      </c>
      <c r="H30" s="4"/>
      <c r="I30" s="4"/>
      <c r="J30" s="4"/>
      <c r="K30" s="4"/>
      <c r="L30" s="4"/>
      <c r="M30" s="4"/>
      <c r="N30" s="4"/>
    </row>
    <row r="31">
      <c r="A31" s="35"/>
      <c r="B31" s="35"/>
      <c r="C31" s="37"/>
      <c r="D31" s="37"/>
      <c r="E31" s="37"/>
      <c r="F31" s="37"/>
      <c r="G31" s="4"/>
      <c r="H31" s="4"/>
      <c r="I31" s="4"/>
      <c r="J31" s="4"/>
      <c r="K31" s="4"/>
      <c r="L31" s="4"/>
      <c r="M31" s="4"/>
      <c r="N31" s="4"/>
    </row>
    <row r="32">
      <c r="A32" s="35"/>
      <c r="B32" s="35"/>
      <c r="C32" s="37"/>
      <c r="D32" s="37">
        <f>C30-D30</f>
        <v>0</v>
      </c>
      <c r="E32" s="37"/>
      <c r="F32" s="37"/>
      <c r="G32" s="4"/>
      <c r="H32" s="4"/>
      <c r="I32" s="4"/>
      <c r="J32" s="4"/>
      <c r="K32" s="4"/>
      <c r="L32" s="4"/>
      <c r="M32" s="4"/>
      <c r="N32" s="4"/>
    </row>
    <row r="33">
      <c r="A33" s="35"/>
      <c r="B33" s="35"/>
      <c r="C33" s="37"/>
      <c r="D33" s="37"/>
      <c r="E33" s="37"/>
      <c r="F33" s="37"/>
      <c r="G33" s="4"/>
      <c r="H33" s="4"/>
      <c r="I33" s="4"/>
      <c r="J33" s="4"/>
      <c r="K33" s="4"/>
      <c r="L33" s="4"/>
      <c r="M33" s="4"/>
      <c r="N33" s="4"/>
    </row>
    <row r="34">
      <c r="A34" s="35"/>
      <c r="G34" s="4"/>
      <c r="H34" s="4"/>
      <c r="I34" s="4"/>
      <c r="J34" s="4"/>
      <c r="K34" s="4"/>
      <c r="L34" s="4"/>
      <c r="M34" s="4"/>
      <c r="N34" s="4"/>
    </row>
  </sheetData>
  <mergeCells count="3">
    <mergeCell ref="L8:N8"/>
    <mergeCell ref="B1:E1"/>
    <mergeCell ref="I4:I6"/>
  </mergeCells>
  <hyperlinks>
    <hyperlink r:id="rId1" ref="L4"/>
    <hyperlink r:id="rId2" ref="L6"/>
    <hyperlink r:id="rId3" ref="G7"/>
    <hyperlink r:id="rId4" ref="G8"/>
    <hyperlink r:id="rId5" ref="L8"/>
    <hyperlink r:id="rId6" location="style=401756838" ref="G11"/>
    <hyperlink r:id="rId7" ref="H11"/>
    <hyperlink r:id="rId8" ref="G12"/>
  </hyperlinks>
  <drawing r:id="rId9"/>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45.14"/>
    <col customWidth="1" min="3" max="3" width="20.57"/>
    <col customWidth="1" min="4" max="4" width="20.71"/>
    <col customWidth="1" min="5" max="5" width="26.86"/>
    <col customWidth="1" min="6" max="6" width="27.86"/>
    <col customWidth="1" min="7" max="7" width="41.43"/>
    <col customWidth="1" min="8" max="8" width="25.14"/>
    <col customWidth="1" min="9" max="9" width="45.43"/>
    <col customWidth="1" min="10" max="10" width="3.0"/>
    <col customWidth="1" min="11" max="11" width="27.0"/>
  </cols>
  <sheetData>
    <row r="1">
      <c r="A1" s="46"/>
      <c r="B1" s="49" t="s">
        <v>74</v>
      </c>
      <c r="F1" s="49"/>
      <c r="G1" s="3"/>
      <c r="H1" s="4"/>
      <c r="I1" s="4"/>
      <c r="J1" s="4"/>
      <c r="K1" s="4"/>
      <c r="L1" s="4"/>
      <c r="M1" s="4"/>
      <c r="N1" s="4"/>
    </row>
    <row r="2">
      <c r="A2" s="46"/>
      <c r="B2" s="67" t="s">
        <v>53</v>
      </c>
      <c r="C2" s="69" t="s">
        <v>93</v>
      </c>
      <c r="D2" s="69" t="s">
        <v>95</v>
      </c>
      <c r="E2" s="71" t="s">
        <v>110</v>
      </c>
      <c r="F2" s="71" t="s">
        <v>111</v>
      </c>
      <c r="G2" s="3"/>
      <c r="H2" s="4"/>
      <c r="I2" s="4"/>
      <c r="J2" s="4"/>
      <c r="K2" s="4" t="s">
        <v>5</v>
      </c>
      <c r="L2" s="4"/>
      <c r="M2" s="4"/>
      <c r="N2" s="4"/>
    </row>
    <row r="3">
      <c r="A3" s="8"/>
      <c r="B3" s="72" t="s">
        <v>33</v>
      </c>
      <c r="C3" s="73">
        <f t="shared" ref="C3:F3" si="1">C25</f>
        <v>20959.8</v>
      </c>
      <c r="D3" s="73">
        <f t="shared" si="1"/>
        <v>23659.77</v>
      </c>
      <c r="E3" s="73">
        <f t="shared" si="1"/>
        <v>23412.3</v>
      </c>
      <c r="F3" s="73">
        <f t="shared" si="1"/>
        <v>29869.8</v>
      </c>
      <c r="G3" s="3"/>
      <c r="H3" s="11"/>
      <c r="I3" s="9"/>
      <c r="J3" s="4"/>
      <c r="K3" s="4"/>
      <c r="L3" s="12"/>
      <c r="M3" s="4"/>
      <c r="N3" s="4"/>
    </row>
    <row r="4">
      <c r="A4" s="8"/>
      <c r="B4" s="74" t="s">
        <v>7</v>
      </c>
      <c r="C4" s="75">
        <v>26000.0</v>
      </c>
      <c r="D4" s="75">
        <v>30000.0</v>
      </c>
      <c r="E4" s="77">
        <v>19990.0</v>
      </c>
      <c r="F4" s="77">
        <v>27190.0</v>
      </c>
      <c r="G4" s="3"/>
      <c r="H4" s="11">
        <v>20000.0</v>
      </c>
      <c r="I4" s="9" t="s">
        <v>8</v>
      </c>
      <c r="J4" s="4"/>
      <c r="K4" s="4" t="s">
        <v>9</v>
      </c>
      <c r="L4" s="12" t="s">
        <v>10</v>
      </c>
      <c r="M4" s="4"/>
      <c r="N4" s="4"/>
    </row>
    <row r="5">
      <c r="A5" s="13"/>
      <c r="B5" s="76" t="s">
        <v>99</v>
      </c>
      <c r="C5" s="77">
        <f>C4*0.43</f>
        <v>11180</v>
      </c>
      <c r="D5" s="78">
        <f>SUM(D4)*0.43</f>
        <v>12900</v>
      </c>
      <c r="E5" s="78">
        <f t="shared" ref="E5:F5" si="2">SUM(E4)*0.33</f>
        <v>6596.7</v>
      </c>
      <c r="F5" s="78">
        <f t="shared" si="2"/>
        <v>8972.7</v>
      </c>
      <c r="G5" s="15"/>
      <c r="H5" s="11"/>
      <c r="J5" s="4"/>
      <c r="K5" s="4"/>
      <c r="L5" s="12"/>
      <c r="M5" s="4"/>
      <c r="N5" s="4"/>
    </row>
    <row r="6">
      <c r="A6" s="13"/>
      <c r="B6" s="79" t="s">
        <v>60</v>
      </c>
      <c r="C6" s="80">
        <f t="shared" ref="C6:F6" si="3">C4-C5</f>
        <v>14820</v>
      </c>
      <c r="D6" s="80">
        <f t="shared" si="3"/>
        <v>17100</v>
      </c>
      <c r="E6" s="80">
        <f t="shared" si="3"/>
        <v>13393.3</v>
      </c>
      <c r="F6" s="80">
        <f t="shared" si="3"/>
        <v>18217.3</v>
      </c>
      <c r="G6" s="19"/>
      <c r="H6" s="11">
        <v>0.0</v>
      </c>
      <c r="J6" s="4"/>
      <c r="K6" s="4" t="s">
        <v>17</v>
      </c>
      <c r="L6" s="12" t="s">
        <v>18</v>
      </c>
      <c r="M6" s="4"/>
      <c r="N6" s="4"/>
    </row>
    <row r="7">
      <c r="A7" s="8"/>
      <c r="B7" s="79" t="s">
        <v>102</v>
      </c>
      <c r="C7" s="81">
        <v>2414.8</v>
      </c>
      <c r="D7" s="81">
        <v>2834.77</v>
      </c>
      <c r="E7" s="81">
        <v>1784.0</v>
      </c>
      <c r="F7" s="81">
        <v>2540.0</v>
      </c>
      <c r="G7" s="43" t="s">
        <v>77</v>
      </c>
      <c r="H7" s="4"/>
      <c r="I7" s="4"/>
      <c r="J7" s="4"/>
      <c r="K7" s="4"/>
      <c r="L7" s="12"/>
      <c r="M7" s="12"/>
      <c r="N7" s="12"/>
    </row>
    <row r="8">
      <c r="A8" s="8"/>
      <c r="B8" s="76" t="s">
        <v>20</v>
      </c>
      <c r="C8" s="82" t="s">
        <v>21</v>
      </c>
      <c r="D8" s="82" t="s">
        <v>21</v>
      </c>
      <c r="E8" s="83">
        <v>1.5</v>
      </c>
      <c r="F8" s="83">
        <v>1.5</v>
      </c>
      <c r="G8" s="43" t="s">
        <v>78</v>
      </c>
      <c r="H8" s="4"/>
      <c r="I8" s="4"/>
      <c r="J8" s="4"/>
      <c r="K8" s="4" t="s">
        <v>22</v>
      </c>
      <c r="L8" s="12" t="s">
        <v>23</v>
      </c>
    </row>
    <row r="9">
      <c r="A9" s="8"/>
      <c r="B9" s="76" t="s">
        <v>63</v>
      </c>
      <c r="C9" s="83">
        <v>0.3</v>
      </c>
      <c r="D9" s="83">
        <v>0.3</v>
      </c>
      <c r="E9" s="82" t="s">
        <v>21</v>
      </c>
      <c r="F9" s="82"/>
      <c r="G9" s="20"/>
      <c r="H9" s="4"/>
      <c r="I9" s="4"/>
      <c r="J9" s="4"/>
    </row>
    <row r="10">
      <c r="A10" s="8"/>
      <c r="B10" s="76" t="s">
        <v>103</v>
      </c>
      <c r="C10" s="84">
        <v>13000.0</v>
      </c>
      <c r="D10" s="84">
        <v>13000.0</v>
      </c>
      <c r="E10" s="84">
        <v>13000.0</v>
      </c>
      <c r="F10" s="84">
        <v>13000.0</v>
      </c>
      <c r="G10" s="3"/>
      <c r="H10" s="4"/>
      <c r="I10" s="4"/>
      <c r="J10" s="4"/>
    </row>
    <row r="11">
      <c r="A11" s="8"/>
      <c r="B11" s="79" t="s">
        <v>42</v>
      </c>
      <c r="C11" s="81">
        <v>800.0</v>
      </c>
      <c r="D11" s="81">
        <v>800.0</v>
      </c>
      <c r="E11" s="81">
        <v>1800.0</v>
      </c>
      <c r="F11" s="81">
        <v>1800.0</v>
      </c>
      <c r="G11" s="42" t="s">
        <v>87</v>
      </c>
      <c r="H11" s="43" t="s">
        <v>81</v>
      </c>
      <c r="I11" s="4"/>
      <c r="J11" s="4"/>
      <c r="K11" s="4"/>
      <c r="L11" s="4"/>
      <c r="M11" s="4"/>
      <c r="N11" s="4"/>
    </row>
    <row r="12">
      <c r="A12" s="8"/>
      <c r="B12" s="76" t="s">
        <v>105</v>
      </c>
      <c r="C12" s="85"/>
      <c r="D12" s="85"/>
      <c r="E12" s="85">
        <v>6.6</v>
      </c>
      <c r="F12" s="85">
        <v>7.5</v>
      </c>
      <c r="G12" s="43" t="s">
        <v>88</v>
      </c>
      <c r="H12" s="4"/>
      <c r="I12" s="4"/>
      <c r="J12" s="4"/>
      <c r="K12" s="4"/>
      <c r="L12" s="4"/>
      <c r="M12" s="4"/>
      <c r="N12" s="4"/>
    </row>
    <row r="13">
      <c r="A13" s="8"/>
      <c r="B13" s="86" t="s">
        <v>107</v>
      </c>
      <c r="C13" s="87"/>
      <c r="D13" s="88"/>
      <c r="E13" s="89">
        <f t="shared" ref="E13:F13" si="4">E12*(E10/100)</f>
        <v>858</v>
      </c>
      <c r="F13" s="89">
        <f t="shared" si="4"/>
        <v>975</v>
      </c>
      <c r="G13" s="4"/>
      <c r="H13" s="4"/>
      <c r="I13" s="4"/>
      <c r="J13" s="4"/>
      <c r="K13" s="4"/>
      <c r="L13" s="4"/>
      <c r="M13" s="4"/>
      <c r="N13" s="4"/>
    </row>
    <row r="14">
      <c r="A14" s="8"/>
      <c r="B14" s="86" t="s">
        <v>108</v>
      </c>
      <c r="C14" s="90">
        <f t="shared" ref="C14:D14" si="5">15*(C10/100)</f>
        <v>1950</v>
      </c>
      <c r="D14" s="90">
        <f t="shared" si="5"/>
        <v>1950</v>
      </c>
      <c r="E14" s="87" t="s">
        <v>21</v>
      </c>
      <c r="F14" s="87"/>
      <c r="G14" s="4"/>
      <c r="H14" s="4"/>
      <c r="I14" s="4"/>
      <c r="J14" s="4"/>
      <c r="K14" s="4"/>
      <c r="L14" s="4"/>
      <c r="M14" s="4"/>
      <c r="N14" s="4"/>
    </row>
    <row r="15">
      <c r="A15" s="8"/>
      <c r="B15" s="91" t="s">
        <v>67</v>
      </c>
      <c r="C15" s="81">
        <f t="shared" ref="C15:D15" si="6">C9*C14</f>
        <v>585</v>
      </c>
      <c r="D15" s="81">
        <f t="shared" si="6"/>
        <v>585</v>
      </c>
      <c r="E15" s="80">
        <f t="shared" ref="E15:F15" si="7">E13*1.5</f>
        <v>1287</v>
      </c>
      <c r="F15" s="80">
        <f t="shared" si="7"/>
        <v>1462.5</v>
      </c>
      <c r="G15" s="4"/>
      <c r="H15" s="4"/>
      <c r="I15" s="3"/>
      <c r="J15" s="4"/>
      <c r="K15" s="4"/>
      <c r="L15" s="4"/>
      <c r="M15" s="4"/>
      <c r="N15" s="4"/>
    </row>
    <row r="16">
      <c r="A16" s="8"/>
      <c r="B16" s="92" t="s">
        <v>109</v>
      </c>
      <c r="D16" s="93"/>
      <c r="E16" s="93"/>
      <c r="F16" s="93"/>
      <c r="G16" s="30"/>
      <c r="H16" s="4"/>
      <c r="I16" s="3"/>
      <c r="J16" s="4"/>
      <c r="K16" s="4"/>
      <c r="L16" s="4"/>
      <c r="M16" s="4"/>
      <c r="N16" s="4"/>
    </row>
    <row r="17">
      <c r="A17" s="4"/>
      <c r="B17" s="65" t="s">
        <v>34</v>
      </c>
      <c r="C17" s="6"/>
      <c r="D17" s="7"/>
      <c r="E17" s="7"/>
      <c r="F17" s="7"/>
      <c r="G17" s="6" t="s">
        <v>35</v>
      </c>
      <c r="H17" s="4"/>
      <c r="I17" s="4"/>
      <c r="J17" s="4"/>
      <c r="K17" s="4"/>
      <c r="L17" s="4"/>
      <c r="M17" s="4"/>
      <c r="N17" s="4"/>
    </row>
    <row r="18">
      <c r="A18" s="31"/>
      <c r="B18" s="32"/>
      <c r="C18" s="33"/>
      <c r="D18" s="33"/>
      <c r="E18" s="33"/>
      <c r="F18" s="33"/>
      <c r="G18" s="4"/>
      <c r="H18" s="4"/>
      <c r="I18" s="4"/>
      <c r="J18" s="4"/>
      <c r="K18" s="4"/>
      <c r="L18" s="4"/>
      <c r="M18" s="4"/>
      <c r="N18" s="4"/>
    </row>
    <row r="19">
      <c r="A19" s="31"/>
      <c r="B19" s="32"/>
      <c r="C19" s="33"/>
      <c r="D19" s="33"/>
      <c r="E19" s="33"/>
      <c r="F19" s="33"/>
      <c r="G19" s="3"/>
      <c r="H19" s="4"/>
      <c r="I19" s="4"/>
      <c r="J19" s="4"/>
      <c r="K19" s="4"/>
      <c r="L19" s="4"/>
      <c r="M19" s="4"/>
      <c r="N19" s="4"/>
    </row>
    <row r="20">
      <c r="A20" s="31"/>
      <c r="B20" s="32"/>
      <c r="C20" s="33"/>
      <c r="D20" s="33"/>
      <c r="E20" s="33"/>
      <c r="F20" s="33"/>
      <c r="G20" s="4"/>
      <c r="H20" s="4"/>
      <c r="I20" s="4"/>
      <c r="J20" s="4"/>
      <c r="K20" s="4"/>
      <c r="L20" s="4"/>
      <c r="M20" s="4"/>
      <c r="N20" s="4"/>
    </row>
    <row r="21">
      <c r="A21" s="31"/>
      <c r="B21" s="32">
        <v>1.0</v>
      </c>
      <c r="C21" s="33"/>
      <c r="D21" s="33"/>
      <c r="E21" s="33"/>
      <c r="F21" s="33"/>
      <c r="G21" s="34">
        <f t="shared" ref="G21:G30" si="8">$D21-$C21</f>
        <v>0</v>
      </c>
      <c r="H21" s="4"/>
      <c r="I21" s="4"/>
      <c r="J21" s="4"/>
      <c r="K21" s="4"/>
      <c r="L21" s="4"/>
      <c r="M21" s="4"/>
      <c r="N21" s="4"/>
    </row>
    <row r="22">
      <c r="A22" s="35"/>
      <c r="B22" s="32">
        <v>2.0</v>
      </c>
      <c r="C22" s="33"/>
      <c r="D22" s="33"/>
      <c r="E22" s="33"/>
      <c r="F22" s="33"/>
      <c r="G22" s="34">
        <f t="shared" si="8"/>
        <v>0</v>
      </c>
      <c r="H22" s="4"/>
      <c r="I22" s="3"/>
      <c r="J22" s="4"/>
      <c r="K22" s="4"/>
      <c r="L22" s="4"/>
      <c r="M22" s="4"/>
      <c r="N22" s="4"/>
    </row>
    <row r="23">
      <c r="A23" s="35"/>
      <c r="B23" s="32">
        <v>3.0</v>
      </c>
      <c r="C23" s="33"/>
      <c r="D23" s="33"/>
      <c r="E23" s="33"/>
      <c r="F23" s="33"/>
      <c r="G23" s="34">
        <f t="shared" si="8"/>
        <v>0</v>
      </c>
      <c r="H23" s="4"/>
      <c r="I23" s="4"/>
      <c r="J23" s="4"/>
      <c r="K23" s="4"/>
      <c r="L23" s="4"/>
      <c r="M23" s="4"/>
      <c r="N23" s="4"/>
    </row>
    <row r="24">
      <c r="A24" s="35"/>
      <c r="B24" s="32">
        <v>4.0</v>
      </c>
      <c r="C24" s="33"/>
      <c r="D24" s="33"/>
      <c r="E24" s="33"/>
      <c r="F24" s="33"/>
      <c r="G24" s="34">
        <f t="shared" si="8"/>
        <v>0</v>
      </c>
      <c r="H24" s="4"/>
      <c r="I24" s="4"/>
      <c r="J24" s="4"/>
      <c r="K24" s="4"/>
      <c r="L24" s="4"/>
      <c r="M24" s="4"/>
      <c r="N24" s="4"/>
    </row>
    <row r="25">
      <c r="A25" s="35"/>
      <c r="B25" s="32">
        <v>5.0</v>
      </c>
      <c r="C25" s="33">
        <f>C6+(B25*C15)+C11+C7</f>
        <v>20959.8</v>
      </c>
      <c r="D25" s="33">
        <f>D6+(B25*D15)+D11+D7</f>
        <v>23659.77</v>
      </c>
      <c r="E25" s="33">
        <f>E6+(B25*E15)+E11+E7</f>
        <v>23412.3</v>
      </c>
      <c r="F25" s="33">
        <f>F6+(B25*F15)+F11+F7</f>
        <v>29869.8</v>
      </c>
      <c r="G25" s="34">
        <f t="shared" si="8"/>
        <v>2699.97</v>
      </c>
      <c r="H25" s="4"/>
      <c r="I25" s="3"/>
      <c r="J25" s="4"/>
      <c r="K25" s="4"/>
      <c r="L25" s="4"/>
      <c r="M25" s="4"/>
      <c r="N25" s="4"/>
    </row>
    <row r="26">
      <c r="A26" s="35"/>
      <c r="B26" s="32">
        <v>6.0</v>
      </c>
      <c r="C26" s="33"/>
      <c r="D26" s="33"/>
      <c r="E26" s="33"/>
      <c r="F26" s="33"/>
      <c r="G26" s="34">
        <f t="shared" si="8"/>
        <v>0</v>
      </c>
      <c r="H26" s="4"/>
      <c r="I26" s="4"/>
      <c r="J26" s="4"/>
      <c r="K26" s="4"/>
      <c r="L26" s="4"/>
      <c r="M26" s="4"/>
      <c r="N26" s="4"/>
    </row>
    <row r="27">
      <c r="A27" s="35"/>
      <c r="B27" s="32">
        <v>7.0</v>
      </c>
      <c r="C27" s="33"/>
      <c r="D27" s="33"/>
      <c r="E27" s="33"/>
      <c r="F27" s="33"/>
      <c r="G27" s="34">
        <f t="shared" si="8"/>
        <v>0</v>
      </c>
      <c r="H27" s="4"/>
      <c r="I27" s="4"/>
      <c r="J27" s="4"/>
      <c r="K27" s="4"/>
      <c r="L27" s="4"/>
      <c r="M27" s="4"/>
      <c r="N27" s="4"/>
    </row>
    <row r="28">
      <c r="A28" s="35"/>
      <c r="B28" s="32">
        <v>8.0</v>
      </c>
      <c r="C28" s="33"/>
      <c r="D28" s="33"/>
      <c r="E28" s="33"/>
      <c r="F28" s="33"/>
      <c r="G28" s="34">
        <f t="shared" si="8"/>
        <v>0</v>
      </c>
      <c r="H28" s="4"/>
      <c r="I28" s="4"/>
      <c r="J28" s="4"/>
      <c r="K28" s="4"/>
      <c r="L28" s="4"/>
      <c r="M28" s="4"/>
      <c r="N28" s="4"/>
    </row>
    <row r="29">
      <c r="A29" s="35"/>
      <c r="B29" s="32">
        <v>9.0</v>
      </c>
      <c r="C29" s="33"/>
      <c r="D29" s="33"/>
      <c r="E29" s="33"/>
      <c r="F29" s="33"/>
      <c r="G29" s="34">
        <f t="shared" si="8"/>
        <v>0</v>
      </c>
      <c r="H29" s="4"/>
      <c r="I29" s="4"/>
      <c r="J29" s="4"/>
      <c r="K29" s="4"/>
      <c r="L29" s="4"/>
      <c r="M29" s="4"/>
      <c r="N29" s="4"/>
    </row>
    <row r="30">
      <c r="A30" s="35"/>
      <c r="B30" s="32">
        <v>10.0</v>
      </c>
      <c r="C30" s="33"/>
      <c r="D30" s="33"/>
      <c r="E30" s="33"/>
      <c r="F30" s="33"/>
      <c r="G30" s="34">
        <f t="shared" si="8"/>
        <v>0</v>
      </c>
      <c r="H30" s="4"/>
      <c r="I30" s="4"/>
      <c r="J30" s="4"/>
      <c r="K30" s="4"/>
      <c r="L30" s="4"/>
      <c r="M30" s="4"/>
      <c r="N30" s="4"/>
    </row>
    <row r="31">
      <c r="A31" s="35"/>
      <c r="B31" s="35"/>
      <c r="C31" s="37"/>
      <c r="D31" s="37"/>
      <c r="E31" s="37"/>
      <c r="F31" s="37"/>
      <c r="G31" s="4"/>
      <c r="H31" s="4"/>
      <c r="I31" s="4"/>
      <c r="J31" s="4"/>
      <c r="K31" s="4"/>
      <c r="L31" s="4"/>
      <c r="M31" s="4"/>
      <c r="N31" s="4"/>
    </row>
    <row r="32">
      <c r="A32" s="35"/>
      <c r="B32" s="35"/>
      <c r="C32" s="37"/>
      <c r="D32" s="37">
        <f>C30-D30</f>
        <v>0</v>
      </c>
      <c r="E32" s="37"/>
      <c r="F32" s="37"/>
      <c r="G32" s="4"/>
      <c r="H32" s="4"/>
      <c r="I32" s="4"/>
      <c r="J32" s="4"/>
      <c r="K32" s="4"/>
      <c r="L32" s="4"/>
      <c r="M32" s="4"/>
      <c r="N32" s="4"/>
    </row>
    <row r="33">
      <c r="A33" s="35"/>
      <c r="B33" s="35"/>
      <c r="C33" s="37"/>
      <c r="D33" s="37"/>
      <c r="E33" s="37"/>
      <c r="F33" s="37"/>
      <c r="G33" s="4"/>
      <c r="H33" s="4"/>
      <c r="I33" s="4"/>
      <c r="J33" s="4"/>
      <c r="K33" s="4"/>
      <c r="L33" s="4"/>
      <c r="M33" s="4"/>
      <c r="N33" s="4"/>
    </row>
    <row r="34">
      <c r="A34" s="35"/>
      <c r="G34" s="4"/>
      <c r="H34" s="4"/>
      <c r="I34" s="4"/>
      <c r="J34" s="4"/>
      <c r="K34" s="4"/>
      <c r="L34" s="4"/>
      <c r="M34" s="4"/>
      <c r="N34" s="4"/>
    </row>
  </sheetData>
  <mergeCells count="3">
    <mergeCell ref="L8:N8"/>
    <mergeCell ref="B1:E1"/>
    <mergeCell ref="I4:I6"/>
  </mergeCells>
  <hyperlinks>
    <hyperlink r:id="rId1" ref="L4"/>
    <hyperlink r:id="rId2" ref="L6"/>
    <hyperlink r:id="rId3" ref="G7"/>
    <hyperlink r:id="rId4" ref="G8"/>
    <hyperlink r:id="rId5" ref="L8"/>
    <hyperlink r:id="rId6" location="style=401756838" ref="G11"/>
    <hyperlink r:id="rId7" ref="H11"/>
    <hyperlink r:id="rId8" ref="G12"/>
  </hyperlinks>
  <drawing r:id="rId9"/>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45.14"/>
    <col customWidth="1" min="3" max="3" width="20.57"/>
    <col customWidth="1" min="4" max="4" width="20.71"/>
    <col customWidth="1" min="5" max="5" width="26.86"/>
    <col customWidth="1" min="6" max="6" width="27.86"/>
    <col customWidth="1" min="7" max="7" width="41.43"/>
    <col customWidth="1" min="8" max="8" width="25.14"/>
    <col customWidth="1" min="9" max="9" width="45.43"/>
    <col customWidth="1" min="10" max="10" width="3.0"/>
    <col customWidth="1" min="11" max="11" width="27.0"/>
  </cols>
  <sheetData>
    <row r="1">
      <c r="A1" s="46"/>
      <c r="B1" s="49" t="s">
        <v>74</v>
      </c>
      <c r="F1" s="49"/>
      <c r="G1" s="3"/>
      <c r="H1" s="4"/>
      <c r="I1" s="4"/>
      <c r="J1" s="4"/>
      <c r="K1" s="4"/>
      <c r="L1" s="4"/>
      <c r="M1" s="4"/>
      <c r="N1" s="4"/>
    </row>
    <row r="2">
      <c r="A2" s="46"/>
      <c r="B2" s="67" t="s">
        <v>53</v>
      </c>
      <c r="C2" s="69" t="s">
        <v>93</v>
      </c>
      <c r="D2" s="69" t="s">
        <v>95</v>
      </c>
      <c r="E2" s="71" t="s">
        <v>112</v>
      </c>
      <c r="F2" s="71" t="s">
        <v>113</v>
      </c>
      <c r="G2" s="3"/>
      <c r="H2" s="4"/>
      <c r="I2" s="4"/>
      <c r="J2" s="4"/>
      <c r="K2" s="4" t="s">
        <v>5</v>
      </c>
      <c r="L2" s="4"/>
      <c r="M2" s="4"/>
      <c r="N2" s="4"/>
    </row>
    <row r="3">
      <c r="A3" s="8"/>
      <c r="B3" s="72" t="s">
        <v>33</v>
      </c>
      <c r="C3" s="73">
        <f t="shared" ref="C3:F3" si="1">C25</f>
        <v>20959.8</v>
      </c>
      <c r="D3" s="73">
        <f t="shared" si="1"/>
        <v>23659.77</v>
      </c>
      <c r="E3" s="73">
        <f t="shared" si="1"/>
        <v>23591</v>
      </c>
      <c r="F3" s="73">
        <f t="shared" si="1"/>
        <v>35254.5</v>
      </c>
      <c r="G3" s="3"/>
      <c r="H3" s="11"/>
      <c r="I3" s="9"/>
      <c r="J3" s="4"/>
      <c r="K3" s="4"/>
      <c r="L3" s="12"/>
      <c r="M3" s="4"/>
      <c r="N3" s="4"/>
    </row>
    <row r="4">
      <c r="A4" s="8"/>
      <c r="B4" s="74" t="s">
        <v>7</v>
      </c>
      <c r="C4" s="75">
        <v>26000.0</v>
      </c>
      <c r="D4" s="75">
        <v>30000.0</v>
      </c>
      <c r="E4" s="77">
        <v>20850.0</v>
      </c>
      <c r="F4" s="77">
        <v>35900.0</v>
      </c>
      <c r="G4" s="3"/>
      <c r="H4" s="11">
        <v>20000.0</v>
      </c>
      <c r="I4" s="9" t="s">
        <v>8</v>
      </c>
      <c r="J4" s="4"/>
      <c r="K4" s="4" t="s">
        <v>9</v>
      </c>
      <c r="L4" s="12" t="s">
        <v>10</v>
      </c>
      <c r="M4" s="4"/>
      <c r="N4" s="4"/>
    </row>
    <row r="5">
      <c r="A5" s="13"/>
      <c r="B5" s="76" t="s">
        <v>99</v>
      </c>
      <c r="C5" s="77">
        <f>C4*0.43</f>
        <v>11180</v>
      </c>
      <c r="D5" s="78">
        <f>SUM(D4)*0.43</f>
        <v>12900</v>
      </c>
      <c r="E5" s="78">
        <f t="shared" ref="E5:F5" si="2">SUM(E4)*0.33</f>
        <v>6880.5</v>
      </c>
      <c r="F5" s="78">
        <f t="shared" si="2"/>
        <v>11847</v>
      </c>
      <c r="G5" s="15"/>
      <c r="H5" s="11"/>
      <c r="J5" s="4"/>
      <c r="K5" s="4"/>
      <c r="L5" s="12"/>
      <c r="M5" s="4"/>
      <c r="N5" s="4"/>
    </row>
    <row r="6">
      <c r="A6" s="13"/>
      <c r="B6" s="79" t="s">
        <v>60</v>
      </c>
      <c r="C6" s="80">
        <f t="shared" ref="C6:F6" si="3">C4-C5</f>
        <v>14820</v>
      </c>
      <c r="D6" s="80">
        <f t="shared" si="3"/>
        <v>17100</v>
      </c>
      <c r="E6" s="80">
        <f t="shared" si="3"/>
        <v>13969.5</v>
      </c>
      <c r="F6" s="80">
        <f t="shared" si="3"/>
        <v>24053</v>
      </c>
      <c r="G6" s="19"/>
      <c r="H6" s="11">
        <v>0.0</v>
      </c>
      <c r="J6" s="4"/>
      <c r="K6" s="4" t="s">
        <v>17</v>
      </c>
      <c r="L6" s="12" t="s">
        <v>18</v>
      </c>
      <c r="M6" s="4"/>
      <c r="N6" s="4"/>
    </row>
    <row r="7">
      <c r="A7" s="8"/>
      <c r="B7" s="79" t="s">
        <v>102</v>
      </c>
      <c r="C7" s="81">
        <v>2414.8</v>
      </c>
      <c r="D7" s="81">
        <v>2834.77</v>
      </c>
      <c r="E7" s="81">
        <v>1874.0</v>
      </c>
      <c r="F7" s="81">
        <v>3454.0</v>
      </c>
      <c r="G7" s="43" t="s">
        <v>77</v>
      </c>
      <c r="H7" s="4"/>
      <c r="I7" s="4"/>
      <c r="J7" s="4"/>
      <c r="K7" s="4"/>
      <c r="L7" s="12"/>
      <c r="M7" s="12"/>
      <c r="N7" s="12"/>
    </row>
    <row r="8">
      <c r="A8" s="8"/>
      <c r="B8" s="76" t="s">
        <v>20</v>
      </c>
      <c r="C8" s="82" t="s">
        <v>21</v>
      </c>
      <c r="D8" s="82" t="s">
        <v>21</v>
      </c>
      <c r="E8" s="83">
        <v>1.5</v>
      </c>
      <c r="F8" s="83">
        <v>1.5</v>
      </c>
      <c r="G8" s="43" t="s">
        <v>78</v>
      </c>
      <c r="H8" s="4"/>
      <c r="I8" s="4"/>
      <c r="J8" s="4"/>
      <c r="K8" s="4" t="s">
        <v>22</v>
      </c>
      <c r="L8" s="12" t="s">
        <v>23</v>
      </c>
    </row>
    <row r="9">
      <c r="A9" s="8"/>
      <c r="B9" s="76" t="s">
        <v>63</v>
      </c>
      <c r="C9" s="83">
        <v>0.3</v>
      </c>
      <c r="D9" s="83">
        <v>0.3</v>
      </c>
      <c r="E9" s="82" t="s">
        <v>21</v>
      </c>
      <c r="F9" s="82"/>
      <c r="G9" s="20"/>
      <c r="H9" s="4"/>
      <c r="I9" s="4"/>
      <c r="J9" s="4"/>
    </row>
    <row r="10">
      <c r="A10" s="8"/>
      <c r="B10" s="76" t="s">
        <v>103</v>
      </c>
      <c r="C10" s="84">
        <v>13000.0</v>
      </c>
      <c r="D10" s="84">
        <v>13000.0</v>
      </c>
      <c r="E10" s="84">
        <v>13000.0</v>
      </c>
      <c r="F10" s="84">
        <v>13000.0</v>
      </c>
      <c r="G10" s="3"/>
      <c r="H10" s="4"/>
      <c r="I10" s="4"/>
      <c r="J10" s="4"/>
    </row>
    <row r="11">
      <c r="A11" s="8"/>
      <c r="B11" s="79" t="s">
        <v>42</v>
      </c>
      <c r="C11" s="81">
        <v>800.0</v>
      </c>
      <c r="D11" s="81">
        <v>800.0</v>
      </c>
      <c r="E11" s="81">
        <v>1800.0</v>
      </c>
      <c r="F11" s="81">
        <v>1800.0</v>
      </c>
      <c r="G11" s="42" t="s">
        <v>87</v>
      </c>
      <c r="H11" s="43" t="s">
        <v>81</v>
      </c>
      <c r="I11" s="4"/>
      <c r="J11" s="4"/>
      <c r="K11" s="4"/>
      <c r="L11" s="4"/>
      <c r="M11" s="4"/>
      <c r="N11" s="4"/>
    </row>
    <row r="12">
      <c r="A12" s="8"/>
      <c r="B12" s="76" t="s">
        <v>105</v>
      </c>
      <c r="C12" s="85"/>
      <c r="D12" s="85"/>
      <c r="E12" s="85">
        <v>6.1</v>
      </c>
      <c r="F12" s="85">
        <v>6.1</v>
      </c>
      <c r="G12" s="43" t="s">
        <v>88</v>
      </c>
      <c r="H12" s="4"/>
      <c r="I12" s="4"/>
      <c r="J12" s="4"/>
      <c r="K12" s="4"/>
      <c r="L12" s="4"/>
      <c r="M12" s="4"/>
      <c r="N12" s="4"/>
    </row>
    <row r="13">
      <c r="A13" s="8"/>
      <c r="B13" s="86" t="s">
        <v>107</v>
      </c>
      <c r="C13" s="87"/>
      <c r="D13" s="88"/>
      <c r="E13" s="89">
        <f t="shared" ref="E13:F13" si="4">E12*(E10/100)</f>
        <v>793</v>
      </c>
      <c r="F13" s="89">
        <f t="shared" si="4"/>
        <v>793</v>
      </c>
      <c r="G13" s="4"/>
      <c r="H13" s="4"/>
      <c r="I13" s="4"/>
      <c r="J13" s="4"/>
      <c r="K13" s="4"/>
      <c r="L13" s="4"/>
      <c r="M13" s="4"/>
      <c r="N13" s="4"/>
    </row>
    <row r="14">
      <c r="A14" s="8"/>
      <c r="B14" s="86" t="s">
        <v>108</v>
      </c>
      <c r="C14" s="90">
        <f t="shared" ref="C14:D14" si="5">15*(C10/100)</f>
        <v>1950</v>
      </c>
      <c r="D14" s="90">
        <f t="shared" si="5"/>
        <v>1950</v>
      </c>
      <c r="E14" s="87" t="s">
        <v>21</v>
      </c>
      <c r="F14" s="87"/>
      <c r="G14" s="4"/>
      <c r="H14" s="4"/>
      <c r="I14" s="4"/>
      <c r="J14" s="4"/>
      <c r="K14" s="4"/>
      <c r="L14" s="4"/>
      <c r="M14" s="4"/>
      <c r="N14" s="4"/>
    </row>
    <row r="15">
      <c r="A15" s="8"/>
      <c r="B15" s="91" t="s">
        <v>67</v>
      </c>
      <c r="C15" s="81">
        <f t="shared" ref="C15:D15" si="6">C9*C14</f>
        <v>585</v>
      </c>
      <c r="D15" s="81">
        <f t="shared" si="6"/>
        <v>585</v>
      </c>
      <c r="E15" s="80">
        <f t="shared" ref="E15:F15" si="7">E13*1.5</f>
        <v>1189.5</v>
      </c>
      <c r="F15" s="80">
        <f t="shared" si="7"/>
        <v>1189.5</v>
      </c>
      <c r="G15" s="4"/>
      <c r="H15" s="4"/>
      <c r="I15" s="3"/>
      <c r="J15" s="4"/>
      <c r="K15" s="4"/>
      <c r="L15" s="4"/>
      <c r="M15" s="4"/>
      <c r="N15" s="4"/>
    </row>
    <row r="16">
      <c r="A16" s="8"/>
      <c r="B16" s="92" t="s">
        <v>109</v>
      </c>
      <c r="D16" s="93"/>
      <c r="E16" s="93"/>
      <c r="F16" s="93"/>
      <c r="G16" s="30"/>
      <c r="H16" s="4"/>
      <c r="I16" s="3"/>
      <c r="J16" s="4"/>
      <c r="K16" s="4"/>
      <c r="L16" s="4"/>
      <c r="M16" s="4"/>
      <c r="N16" s="4"/>
    </row>
    <row r="17">
      <c r="A17" s="4"/>
      <c r="B17" s="65" t="s">
        <v>34</v>
      </c>
      <c r="C17" s="6"/>
      <c r="D17" s="7"/>
      <c r="E17" s="7"/>
      <c r="F17" s="7"/>
      <c r="G17" s="6" t="s">
        <v>35</v>
      </c>
      <c r="H17" s="4"/>
      <c r="I17" s="4"/>
      <c r="J17" s="4"/>
      <c r="K17" s="4"/>
      <c r="L17" s="4"/>
      <c r="M17" s="4"/>
      <c r="N17" s="4"/>
    </row>
    <row r="18">
      <c r="A18" s="31"/>
      <c r="B18" s="32"/>
      <c r="C18" s="33"/>
      <c r="D18" s="33"/>
      <c r="E18" s="33"/>
      <c r="F18" s="33"/>
      <c r="G18" s="4"/>
      <c r="H18" s="4"/>
      <c r="I18" s="4"/>
      <c r="J18" s="4"/>
      <c r="K18" s="4"/>
      <c r="L18" s="4"/>
      <c r="M18" s="4"/>
      <c r="N18" s="4"/>
    </row>
    <row r="19">
      <c r="A19" s="31"/>
      <c r="B19" s="32"/>
      <c r="C19" s="33"/>
      <c r="D19" s="33"/>
      <c r="E19" s="33"/>
      <c r="F19" s="33"/>
      <c r="G19" s="3"/>
      <c r="H19" s="4"/>
      <c r="I19" s="4"/>
      <c r="J19" s="4"/>
      <c r="K19" s="4"/>
      <c r="L19" s="4"/>
      <c r="M19" s="4"/>
      <c r="N19" s="4"/>
    </row>
    <row r="20">
      <c r="A20" s="31"/>
      <c r="B20" s="32"/>
      <c r="C20" s="33"/>
      <c r="D20" s="33"/>
      <c r="E20" s="33"/>
      <c r="F20" s="33"/>
      <c r="G20" s="4"/>
      <c r="H20" s="4"/>
      <c r="I20" s="4"/>
      <c r="J20" s="4"/>
      <c r="K20" s="4"/>
      <c r="L20" s="4"/>
      <c r="M20" s="4"/>
      <c r="N20" s="4"/>
    </row>
    <row r="21">
      <c r="A21" s="31"/>
      <c r="B21" s="32">
        <v>1.0</v>
      </c>
      <c r="C21" s="33"/>
      <c r="D21" s="33"/>
      <c r="E21" s="33"/>
      <c r="F21" s="33"/>
      <c r="G21" s="34">
        <f t="shared" ref="G21:G30" si="8">$D21-$C21</f>
        <v>0</v>
      </c>
      <c r="H21" s="4"/>
      <c r="I21" s="4"/>
      <c r="J21" s="4"/>
      <c r="K21" s="4"/>
      <c r="L21" s="4"/>
      <c r="M21" s="4"/>
      <c r="N21" s="4"/>
    </row>
    <row r="22">
      <c r="A22" s="35"/>
      <c r="B22" s="32">
        <v>2.0</v>
      </c>
      <c r="C22" s="33"/>
      <c r="D22" s="33"/>
      <c r="E22" s="33"/>
      <c r="F22" s="33"/>
      <c r="G22" s="34">
        <f t="shared" si="8"/>
        <v>0</v>
      </c>
      <c r="H22" s="4"/>
      <c r="I22" s="3"/>
      <c r="J22" s="4"/>
      <c r="K22" s="4"/>
      <c r="L22" s="4"/>
      <c r="M22" s="4"/>
      <c r="N22" s="4"/>
    </row>
    <row r="23">
      <c r="A23" s="35"/>
      <c r="B23" s="32">
        <v>3.0</v>
      </c>
      <c r="C23" s="33"/>
      <c r="D23" s="33"/>
      <c r="E23" s="33"/>
      <c r="F23" s="33"/>
      <c r="G23" s="34">
        <f t="shared" si="8"/>
        <v>0</v>
      </c>
      <c r="H23" s="4"/>
      <c r="I23" s="4"/>
      <c r="J23" s="4"/>
      <c r="K23" s="4"/>
      <c r="L23" s="4"/>
      <c r="M23" s="4"/>
      <c r="N23" s="4"/>
    </row>
    <row r="24">
      <c r="A24" s="35"/>
      <c r="B24" s="32">
        <v>4.0</v>
      </c>
      <c r="C24" s="33"/>
      <c r="D24" s="33"/>
      <c r="E24" s="33"/>
      <c r="F24" s="33"/>
      <c r="G24" s="34">
        <f t="shared" si="8"/>
        <v>0</v>
      </c>
      <c r="H24" s="4"/>
      <c r="I24" s="4"/>
      <c r="J24" s="4"/>
      <c r="K24" s="4"/>
      <c r="L24" s="4"/>
      <c r="M24" s="4"/>
      <c r="N24" s="4"/>
    </row>
    <row r="25">
      <c r="A25" s="35"/>
      <c r="B25" s="32">
        <v>5.0</v>
      </c>
      <c r="C25" s="33">
        <f>C6+(B25*C15)+C11+C7</f>
        <v>20959.8</v>
      </c>
      <c r="D25" s="33">
        <f>D6+(B25*D15)+D11+D7</f>
        <v>23659.77</v>
      </c>
      <c r="E25" s="33">
        <f>E6+(B25*E15)+E11+E7</f>
        <v>23591</v>
      </c>
      <c r="F25" s="33">
        <f>F6+(B25*F15)+F11+F7</f>
        <v>35254.5</v>
      </c>
      <c r="G25" s="34">
        <f t="shared" si="8"/>
        <v>2699.97</v>
      </c>
      <c r="H25" s="4"/>
      <c r="I25" s="3"/>
      <c r="J25" s="4"/>
      <c r="K25" s="4"/>
      <c r="L25" s="4"/>
      <c r="M25" s="4"/>
      <c r="N25" s="4"/>
    </row>
    <row r="26">
      <c r="A26" s="35"/>
      <c r="B26" s="32">
        <v>6.0</v>
      </c>
      <c r="C26" s="33"/>
      <c r="D26" s="33"/>
      <c r="E26" s="33"/>
      <c r="F26" s="33"/>
      <c r="G26" s="34">
        <f t="shared" si="8"/>
        <v>0</v>
      </c>
      <c r="H26" s="4"/>
      <c r="I26" s="4"/>
      <c r="J26" s="4"/>
      <c r="K26" s="4"/>
      <c r="L26" s="4"/>
      <c r="M26" s="4"/>
      <c r="N26" s="4"/>
    </row>
    <row r="27">
      <c r="A27" s="35"/>
      <c r="B27" s="32">
        <v>7.0</v>
      </c>
      <c r="C27" s="33"/>
      <c r="D27" s="33"/>
      <c r="E27" s="33"/>
      <c r="F27" s="33"/>
      <c r="G27" s="34">
        <f t="shared" si="8"/>
        <v>0</v>
      </c>
      <c r="H27" s="4"/>
      <c r="I27" s="4"/>
      <c r="J27" s="4"/>
      <c r="K27" s="4"/>
      <c r="L27" s="4"/>
      <c r="M27" s="4"/>
      <c r="N27" s="4"/>
    </row>
    <row r="28">
      <c r="A28" s="35"/>
      <c r="B28" s="32">
        <v>8.0</v>
      </c>
      <c r="C28" s="33"/>
      <c r="D28" s="33"/>
      <c r="E28" s="33"/>
      <c r="F28" s="33"/>
      <c r="G28" s="34">
        <f t="shared" si="8"/>
        <v>0</v>
      </c>
      <c r="H28" s="4"/>
      <c r="I28" s="4"/>
      <c r="J28" s="4"/>
      <c r="K28" s="4"/>
      <c r="L28" s="4"/>
      <c r="M28" s="4"/>
      <c r="N28" s="4"/>
    </row>
    <row r="29">
      <c r="A29" s="35"/>
      <c r="B29" s="32">
        <v>9.0</v>
      </c>
      <c r="C29" s="33"/>
      <c r="D29" s="33"/>
      <c r="E29" s="33"/>
      <c r="F29" s="33"/>
      <c r="G29" s="34">
        <f t="shared" si="8"/>
        <v>0</v>
      </c>
      <c r="H29" s="4"/>
      <c r="I29" s="4"/>
      <c r="J29" s="4"/>
      <c r="K29" s="4"/>
      <c r="L29" s="4"/>
      <c r="M29" s="4"/>
      <c r="N29" s="4"/>
    </row>
    <row r="30">
      <c r="A30" s="35"/>
      <c r="B30" s="32">
        <v>10.0</v>
      </c>
      <c r="C30" s="33"/>
      <c r="D30" s="33"/>
      <c r="E30" s="33"/>
      <c r="F30" s="33"/>
      <c r="G30" s="34">
        <f t="shared" si="8"/>
        <v>0</v>
      </c>
      <c r="H30" s="4"/>
      <c r="I30" s="4"/>
      <c r="J30" s="4"/>
      <c r="K30" s="4"/>
      <c r="L30" s="4"/>
      <c r="M30" s="4"/>
      <c r="N30" s="4"/>
    </row>
    <row r="31">
      <c r="A31" s="35"/>
      <c r="B31" s="35"/>
      <c r="C31" s="37"/>
      <c r="D31" s="37"/>
      <c r="E31" s="37"/>
      <c r="F31" s="37"/>
      <c r="G31" s="4"/>
      <c r="H31" s="4"/>
      <c r="I31" s="4"/>
      <c r="J31" s="4"/>
      <c r="K31" s="4"/>
      <c r="L31" s="4"/>
      <c r="M31" s="4"/>
      <c r="N31" s="4"/>
    </row>
    <row r="32">
      <c r="A32" s="35"/>
      <c r="B32" s="35"/>
      <c r="C32" s="37"/>
      <c r="D32" s="37">
        <f>C30-D30</f>
        <v>0</v>
      </c>
      <c r="E32" s="37"/>
      <c r="F32" s="37"/>
      <c r="G32" s="4"/>
      <c r="H32" s="4"/>
      <c r="I32" s="4"/>
      <c r="J32" s="4"/>
      <c r="K32" s="4"/>
      <c r="L32" s="4"/>
      <c r="M32" s="4"/>
      <c r="N32" s="4"/>
    </row>
    <row r="33">
      <c r="A33" s="35"/>
      <c r="B33" s="35"/>
      <c r="C33" s="37"/>
      <c r="D33" s="37"/>
      <c r="E33" s="37"/>
      <c r="F33" s="37"/>
      <c r="G33" s="4"/>
      <c r="H33" s="4"/>
      <c r="I33" s="4"/>
      <c r="J33" s="4"/>
      <c r="K33" s="4"/>
      <c r="L33" s="4"/>
      <c r="M33" s="4"/>
      <c r="N33" s="4"/>
    </row>
    <row r="34">
      <c r="A34" s="35"/>
      <c r="G34" s="4"/>
      <c r="H34" s="4"/>
      <c r="I34" s="4"/>
      <c r="J34" s="4"/>
      <c r="K34" s="4"/>
      <c r="L34" s="4"/>
      <c r="M34" s="4"/>
      <c r="N34" s="4"/>
    </row>
  </sheetData>
  <mergeCells count="3">
    <mergeCell ref="L8:N8"/>
    <mergeCell ref="B1:E1"/>
    <mergeCell ref="I4:I6"/>
  </mergeCells>
  <hyperlinks>
    <hyperlink r:id="rId1" ref="L4"/>
    <hyperlink r:id="rId2" ref="L6"/>
    <hyperlink r:id="rId3" ref="G7"/>
    <hyperlink r:id="rId4" ref="G8"/>
    <hyperlink r:id="rId5" ref="L8"/>
    <hyperlink r:id="rId6" location="style=401756838" ref="G11"/>
    <hyperlink r:id="rId7" ref="H11"/>
    <hyperlink r:id="rId8" ref="G12"/>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1.86"/>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2</v>
      </c>
      <c r="D3" s="7" t="s">
        <v>4</v>
      </c>
      <c r="E3" s="3"/>
      <c r="F3" s="4"/>
      <c r="G3" s="4"/>
      <c r="H3" s="4"/>
      <c r="I3" s="4" t="s">
        <v>5</v>
      </c>
      <c r="J3" s="4"/>
      <c r="K3" s="4"/>
      <c r="L3" s="4"/>
    </row>
    <row r="4">
      <c r="A4" s="8"/>
      <c r="B4" s="9" t="s">
        <v>7</v>
      </c>
      <c r="C4" s="10">
        <v>39500.0</v>
      </c>
      <c r="D4" s="10">
        <v>29111.0</v>
      </c>
      <c r="E4" s="3"/>
      <c r="F4" s="11">
        <v>20000.0</v>
      </c>
      <c r="G4" s="9" t="s">
        <v>8</v>
      </c>
      <c r="H4" s="4"/>
      <c r="I4" s="4" t="s">
        <v>9</v>
      </c>
      <c r="J4" s="12" t="s">
        <v>10</v>
      </c>
      <c r="K4" s="4"/>
      <c r="L4" s="4"/>
    </row>
    <row r="5">
      <c r="A5" s="13"/>
      <c r="B5" s="11" t="s">
        <v>11</v>
      </c>
      <c r="C5" s="14">
        <f>C4*0.487</f>
        <v>19236.5</v>
      </c>
      <c r="D5" s="14">
        <f>D4*0.362</f>
        <v>10538.182</v>
      </c>
      <c r="E5" s="15"/>
      <c r="F5" s="11"/>
      <c r="H5" s="4"/>
      <c r="I5" s="4"/>
      <c r="J5" s="12"/>
      <c r="K5" s="4"/>
      <c r="L5" s="4"/>
    </row>
    <row r="6">
      <c r="A6" s="13"/>
      <c r="B6" s="11" t="s">
        <v>12</v>
      </c>
      <c r="C6" s="14">
        <f t="shared" ref="C6:D6" si="1">C4-C5</f>
        <v>20263.5</v>
      </c>
      <c r="D6" s="14">
        <f t="shared" si="1"/>
        <v>18572.818</v>
      </c>
      <c r="E6" s="15"/>
      <c r="F6" s="11"/>
      <c r="H6" s="4"/>
      <c r="I6" s="4"/>
      <c r="J6" s="12"/>
      <c r="K6" s="4"/>
      <c r="L6" s="4"/>
    </row>
    <row r="7">
      <c r="A7" s="13"/>
      <c r="B7" s="16" t="s">
        <v>13</v>
      </c>
      <c r="C7" s="10">
        <v>-3750.0</v>
      </c>
      <c r="D7" s="17">
        <v>0.0</v>
      </c>
      <c r="E7" s="15"/>
      <c r="F7" s="11">
        <v>1.3</v>
      </c>
      <c r="H7" s="4"/>
      <c r="I7" s="4" t="s">
        <v>14</v>
      </c>
      <c r="J7" s="12" t="s">
        <v>15</v>
      </c>
      <c r="K7" s="4"/>
      <c r="L7" s="4"/>
    </row>
    <row r="8">
      <c r="A8" s="13"/>
      <c r="B8" s="3" t="s">
        <v>16</v>
      </c>
      <c r="C8" s="18">
        <f t="shared" ref="C8:D8" si="2">SUM(C6:C7)</f>
        <v>16513.5</v>
      </c>
      <c r="D8" s="18">
        <f t="shared" si="2"/>
        <v>18572.818</v>
      </c>
      <c r="E8" s="19"/>
      <c r="F8" s="11">
        <v>0.0</v>
      </c>
      <c r="H8" s="4"/>
      <c r="I8" s="4" t="s">
        <v>17</v>
      </c>
      <c r="J8" s="12" t="s">
        <v>18</v>
      </c>
      <c r="K8" s="4"/>
      <c r="L8" s="4"/>
    </row>
    <row r="9">
      <c r="A9" s="8"/>
      <c r="B9" s="11" t="s">
        <v>19</v>
      </c>
      <c r="C9" s="14">
        <v>5039.41</v>
      </c>
      <c r="D9" s="14">
        <v>3644.44</v>
      </c>
      <c r="E9" s="3"/>
      <c r="F9" s="4"/>
      <c r="G9" s="4"/>
      <c r="H9" s="4"/>
      <c r="I9" s="4"/>
      <c r="J9" s="12"/>
      <c r="K9" s="12"/>
      <c r="L9" s="12"/>
    </row>
    <row r="10">
      <c r="A10" s="8"/>
      <c r="B10" s="11" t="s">
        <v>20</v>
      </c>
      <c r="C10" s="14" t="s">
        <v>21</v>
      </c>
      <c r="D10" s="14">
        <v>3.0</v>
      </c>
      <c r="E10" s="3"/>
      <c r="F10" s="4"/>
      <c r="G10" s="4"/>
      <c r="H10" s="4"/>
      <c r="I10" s="4" t="s">
        <v>22</v>
      </c>
      <c r="J10" s="12" t="s">
        <v>23</v>
      </c>
    </row>
    <row r="11">
      <c r="A11" s="8"/>
      <c r="B11" s="11" t="s">
        <v>24</v>
      </c>
      <c r="C11" s="14">
        <v>0.1</v>
      </c>
      <c r="D11" s="14" t="s">
        <v>21</v>
      </c>
      <c r="E11" s="20"/>
      <c r="F11" s="4"/>
      <c r="G11" s="4"/>
      <c r="H11" s="4"/>
    </row>
    <row r="12">
      <c r="A12" s="8"/>
      <c r="B12" s="11" t="s">
        <v>25</v>
      </c>
      <c r="C12" s="21">
        <v>13500.0</v>
      </c>
      <c r="D12" s="21">
        <v>13500.0</v>
      </c>
      <c r="E12" s="3"/>
      <c r="F12" s="4"/>
      <c r="G12" s="4"/>
      <c r="H12" s="4"/>
    </row>
    <row r="13">
      <c r="A13" s="8"/>
      <c r="B13" s="11" t="s">
        <v>26</v>
      </c>
      <c r="C13" s="10">
        <v>0.0</v>
      </c>
      <c r="D13" s="10">
        <v>0.0</v>
      </c>
      <c r="E13" s="3"/>
      <c r="F13" s="4"/>
      <c r="G13" s="4"/>
      <c r="H13" s="4"/>
      <c r="I13" s="4"/>
      <c r="J13" s="12"/>
    </row>
    <row r="14">
      <c r="A14" s="8"/>
      <c r="B14" s="4" t="s">
        <v>27</v>
      </c>
      <c r="C14" s="22">
        <f t="shared" ref="C14:D14" si="3">C13*C12</f>
        <v>0</v>
      </c>
      <c r="D14" s="22">
        <f t="shared" si="3"/>
        <v>0</v>
      </c>
      <c r="E14" s="19"/>
      <c r="F14" s="4"/>
      <c r="G14" s="4"/>
      <c r="H14" s="4"/>
      <c r="I14" s="4"/>
      <c r="J14" s="4"/>
      <c r="K14" s="4"/>
      <c r="L14" s="4"/>
    </row>
    <row r="15">
      <c r="A15" s="8"/>
      <c r="B15" s="11" t="s">
        <v>28</v>
      </c>
      <c r="C15" s="23">
        <v>4.0</v>
      </c>
      <c r="D15" s="23">
        <v>46.0</v>
      </c>
      <c r="E15" s="3"/>
      <c r="F15" s="4"/>
      <c r="G15" s="4"/>
      <c r="H15" s="4"/>
      <c r="I15" s="4"/>
      <c r="J15" s="4"/>
      <c r="K15" s="4"/>
      <c r="L15" s="4"/>
    </row>
    <row r="16">
      <c r="A16" s="8"/>
      <c r="B16" s="3" t="s">
        <v>29</v>
      </c>
      <c r="C16" s="24" t="s">
        <v>21</v>
      </c>
      <c r="D16" s="25">
        <f>D12/D15</f>
        <v>293.4782609</v>
      </c>
      <c r="E16" s="4"/>
      <c r="F16" s="4"/>
      <c r="G16" s="4"/>
      <c r="H16" s="4"/>
      <c r="I16" s="4"/>
      <c r="J16" s="4"/>
      <c r="K16" s="4"/>
      <c r="L16" s="4"/>
    </row>
    <row r="17">
      <c r="A17" s="8"/>
      <c r="B17" s="3" t="s">
        <v>30</v>
      </c>
      <c r="C17" s="26">
        <f>C12/C15</f>
        <v>3375</v>
      </c>
      <c r="D17" s="24" t="s">
        <v>21</v>
      </c>
      <c r="E17" s="4"/>
      <c r="F17" s="4"/>
      <c r="G17" s="4"/>
      <c r="H17" s="4"/>
      <c r="I17" s="4"/>
      <c r="J17" s="4"/>
      <c r="K17" s="4"/>
      <c r="L17" s="4"/>
    </row>
    <row r="18">
      <c r="A18" s="8"/>
      <c r="B18" s="3" t="s">
        <v>32</v>
      </c>
      <c r="C18" s="27">
        <f>C11*C17</f>
        <v>337.5</v>
      </c>
      <c r="D18" s="18">
        <f>D16*D10</f>
        <v>880.4347826</v>
      </c>
      <c r="E18" s="4"/>
      <c r="F18" s="4"/>
      <c r="G18" s="3"/>
      <c r="H18" s="4"/>
      <c r="I18" s="4"/>
      <c r="J18" s="4"/>
      <c r="K18" s="4"/>
      <c r="L18" s="4"/>
    </row>
    <row r="19">
      <c r="A19" s="8"/>
      <c r="B19" s="28" t="s">
        <v>33</v>
      </c>
      <c r="C19" s="29">
        <f t="shared" ref="C19:D19" si="4">C28</f>
        <v>23240.41</v>
      </c>
      <c r="D19" s="29">
        <f t="shared" si="4"/>
        <v>26619.43191</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36</v>
      </c>
      <c r="E23" s="6" t="s">
        <v>35</v>
      </c>
      <c r="F23" s="4"/>
      <c r="G23" s="4"/>
      <c r="H23" s="4"/>
      <c r="I23" s="4"/>
      <c r="J23" s="4"/>
      <c r="K23" s="4"/>
      <c r="L23" s="4"/>
    </row>
    <row r="24">
      <c r="A24" s="31"/>
      <c r="B24" s="32">
        <v>1.0</v>
      </c>
      <c r="C24" s="33"/>
      <c r="D24" s="33"/>
      <c r="E24" s="34">
        <f t="shared" ref="E24:E33" si="5">$D24-$C24</f>
        <v>0</v>
      </c>
      <c r="F24" s="4"/>
      <c r="G24" s="4"/>
      <c r="H24" s="4"/>
      <c r="I24" s="4"/>
      <c r="J24" s="4"/>
      <c r="K24" s="4"/>
      <c r="L24" s="4"/>
    </row>
    <row r="25">
      <c r="A25" s="35"/>
      <c r="B25" s="32">
        <v>2.0</v>
      </c>
      <c r="C25" s="33"/>
      <c r="D25" s="33"/>
      <c r="E25" s="34">
        <f t="shared" si="5"/>
        <v>0</v>
      </c>
      <c r="F25" s="4"/>
      <c r="G25" s="3"/>
      <c r="H25" s="4"/>
      <c r="I25" s="4"/>
      <c r="J25" s="4"/>
      <c r="K25" s="4"/>
      <c r="L25" s="4"/>
    </row>
    <row r="26">
      <c r="A26" s="35"/>
      <c r="B26" s="32">
        <v>3.0</v>
      </c>
      <c r="C26" s="33">
        <f>C8+(B26*C18)+(C14*B26)</f>
        <v>17526</v>
      </c>
      <c r="D26" s="33">
        <f>D8+(D18*B26)+(D14*B26)</f>
        <v>21214.12235</v>
      </c>
      <c r="E26" s="34">
        <f t="shared" si="5"/>
        <v>3688.122348</v>
      </c>
      <c r="F26" s="4"/>
      <c r="G26" s="4"/>
      <c r="H26" s="4"/>
      <c r="I26" s="4"/>
      <c r="J26" s="4"/>
      <c r="K26" s="4"/>
      <c r="L26" s="4"/>
    </row>
    <row r="27">
      <c r="A27" s="35"/>
      <c r="B27" s="32">
        <v>4.0</v>
      </c>
      <c r="C27" s="33"/>
      <c r="D27" s="33"/>
      <c r="E27" s="34">
        <f t="shared" si="5"/>
        <v>0</v>
      </c>
      <c r="F27" s="4"/>
      <c r="G27" s="4"/>
      <c r="H27" s="4"/>
      <c r="I27" s="4"/>
      <c r="J27" s="4"/>
      <c r="K27" s="4"/>
      <c r="L27" s="4"/>
    </row>
    <row r="28">
      <c r="A28" s="35"/>
      <c r="B28" s="35">
        <v>5.0</v>
      </c>
      <c r="C28" s="36">
        <f>C8+(B28*C18)+(C14*B28)+C9</f>
        <v>23240.41</v>
      </c>
      <c r="D28" s="36">
        <f>D8+(D18*B28)+(D14*B28)+D9</f>
        <v>26619.43191</v>
      </c>
      <c r="E28" s="34">
        <f t="shared" si="5"/>
        <v>3379.021913</v>
      </c>
      <c r="F28" s="4"/>
      <c r="G28" s="3"/>
      <c r="H28" s="4"/>
      <c r="I28" s="4"/>
      <c r="J28" s="4"/>
      <c r="K28" s="4"/>
      <c r="L28" s="4"/>
    </row>
    <row r="29">
      <c r="A29" s="35"/>
      <c r="B29" s="32">
        <v>6.0</v>
      </c>
      <c r="C29" s="33">
        <f>C8+(B29*C18)+(C14*B29)</f>
        <v>18538.5</v>
      </c>
      <c r="D29" s="33">
        <f>D8+(D18*B29)+(D14*B29)+480</f>
        <v>24335.4267</v>
      </c>
      <c r="E29" s="34">
        <f t="shared" si="5"/>
        <v>5796.926696</v>
      </c>
      <c r="F29" s="4"/>
      <c r="G29" s="4"/>
      <c r="H29" s="4"/>
      <c r="I29" s="4"/>
      <c r="J29" s="4"/>
      <c r="K29" s="4"/>
      <c r="L29" s="4"/>
    </row>
    <row r="30">
      <c r="A30" s="35"/>
      <c r="B30" s="32">
        <v>7.0</v>
      </c>
      <c r="C30" s="33">
        <f>C8+(B30*C18)+(C14*B30)</f>
        <v>18876</v>
      </c>
      <c r="D30" s="33">
        <f>D8+(D18*B30)+(D14*B30)+480</f>
        <v>25215.86148</v>
      </c>
      <c r="E30" s="34">
        <f t="shared" si="5"/>
        <v>6339.861478</v>
      </c>
      <c r="F30" s="4"/>
      <c r="G30" s="4"/>
      <c r="H30" s="4"/>
      <c r="I30" s="4"/>
      <c r="J30" s="4"/>
      <c r="K30" s="4"/>
      <c r="L30" s="4"/>
    </row>
    <row r="31">
      <c r="A31" s="35"/>
      <c r="B31" s="32">
        <v>8.0</v>
      </c>
      <c r="C31" s="33">
        <f>C8+(B31*C18)+(C14*B31)</f>
        <v>19213.5</v>
      </c>
      <c r="D31" s="33">
        <f>D8+(D18*B31)+(D14*B31)+480</f>
        <v>26096.29626</v>
      </c>
      <c r="E31" s="34">
        <f t="shared" si="5"/>
        <v>6882.796261</v>
      </c>
      <c r="F31" s="4"/>
      <c r="G31" s="4"/>
      <c r="H31" s="4"/>
      <c r="I31" s="4"/>
      <c r="J31" s="4"/>
      <c r="K31" s="4"/>
      <c r="L31" s="4"/>
    </row>
    <row r="32">
      <c r="A32" s="35"/>
      <c r="B32" s="32">
        <v>9.0</v>
      </c>
      <c r="C32" s="33">
        <f>C8+(B32*C18)+(C14*B32)+C19</f>
        <v>42791.41</v>
      </c>
      <c r="D32" s="33">
        <f>D8+(D18*B32)+(D14*B32)+480</f>
        <v>26976.73104</v>
      </c>
      <c r="E32" s="34">
        <f t="shared" si="5"/>
        <v>-15814.67896</v>
      </c>
      <c r="F32" s="4"/>
      <c r="G32" s="4"/>
      <c r="H32" s="4"/>
      <c r="I32" s="4"/>
      <c r="J32" s="4"/>
      <c r="K32" s="4"/>
      <c r="L32" s="4"/>
    </row>
    <row r="33">
      <c r="A33" s="35"/>
      <c r="B33" s="32">
        <v>10.0</v>
      </c>
      <c r="C33" s="33">
        <f>C8+(B33*C18)+(C14*B33)+C19</f>
        <v>43128.91</v>
      </c>
      <c r="D33" s="33">
        <f>D8+(D18*B33)+(D14*B33)+480</f>
        <v>27857.16583</v>
      </c>
      <c r="E33" s="34">
        <f t="shared" si="5"/>
        <v>-15271.74417</v>
      </c>
      <c r="F33" s="4"/>
      <c r="G33" s="4"/>
      <c r="H33" s="4"/>
      <c r="I33" s="4"/>
      <c r="J33" s="4"/>
      <c r="K33" s="4"/>
      <c r="L33" s="4"/>
    </row>
    <row r="34">
      <c r="A34" s="35"/>
      <c r="B34" s="35"/>
      <c r="C34" s="37"/>
      <c r="D34" s="37"/>
      <c r="E34" s="4"/>
      <c r="F34" s="4"/>
      <c r="G34" s="4"/>
      <c r="H34" s="4"/>
      <c r="I34" s="4"/>
      <c r="J34" s="4"/>
      <c r="K34" s="4"/>
      <c r="L34" s="4"/>
    </row>
    <row r="35">
      <c r="A35" s="35"/>
      <c r="B35" s="35"/>
      <c r="C35" s="37"/>
      <c r="D35" s="37">
        <f>C33-D33</f>
        <v>15271.74417</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5">
    <mergeCell ref="J13:L13"/>
    <mergeCell ref="J10:L10"/>
    <mergeCell ref="G4:G8"/>
    <mergeCell ref="B1:D1"/>
    <mergeCell ref="B2:D2"/>
  </mergeCells>
  <hyperlinks>
    <hyperlink r:id="rId2" ref="J4"/>
    <hyperlink r:id="rId3" ref="J7"/>
    <hyperlink r:id="rId4" ref="J8"/>
    <hyperlink r:id="rId5" ref="J10"/>
  </hyperlinks>
  <drawing r:id="rId6"/>
  <legacyDrawing r:id="rId7"/>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5" t="s">
        <v>53</v>
      </c>
      <c r="C2" s="6" t="s">
        <v>37</v>
      </c>
      <c r="D2" s="7" t="s">
        <v>114</v>
      </c>
      <c r="E2" s="3"/>
      <c r="F2" s="4"/>
      <c r="G2" s="4"/>
      <c r="H2" s="4"/>
      <c r="I2" s="4" t="s">
        <v>5</v>
      </c>
      <c r="J2" s="4"/>
      <c r="K2" s="4"/>
      <c r="L2" s="4"/>
    </row>
    <row r="3">
      <c r="A3" s="8"/>
      <c r="B3" s="9" t="s">
        <v>7</v>
      </c>
      <c r="C3" s="94">
        <v>38990.0</v>
      </c>
      <c r="D3" s="94">
        <v>47650.0</v>
      </c>
      <c r="E3" s="3"/>
      <c r="F3" s="11">
        <v>20000.0</v>
      </c>
      <c r="G3" s="9" t="s">
        <v>8</v>
      </c>
      <c r="H3" s="4"/>
      <c r="I3" s="4" t="s">
        <v>9</v>
      </c>
      <c r="J3" s="12" t="s">
        <v>10</v>
      </c>
      <c r="K3" s="4"/>
      <c r="L3" s="4"/>
    </row>
    <row r="4">
      <c r="A4" s="13"/>
      <c r="B4" s="11" t="s">
        <v>115</v>
      </c>
      <c r="C4" s="14" t="s">
        <v>21</v>
      </c>
      <c r="D4" s="14">
        <v>2350.0</v>
      </c>
      <c r="E4" s="15"/>
      <c r="F4" s="11"/>
      <c r="H4" s="4"/>
      <c r="I4" s="4"/>
      <c r="J4" s="12"/>
      <c r="K4" s="4"/>
      <c r="L4" s="4"/>
    </row>
    <row r="5">
      <c r="A5" s="13"/>
      <c r="B5" s="11" t="s">
        <v>116</v>
      </c>
      <c r="C5" s="14" t="s">
        <v>21</v>
      </c>
      <c r="D5" s="14">
        <v>1800.0</v>
      </c>
      <c r="E5" s="15"/>
      <c r="F5" s="11"/>
      <c r="H5" s="4"/>
      <c r="I5" s="4"/>
      <c r="J5" s="12"/>
      <c r="K5" s="4"/>
      <c r="L5" s="4"/>
    </row>
    <row r="6">
      <c r="A6" s="13"/>
      <c r="B6" s="11" t="s">
        <v>39</v>
      </c>
      <c r="C6" s="14">
        <f>C3*0.07</f>
        <v>2729.3</v>
      </c>
      <c r="D6" s="95">
        <f>(D5+D4+D3)*0.07</f>
        <v>3626</v>
      </c>
      <c r="E6" s="15"/>
      <c r="F6" s="11"/>
      <c r="H6" s="4"/>
      <c r="I6" s="4"/>
      <c r="J6" s="12"/>
      <c r="K6" s="4"/>
      <c r="L6" s="4"/>
    </row>
    <row r="7">
      <c r="A7" s="13"/>
      <c r="B7" s="11" t="s">
        <v>40</v>
      </c>
      <c r="C7" s="14">
        <v>1200.0</v>
      </c>
      <c r="D7" s="14">
        <v>0.0</v>
      </c>
      <c r="E7" s="15"/>
      <c r="F7" s="11"/>
      <c r="H7" s="4"/>
      <c r="I7" s="4"/>
      <c r="J7" s="12"/>
      <c r="K7" s="4"/>
      <c r="L7" s="4"/>
    </row>
    <row r="8">
      <c r="A8" s="13"/>
      <c r="B8" s="11" t="s">
        <v>11</v>
      </c>
      <c r="C8" s="14">
        <f>C3*0.487</f>
        <v>18988.13</v>
      </c>
      <c r="D8" s="95">
        <f>SUM(D3:D5)*0.3</f>
        <v>15540</v>
      </c>
      <c r="E8" s="15"/>
      <c r="F8" s="11"/>
      <c r="H8" s="4"/>
      <c r="I8" s="4"/>
      <c r="J8" s="12"/>
      <c r="K8" s="4"/>
      <c r="L8" s="4"/>
    </row>
    <row r="9">
      <c r="A9" s="13"/>
      <c r="B9" s="16" t="s">
        <v>13</v>
      </c>
      <c r="C9" s="14">
        <v>-1875.0</v>
      </c>
      <c r="D9" s="14">
        <v>7500.0</v>
      </c>
      <c r="E9" s="15"/>
      <c r="F9" s="11">
        <v>1.3</v>
      </c>
      <c r="H9" s="4"/>
      <c r="I9" s="4" t="s">
        <v>14</v>
      </c>
      <c r="J9" s="12" t="s">
        <v>15</v>
      </c>
      <c r="K9" s="4"/>
      <c r="L9" s="4"/>
    </row>
    <row r="10">
      <c r="A10" s="13"/>
      <c r="B10" s="3" t="s">
        <v>60</v>
      </c>
      <c r="C10" s="18">
        <f>C3+C9-C8+C6+C7</f>
        <v>22056.17</v>
      </c>
      <c r="D10" s="18">
        <f>D3+D4+D5-D9-D8+D6</f>
        <v>32386</v>
      </c>
      <c r="E10" s="19"/>
      <c r="F10" s="11">
        <v>0.0</v>
      </c>
      <c r="H10" s="4"/>
      <c r="I10" s="4" t="s">
        <v>17</v>
      </c>
      <c r="J10" s="12" t="s">
        <v>18</v>
      </c>
      <c r="K10" s="4"/>
      <c r="L10" s="4"/>
    </row>
    <row r="11">
      <c r="A11" s="8"/>
      <c r="B11" s="39" t="s">
        <v>19</v>
      </c>
      <c r="C11" s="40">
        <v>4238.33</v>
      </c>
      <c r="D11" s="96">
        <v>6960.22</v>
      </c>
      <c r="E11" s="3"/>
      <c r="F11" s="4"/>
      <c r="G11" s="4"/>
      <c r="H11" s="4"/>
      <c r="I11" s="4"/>
      <c r="J11" s="12"/>
      <c r="K11" s="12"/>
      <c r="L11" s="12"/>
    </row>
    <row r="12">
      <c r="A12" s="8"/>
      <c r="B12" s="9" t="s">
        <v>20</v>
      </c>
      <c r="C12" s="14" t="s">
        <v>21</v>
      </c>
      <c r="D12" s="14" t="s">
        <v>21</v>
      </c>
      <c r="E12" s="48" t="str">
        <f>D12/1.4</f>
        <v>#VALUE!</v>
      </c>
      <c r="F12" s="4"/>
      <c r="G12" s="4"/>
      <c r="H12" s="4"/>
      <c r="I12" s="4" t="s">
        <v>22</v>
      </c>
      <c r="J12" s="12" t="s">
        <v>23</v>
      </c>
    </row>
    <row r="13">
      <c r="A13" s="8"/>
      <c r="B13" s="11" t="s">
        <v>63</v>
      </c>
      <c r="C13" s="14">
        <v>0.13</v>
      </c>
      <c r="D13" s="14">
        <v>0.13</v>
      </c>
      <c r="E13" s="20"/>
      <c r="F13" s="4"/>
      <c r="G13" s="4"/>
      <c r="H13" s="4"/>
    </row>
    <row r="14">
      <c r="A14" s="8"/>
      <c r="B14" s="11" t="s">
        <v>25</v>
      </c>
      <c r="C14" s="21">
        <v>13000.0</v>
      </c>
      <c r="D14" s="50">
        <v>13000.0</v>
      </c>
      <c r="E14" s="3"/>
      <c r="F14" s="4"/>
      <c r="G14" s="4"/>
      <c r="H14" s="4"/>
    </row>
    <row r="15">
      <c r="A15" s="8"/>
      <c r="B15" s="39" t="s">
        <v>42</v>
      </c>
      <c r="C15" s="27">
        <f t="shared" ref="C15:D15" si="1">980.72</f>
        <v>980.72</v>
      </c>
      <c r="D15" s="27">
        <f t="shared" si="1"/>
        <v>980.72</v>
      </c>
      <c r="E15" s="3"/>
      <c r="F15" s="4"/>
      <c r="G15" s="4"/>
      <c r="H15" s="4"/>
      <c r="I15" s="4"/>
      <c r="J15" s="12"/>
    </row>
    <row r="16">
      <c r="A16" s="8"/>
      <c r="B16" s="11" t="s">
        <v>64</v>
      </c>
      <c r="C16" s="23">
        <v>4.0</v>
      </c>
      <c r="D16" s="23">
        <v>3.7</v>
      </c>
      <c r="E16" s="3"/>
      <c r="F16" s="4"/>
      <c r="G16" s="4"/>
      <c r="H16" s="4"/>
      <c r="I16" s="4"/>
      <c r="J16" s="4"/>
      <c r="K16" s="4"/>
      <c r="L16" s="4"/>
    </row>
    <row r="17">
      <c r="A17" s="8"/>
      <c r="B17" s="9" t="s">
        <v>65</v>
      </c>
      <c r="C17" s="23" t="s">
        <v>21</v>
      </c>
      <c r="D17" s="44" t="s">
        <v>21</v>
      </c>
      <c r="E17" s="4"/>
      <c r="F17" s="4"/>
      <c r="G17" s="4"/>
      <c r="H17" s="4"/>
      <c r="I17" s="4"/>
      <c r="J17" s="4"/>
      <c r="K17" s="4"/>
      <c r="L17" s="4"/>
    </row>
    <row r="18">
      <c r="A18" s="8"/>
      <c r="B18" s="11" t="s">
        <v>66</v>
      </c>
      <c r="C18" s="44">
        <f t="shared" ref="C18:D18" si="2">C14/C16</f>
        <v>3250</v>
      </c>
      <c r="D18" s="44">
        <f t="shared" si="2"/>
        <v>3513.513514</v>
      </c>
      <c r="E18" s="4"/>
      <c r="F18" s="4"/>
      <c r="G18" s="4"/>
      <c r="H18" s="4"/>
      <c r="I18" s="4"/>
      <c r="J18" s="4"/>
      <c r="K18" s="4"/>
      <c r="L18" s="4"/>
    </row>
    <row r="19">
      <c r="A19" s="8"/>
      <c r="B19" s="4" t="s">
        <v>67</v>
      </c>
      <c r="C19" s="27">
        <f t="shared" ref="C19:D19" si="3">C13*C18</f>
        <v>422.5</v>
      </c>
      <c r="D19" s="27">
        <f t="shared" si="3"/>
        <v>456.7567568</v>
      </c>
      <c r="E19" s="4"/>
      <c r="F19" s="4"/>
      <c r="G19" s="3"/>
      <c r="H19" s="4"/>
      <c r="I19" s="4"/>
      <c r="J19" s="4"/>
      <c r="K19" s="4"/>
      <c r="L19" s="4"/>
    </row>
    <row r="20">
      <c r="A20" s="8"/>
      <c r="B20" s="28" t="s">
        <v>33</v>
      </c>
      <c r="C20" s="29">
        <f t="shared" ref="C20:D20" si="4">C29</f>
        <v>29387.72</v>
      </c>
      <c r="D20" s="29">
        <f t="shared" si="4"/>
        <v>42610.72378</v>
      </c>
      <c r="E20" s="30"/>
      <c r="F20" s="4"/>
      <c r="G20" s="3"/>
      <c r="H20" s="4"/>
      <c r="I20" s="4"/>
      <c r="J20" s="4"/>
      <c r="K20" s="4"/>
      <c r="L20" s="4"/>
    </row>
    <row r="21">
      <c r="A21" s="4"/>
      <c r="B21" s="31" t="s">
        <v>34</v>
      </c>
      <c r="C21" s="6" t="s">
        <v>2</v>
      </c>
      <c r="D21" s="7" t="s">
        <v>114</v>
      </c>
      <c r="E21" s="6" t="s">
        <v>35</v>
      </c>
      <c r="F21" s="4"/>
      <c r="G21" s="4"/>
      <c r="H21" s="4"/>
      <c r="I21" s="4"/>
      <c r="J21" s="4"/>
      <c r="K21" s="4"/>
      <c r="L21" s="4"/>
    </row>
    <row r="22">
      <c r="A22" s="31"/>
      <c r="B22" s="32"/>
      <c r="C22" s="33"/>
      <c r="D22" s="33"/>
      <c r="E22" s="4"/>
      <c r="F22" s="4"/>
      <c r="G22" s="4"/>
      <c r="H22" s="4"/>
      <c r="I22" s="4"/>
      <c r="J22" s="4"/>
      <c r="K22" s="4"/>
      <c r="L22" s="4"/>
    </row>
    <row r="23">
      <c r="A23" s="31"/>
      <c r="B23" s="32"/>
      <c r="C23" s="33"/>
      <c r="D23" s="33"/>
      <c r="E23" s="4"/>
      <c r="F23" s="4"/>
      <c r="G23" s="4"/>
      <c r="H23" s="4"/>
      <c r="I23" s="4"/>
      <c r="J23" s="4"/>
      <c r="K23" s="4"/>
      <c r="L23" s="4"/>
    </row>
    <row r="24">
      <c r="A24" s="31"/>
      <c r="B24" s="32"/>
      <c r="C24" s="33"/>
      <c r="D24" s="33"/>
      <c r="E24" s="4"/>
      <c r="F24" s="4"/>
      <c r="G24" s="4"/>
      <c r="H24" s="4"/>
      <c r="I24" s="4"/>
      <c r="J24" s="4"/>
      <c r="K24" s="4"/>
      <c r="L24" s="4"/>
    </row>
    <row r="25">
      <c r="A25" s="31"/>
      <c r="B25" s="32">
        <v>1.0</v>
      </c>
      <c r="C25" s="33"/>
      <c r="D25" s="33"/>
      <c r="E25" s="34">
        <f t="shared" ref="E25:E34" si="5">$D25-$C25</f>
        <v>0</v>
      </c>
      <c r="F25" s="4"/>
      <c r="G25" s="4"/>
      <c r="H25" s="4"/>
      <c r="I25" s="4"/>
      <c r="J25" s="4"/>
      <c r="K25" s="4"/>
      <c r="L25" s="4"/>
    </row>
    <row r="26">
      <c r="A26" s="35"/>
      <c r="B26" s="32">
        <v>2.0</v>
      </c>
      <c r="C26" s="33"/>
      <c r="D26" s="33"/>
      <c r="E26" s="34">
        <f t="shared" si="5"/>
        <v>0</v>
      </c>
      <c r="F26" s="4"/>
      <c r="G26" s="3"/>
      <c r="H26" s="4"/>
      <c r="I26" s="4"/>
      <c r="J26" s="4"/>
      <c r="K26" s="4"/>
      <c r="L26" s="4"/>
    </row>
    <row r="27">
      <c r="A27" s="35"/>
      <c r="B27" s="32">
        <v>3.0</v>
      </c>
      <c r="C27" s="33"/>
      <c r="D27" s="33"/>
      <c r="E27" s="34">
        <f t="shared" si="5"/>
        <v>0</v>
      </c>
      <c r="F27" s="4"/>
      <c r="G27" s="4"/>
      <c r="H27" s="4"/>
      <c r="I27" s="4"/>
      <c r="J27" s="4"/>
      <c r="K27" s="4"/>
      <c r="L27" s="4"/>
    </row>
    <row r="28">
      <c r="A28" s="35"/>
      <c r="B28" s="32">
        <v>4.0</v>
      </c>
      <c r="C28" s="33"/>
      <c r="D28" s="33"/>
      <c r="E28" s="34">
        <f t="shared" si="5"/>
        <v>0</v>
      </c>
      <c r="F28" s="4"/>
      <c r="G28" s="4"/>
      <c r="H28" s="4"/>
      <c r="I28" s="4"/>
      <c r="J28" s="4"/>
      <c r="K28" s="4"/>
      <c r="L28" s="4"/>
    </row>
    <row r="29">
      <c r="A29" s="35"/>
      <c r="B29" s="32">
        <v>5.0</v>
      </c>
      <c r="C29" s="33">
        <f>C10+(B29*C19)+(C15)+C11</f>
        <v>29387.72</v>
      </c>
      <c r="D29" s="33">
        <f>D10+(D19*B29)+(D15)+D11</f>
        <v>42610.72378</v>
      </c>
      <c r="E29" s="34">
        <f t="shared" si="5"/>
        <v>13223.00378</v>
      </c>
      <c r="F29" s="4"/>
      <c r="G29" s="3"/>
      <c r="H29" s="4"/>
      <c r="I29" s="4"/>
      <c r="J29" s="4"/>
      <c r="K29" s="4"/>
      <c r="L29" s="4"/>
    </row>
    <row r="30">
      <c r="A30" s="35"/>
      <c r="B30" s="32">
        <v>6.0</v>
      </c>
      <c r="C30" s="33"/>
      <c r="D30" s="33"/>
      <c r="E30" s="34">
        <f t="shared" si="5"/>
        <v>0</v>
      </c>
      <c r="F30" s="4"/>
      <c r="G30" s="4"/>
      <c r="H30" s="4"/>
      <c r="I30" s="4"/>
      <c r="J30" s="4"/>
      <c r="K30" s="4"/>
      <c r="L30" s="4"/>
    </row>
    <row r="31">
      <c r="A31" s="35"/>
      <c r="B31" s="32">
        <v>7.0</v>
      </c>
      <c r="C31" s="33"/>
      <c r="D31" s="33"/>
      <c r="E31" s="34">
        <f t="shared" si="5"/>
        <v>0</v>
      </c>
      <c r="F31" s="4"/>
      <c r="G31" s="4"/>
      <c r="H31" s="4"/>
      <c r="I31" s="4"/>
      <c r="J31" s="4"/>
      <c r="K31" s="4"/>
      <c r="L31" s="4"/>
    </row>
    <row r="32">
      <c r="A32" s="35"/>
      <c r="B32" s="32">
        <v>8.0</v>
      </c>
      <c r="C32" s="33"/>
      <c r="D32" s="33"/>
      <c r="E32" s="34">
        <f t="shared" si="5"/>
        <v>0</v>
      </c>
      <c r="F32" s="4"/>
      <c r="G32" s="4"/>
      <c r="H32" s="4"/>
      <c r="I32" s="4"/>
      <c r="J32" s="4"/>
      <c r="K32" s="4"/>
      <c r="L32" s="4"/>
    </row>
    <row r="33">
      <c r="A33" s="35"/>
      <c r="B33" s="32">
        <v>9.0</v>
      </c>
      <c r="C33" s="33"/>
      <c r="D33" s="33"/>
      <c r="E33" s="34">
        <f t="shared" si="5"/>
        <v>0</v>
      </c>
      <c r="F33" s="4"/>
      <c r="G33" s="4"/>
      <c r="H33" s="4"/>
      <c r="I33" s="4"/>
      <c r="J33" s="4"/>
      <c r="K33" s="4"/>
      <c r="L33" s="4"/>
    </row>
    <row r="34">
      <c r="A34" s="35"/>
      <c r="B34" s="32">
        <v>10.0</v>
      </c>
      <c r="C34" s="33"/>
      <c r="D34" s="33"/>
      <c r="E34" s="34">
        <f t="shared" si="5"/>
        <v>0</v>
      </c>
      <c r="F34" s="4"/>
      <c r="G34" s="4"/>
      <c r="H34" s="4"/>
      <c r="I34" s="4"/>
      <c r="J34" s="4"/>
      <c r="K34" s="4"/>
      <c r="L34" s="4"/>
    </row>
    <row r="35">
      <c r="A35" s="35"/>
      <c r="B35" s="35"/>
      <c r="C35" s="37"/>
      <c r="D35" s="37"/>
      <c r="E35" s="4"/>
      <c r="F35" s="4"/>
      <c r="G35" s="4"/>
      <c r="H35" s="4"/>
      <c r="I35" s="4"/>
      <c r="J35" s="4"/>
      <c r="K35" s="4"/>
      <c r="L35" s="4"/>
    </row>
    <row r="36">
      <c r="A36" s="35"/>
      <c r="B36" s="35"/>
      <c r="C36" s="37"/>
      <c r="D36" s="37">
        <f>C34-D34</f>
        <v>0</v>
      </c>
      <c r="E36" s="4"/>
      <c r="F36" s="4"/>
      <c r="G36" s="4"/>
      <c r="H36" s="4"/>
      <c r="I36" s="4"/>
      <c r="J36" s="4"/>
      <c r="K36" s="4"/>
      <c r="L36" s="4"/>
    </row>
    <row r="37">
      <c r="A37" s="35"/>
      <c r="B37" s="35"/>
      <c r="C37" s="37"/>
      <c r="D37" s="37"/>
      <c r="E37" s="4"/>
      <c r="F37" s="4"/>
      <c r="G37" s="4"/>
      <c r="H37" s="4"/>
      <c r="I37" s="4"/>
      <c r="J37" s="4"/>
      <c r="K37" s="4"/>
      <c r="L37" s="4"/>
    </row>
    <row r="38">
      <c r="A38" s="35"/>
      <c r="E38" s="4"/>
      <c r="F38" s="4"/>
      <c r="G38" s="4"/>
      <c r="H38" s="4"/>
      <c r="I38" s="4"/>
      <c r="J38" s="4"/>
      <c r="K38" s="4"/>
      <c r="L38" s="4"/>
    </row>
  </sheetData>
  <mergeCells count="4">
    <mergeCell ref="J15:L15"/>
    <mergeCell ref="J12:L12"/>
    <mergeCell ref="B1:D1"/>
    <mergeCell ref="G3:G10"/>
  </mergeCells>
  <hyperlinks>
    <hyperlink r:id="rId1" ref="J3"/>
    <hyperlink r:id="rId2" ref="J9"/>
    <hyperlink r:id="rId3" ref="J10"/>
    <hyperlink r:id="rId4" ref="J12"/>
  </hyperlinks>
  <drawing r:id="rId5"/>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33.57"/>
    <col customWidth="1" min="4" max="4" width="16.14"/>
  </cols>
  <sheetData>
    <row r="1">
      <c r="C1" s="97" t="s">
        <v>1</v>
      </c>
      <c r="D1" s="28" t="s">
        <v>117</v>
      </c>
    </row>
    <row r="2">
      <c r="C2" s="97" t="s">
        <v>2</v>
      </c>
      <c r="D2" s="98">
        <v>23240.0</v>
      </c>
    </row>
    <row r="3">
      <c r="C3" s="99" t="s">
        <v>118</v>
      </c>
      <c r="D3" s="98">
        <v>26323.0</v>
      </c>
    </row>
    <row r="4">
      <c r="C4" s="99" t="s">
        <v>119</v>
      </c>
      <c r="D4" s="98">
        <v>27725.0</v>
      </c>
    </row>
    <row r="5">
      <c r="C5" s="99" t="s">
        <v>120</v>
      </c>
      <c r="D5" s="98">
        <v>26399.0</v>
      </c>
    </row>
    <row r="6">
      <c r="C6" s="99" t="s">
        <v>121</v>
      </c>
      <c r="D6" s="98">
        <v>25805.0</v>
      </c>
    </row>
    <row r="7">
      <c r="C7" s="99" t="s">
        <v>122</v>
      </c>
      <c r="D7" s="98">
        <v>24143.0</v>
      </c>
    </row>
    <row r="9">
      <c r="C9" s="97" t="s">
        <v>1</v>
      </c>
      <c r="D9" s="28" t="s">
        <v>117</v>
      </c>
    </row>
    <row r="10">
      <c r="C10" s="97" t="s">
        <v>2</v>
      </c>
      <c r="D10" s="98">
        <v>23678.0</v>
      </c>
    </row>
    <row r="11">
      <c r="C11" s="99" t="s">
        <v>118</v>
      </c>
      <c r="D11" s="98">
        <v>27416.0</v>
      </c>
    </row>
    <row r="12">
      <c r="C12" s="99" t="s">
        <v>119</v>
      </c>
      <c r="D12" s="98">
        <v>28818.0</v>
      </c>
    </row>
    <row r="13">
      <c r="C13" s="99" t="s">
        <v>120</v>
      </c>
      <c r="D13" s="98">
        <v>27493.0</v>
      </c>
    </row>
    <row r="14">
      <c r="C14" s="99" t="s">
        <v>121</v>
      </c>
      <c r="D14" s="98">
        <v>27499.0</v>
      </c>
    </row>
    <row r="15">
      <c r="C15" s="99" t="s">
        <v>122</v>
      </c>
      <c r="D15" s="98">
        <v>25893.0</v>
      </c>
    </row>
    <row r="17">
      <c r="C17" s="97" t="s">
        <v>1</v>
      </c>
      <c r="D17" s="28" t="s">
        <v>117</v>
      </c>
    </row>
    <row r="18">
      <c r="C18" s="97" t="s">
        <v>2</v>
      </c>
      <c r="D18" s="98">
        <v>22803.0</v>
      </c>
    </row>
    <row r="19">
      <c r="C19" s="99" t="s">
        <v>118</v>
      </c>
      <c r="D19" s="98">
        <v>25229.0</v>
      </c>
    </row>
    <row r="20">
      <c r="C20" s="99" t="s">
        <v>119</v>
      </c>
      <c r="D20" s="98">
        <v>26631.0</v>
      </c>
    </row>
    <row r="21">
      <c r="C21" s="99" t="s">
        <v>120</v>
      </c>
      <c r="D21" s="98">
        <v>25305.0</v>
      </c>
    </row>
    <row r="22">
      <c r="C22" s="99" t="s">
        <v>121</v>
      </c>
      <c r="D22" s="98">
        <v>24112.0</v>
      </c>
    </row>
    <row r="23">
      <c r="C23" s="99" t="s">
        <v>122</v>
      </c>
      <c r="D23" s="98">
        <v>22393.0</v>
      </c>
    </row>
    <row r="25">
      <c r="C25" s="97" t="s">
        <v>1</v>
      </c>
      <c r="D25" s="28" t="s">
        <v>117</v>
      </c>
    </row>
    <row r="26">
      <c r="C26" s="97" t="s">
        <v>2</v>
      </c>
      <c r="D26" s="98">
        <v>22803.0</v>
      </c>
    </row>
    <row r="27">
      <c r="C27" s="99" t="s">
        <v>118</v>
      </c>
      <c r="D27" s="98">
        <v>25229.0</v>
      </c>
    </row>
    <row r="28">
      <c r="C28" s="99" t="s">
        <v>119</v>
      </c>
      <c r="D28" s="98">
        <v>26631.0</v>
      </c>
    </row>
    <row r="29">
      <c r="C29" s="99" t="s">
        <v>120</v>
      </c>
      <c r="D29" s="98">
        <v>25305.0</v>
      </c>
    </row>
    <row r="30">
      <c r="C30" s="99" t="s">
        <v>121</v>
      </c>
      <c r="D30" s="98">
        <v>24112.0</v>
      </c>
    </row>
    <row r="31">
      <c r="C31" s="99" t="s">
        <v>122</v>
      </c>
      <c r="D31" s="98">
        <v>22393.0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55.14"/>
    <col customWidth="1" min="3" max="3" width="38.86"/>
    <col customWidth="1" min="4" max="4" width="47.0"/>
    <col customWidth="1" min="5" max="5" width="41.43"/>
    <col customWidth="1" min="6" max="6" width="25.14"/>
    <col customWidth="1" min="7" max="7" width="45.43"/>
    <col customWidth="1" min="8" max="8" width="3.0"/>
    <col customWidth="1" min="9" max="9" width="27.0"/>
  </cols>
  <sheetData>
    <row r="1">
      <c r="A1" s="46"/>
      <c r="B1" s="47" t="s">
        <v>52</v>
      </c>
      <c r="E1" s="3"/>
      <c r="F1" s="4"/>
      <c r="G1" s="4"/>
      <c r="H1" s="4"/>
      <c r="I1" s="4"/>
      <c r="J1" s="4"/>
      <c r="K1" s="4"/>
      <c r="L1" s="4"/>
    </row>
    <row r="2">
      <c r="A2" s="46"/>
      <c r="B2" s="31" t="s">
        <v>123</v>
      </c>
      <c r="C2" s="6" t="s">
        <v>124</v>
      </c>
      <c r="D2" s="7" t="s">
        <v>125</v>
      </c>
      <c r="E2" s="3"/>
      <c r="F2" s="4"/>
      <c r="G2" s="4"/>
      <c r="H2" s="4"/>
      <c r="I2" s="4" t="s">
        <v>5</v>
      </c>
      <c r="J2" s="4"/>
      <c r="K2" s="4"/>
      <c r="L2" s="4"/>
    </row>
    <row r="3">
      <c r="A3" s="8"/>
      <c r="B3" s="9" t="s">
        <v>7</v>
      </c>
      <c r="C3" s="94">
        <v>17490.0</v>
      </c>
      <c r="D3" s="94">
        <v>33950.0</v>
      </c>
      <c r="E3" s="3"/>
      <c r="F3" s="11">
        <v>20000.0</v>
      </c>
      <c r="G3" s="9" t="s">
        <v>8</v>
      </c>
      <c r="H3" s="4"/>
      <c r="I3" s="4" t="s">
        <v>9</v>
      </c>
      <c r="J3" s="12" t="s">
        <v>10</v>
      </c>
      <c r="K3" s="4"/>
      <c r="L3" s="4"/>
    </row>
    <row r="4">
      <c r="A4" s="13"/>
      <c r="B4" s="11" t="s">
        <v>126</v>
      </c>
      <c r="C4" s="14" t="s">
        <v>21</v>
      </c>
      <c r="D4" s="14"/>
      <c r="E4" s="15"/>
      <c r="F4" s="11"/>
      <c r="H4" s="4"/>
      <c r="I4" s="4"/>
      <c r="J4" s="12"/>
      <c r="K4" s="4"/>
      <c r="L4" s="4"/>
    </row>
    <row r="5">
      <c r="A5" s="13"/>
      <c r="B5" s="11" t="s">
        <v>127</v>
      </c>
      <c r="C5" s="14" t="s">
        <v>21</v>
      </c>
      <c r="D5" s="14"/>
      <c r="E5" s="15"/>
      <c r="F5" s="11"/>
      <c r="H5" s="4"/>
      <c r="I5" s="4"/>
      <c r="J5" s="12"/>
      <c r="K5" s="4"/>
      <c r="L5" s="4"/>
    </row>
    <row r="6">
      <c r="A6" s="13"/>
      <c r="B6" s="11" t="s">
        <v>11</v>
      </c>
      <c r="C6" s="14"/>
      <c r="D6" s="95"/>
      <c r="E6" s="15"/>
      <c r="F6" s="11"/>
      <c r="H6" s="4"/>
      <c r="I6" s="4"/>
      <c r="J6" s="12"/>
      <c r="K6" s="4"/>
      <c r="L6" s="4"/>
    </row>
    <row r="7">
      <c r="A7" s="13"/>
      <c r="B7" s="16" t="s">
        <v>13</v>
      </c>
      <c r="C7" s="14">
        <v>0.0</v>
      </c>
      <c r="D7" s="95">
        <v>0.0</v>
      </c>
      <c r="E7" s="15"/>
      <c r="F7" s="11">
        <v>1.3</v>
      </c>
      <c r="H7" s="4"/>
      <c r="I7" s="4" t="s">
        <v>14</v>
      </c>
      <c r="J7" s="12" t="s">
        <v>15</v>
      </c>
      <c r="K7" s="4"/>
      <c r="L7" s="4"/>
    </row>
    <row r="8">
      <c r="A8" s="13"/>
      <c r="B8" s="3" t="s">
        <v>16</v>
      </c>
      <c r="C8" s="18">
        <f>C3+C7-C6</f>
        <v>17490</v>
      </c>
      <c r="D8" s="18">
        <f>D3+D4+D5-D7-D6</f>
        <v>33950</v>
      </c>
      <c r="E8" s="19"/>
      <c r="F8" s="11">
        <v>0.0</v>
      </c>
      <c r="H8" s="4"/>
      <c r="I8" s="4" t="s">
        <v>17</v>
      </c>
      <c r="J8" s="12" t="s">
        <v>18</v>
      </c>
      <c r="K8" s="4"/>
      <c r="L8" s="4"/>
    </row>
    <row r="9">
      <c r="A9" s="8"/>
      <c r="B9" s="9" t="s">
        <v>20</v>
      </c>
      <c r="C9" s="14" t="s">
        <v>21</v>
      </c>
      <c r="D9" s="14">
        <v>3.97468316097</v>
      </c>
      <c r="E9" s="48">
        <f>D9/1.4</f>
        <v>2.839059401</v>
      </c>
      <c r="F9" s="4"/>
      <c r="G9" s="4"/>
      <c r="H9" s="4"/>
      <c r="I9" s="4" t="s">
        <v>22</v>
      </c>
      <c r="J9" s="12" t="s">
        <v>23</v>
      </c>
    </row>
    <row r="10">
      <c r="A10" s="8"/>
      <c r="B10" s="11" t="s">
        <v>63</v>
      </c>
      <c r="C10" s="14">
        <v>0.32</v>
      </c>
      <c r="D10" s="14" t="s">
        <v>21</v>
      </c>
      <c r="E10" s="20"/>
      <c r="F10" s="4"/>
      <c r="G10" s="4"/>
      <c r="H10" s="4"/>
    </row>
    <row r="11">
      <c r="A11" s="8"/>
      <c r="B11" s="11" t="s">
        <v>129</v>
      </c>
      <c r="C11" s="21">
        <v>11000.0</v>
      </c>
      <c r="D11" s="50">
        <v>11000.0</v>
      </c>
      <c r="E11" s="3"/>
      <c r="F11" s="4"/>
      <c r="G11" s="4"/>
      <c r="H11" s="4"/>
    </row>
    <row r="12">
      <c r="A12" s="8"/>
      <c r="B12" s="11" t="s">
        <v>130</v>
      </c>
      <c r="C12" s="94">
        <v>0.0</v>
      </c>
      <c r="D12" s="94">
        <v>0.0</v>
      </c>
      <c r="E12" s="3"/>
      <c r="F12" s="4"/>
      <c r="G12" s="4"/>
      <c r="H12" s="4"/>
      <c r="I12" s="4"/>
      <c r="J12" s="12"/>
    </row>
    <row r="13">
      <c r="A13" s="8"/>
      <c r="B13" s="4" t="s">
        <v>27</v>
      </c>
      <c r="C13" s="18">
        <f t="shared" ref="C13:D13" si="1">C12*C11</f>
        <v>0</v>
      </c>
      <c r="D13" s="18">
        <f t="shared" si="1"/>
        <v>0</v>
      </c>
      <c r="E13" s="19"/>
      <c r="F13" s="4"/>
      <c r="G13" s="4"/>
      <c r="H13" s="4"/>
      <c r="I13" s="4"/>
      <c r="J13" s="4"/>
      <c r="K13" s="4"/>
      <c r="L13" s="4"/>
    </row>
    <row r="14">
      <c r="A14" s="8"/>
      <c r="B14" s="11" t="s">
        <v>64</v>
      </c>
      <c r="C14" s="23">
        <v>3.125</v>
      </c>
      <c r="D14" s="23">
        <v>31.0</v>
      </c>
      <c r="E14" s="3"/>
      <c r="F14" s="4"/>
      <c r="G14" s="4"/>
      <c r="H14" s="4"/>
      <c r="I14" s="4"/>
      <c r="J14" s="4"/>
      <c r="K14" s="4"/>
      <c r="L14" s="4"/>
    </row>
    <row r="15">
      <c r="A15" s="8"/>
      <c r="B15" s="4" t="s">
        <v>65</v>
      </c>
      <c r="C15" s="24" t="s">
        <v>21</v>
      </c>
      <c r="D15" s="25">
        <f>D11/D14</f>
        <v>354.8387097</v>
      </c>
      <c r="E15" s="4"/>
      <c r="F15" s="4"/>
      <c r="G15" s="4"/>
      <c r="H15" s="4"/>
      <c r="I15" s="4"/>
      <c r="J15" s="4"/>
      <c r="K15" s="4"/>
      <c r="L15" s="4"/>
    </row>
    <row r="16">
      <c r="A16" s="8"/>
      <c r="B16" s="3" t="s">
        <v>131</v>
      </c>
      <c r="C16" s="25">
        <f>C11/C14</f>
        <v>3520</v>
      </c>
      <c r="D16" s="24" t="s">
        <v>21</v>
      </c>
      <c r="E16" s="4"/>
      <c r="F16" s="4"/>
      <c r="G16" s="4"/>
      <c r="H16" s="4"/>
      <c r="I16" s="4"/>
      <c r="J16" s="4"/>
      <c r="K16" s="4"/>
      <c r="L16" s="4"/>
    </row>
    <row r="17">
      <c r="A17" s="8"/>
      <c r="B17" s="4" t="s">
        <v>67</v>
      </c>
      <c r="C17" s="27">
        <f>C10*C16</f>
        <v>1126.4</v>
      </c>
      <c r="D17" s="18">
        <f>D15*D9</f>
        <v>1410.371444</v>
      </c>
      <c r="E17" s="4"/>
      <c r="F17" s="4"/>
      <c r="G17" s="3"/>
      <c r="H17" s="4"/>
      <c r="I17" s="4"/>
      <c r="J17" s="4"/>
      <c r="K17" s="4"/>
      <c r="L17" s="4"/>
    </row>
    <row r="18">
      <c r="A18" s="8"/>
      <c r="B18" s="28" t="s">
        <v>33</v>
      </c>
      <c r="C18" s="29">
        <f t="shared" ref="C18:D18" si="2">C27</f>
        <v>23122</v>
      </c>
      <c r="D18" s="29">
        <f t="shared" si="2"/>
        <v>41001.85722</v>
      </c>
      <c r="E18" s="30"/>
      <c r="F18" s="4"/>
      <c r="G18" s="3"/>
      <c r="H18" s="4"/>
      <c r="I18" s="4"/>
      <c r="J18" s="4"/>
      <c r="K18" s="4"/>
      <c r="L18" s="4"/>
    </row>
    <row r="19">
      <c r="A19" s="4"/>
      <c r="B19" s="31" t="s">
        <v>34</v>
      </c>
      <c r="C19" s="6" t="s">
        <v>2</v>
      </c>
      <c r="D19" s="7" t="s">
        <v>69</v>
      </c>
      <c r="E19" s="6" t="s">
        <v>35</v>
      </c>
      <c r="F19" s="4"/>
      <c r="G19" s="4"/>
      <c r="H19" s="4"/>
      <c r="I19" s="4"/>
      <c r="J19" s="4"/>
      <c r="K19" s="4"/>
      <c r="L19" s="4"/>
    </row>
    <row r="20">
      <c r="A20" s="31"/>
      <c r="B20" s="32"/>
      <c r="C20" s="33"/>
      <c r="D20" s="33"/>
      <c r="E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2">
        <v>1.0</v>
      </c>
      <c r="C23" s="33"/>
      <c r="D23" s="33"/>
      <c r="E23" s="34">
        <f t="shared" ref="E23:E32" si="3">$D23-$C23</f>
        <v>0</v>
      </c>
      <c r="F23" s="4"/>
      <c r="G23" s="4"/>
      <c r="H23" s="4"/>
      <c r="I23" s="4"/>
      <c r="J23" s="4"/>
      <c r="K23" s="4"/>
      <c r="L23" s="4"/>
    </row>
    <row r="24">
      <c r="A24" s="35"/>
      <c r="B24" s="32">
        <v>2.0</v>
      </c>
      <c r="C24" s="33"/>
      <c r="D24" s="33"/>
      <c r="E24" s="34">
        <f t="shared" si="3"/>
        <v>0</v>
      </c>
      <c r="F24" s="4"/>
      <c r="G24" s="3"/>
      <c r="H24" s="4"/>
      <c r="I24" s="4"/>
      <c r="J24" s="4"/>
      <c r="K24" s="4"/>
      <c r="L24" s="4"/>
    </row>
    <row r="25">
      <c r="A25" s="35"/>
      <c r="B25" s="32">
        <v>3.0</v>
      </c>
      <c r="C25" s="33"/>
      <c r="D25" s="33"/>
      <c r="E25" s="34">
        <f t="shared" si="3"/>
        <v>0</v>
      </c>
      <c r="F25" s="4"/>
      <c r="G25" s="4"/>
      <c r="H25" s="4"/>
      <c r="I25" s="4"/>
      <c r="J25" s="4"/>
      <c r="K25" s="4"/>
      <c r="L25" s="4"/>
    </row>
    <row r="26">
      <c r="A26" s="35"/>
      <c r="B26" s="32">
        <v>4.0</v>
      </c>
      <c r="C26" s="33"/>
      <c r="D26" s="33"/>
      <c r="E26" s="34">
        <f t="shared" si="3"/>
        <v>0</v>
      </c>
      <c r="F26" s="4"/>
      <c r="G26" s="4"/>
      <c r="H26" s="4"/>
      <c r="I26" s="4"/>
      <c r="J26" s="4"/>
      <c r="K26" s="4"/>
      <c r="L26" s="4"/>
    </row>
    <row r="27">
      <c r="A27" s="35"/>
      <c r="B27" s="32">
        <v>5.0</v>
      </c>
      <c r="C27" s="33">
        <f>C8+(B27*C17)+(C13*B27)</f>
        <v>23122</v>
      </c>
      <c r="D27" s="33">
        <f>D8+(D17*B27)+(D13*B27)</f>
        <v>41001.85722</v>
      </c>
      <c r="E27" s="34">
        <f t="shared" si="3"/>
        <v>17879.85722</v>
      </c>
      <c r="F27" s="4"/>
      <c r="G27" s="3"/>
      <c r="H27" s="4"/>
      <c r="I27" s="4"/>
      <c r="J27" s="4"/>
      <c r="K27" s="4"/>
      <c r="L27" s="4"/>
    </row>
    <row r="28">
      <c r="A28" s="35"/>
      <c r="B28" s="32">
        <v>6.0</v>
      </c>
      <c r="C28" s="33"/>
      <c r="D28" s="33"/>
      <c r="E28" s="34">
        <f t="shared" si="3"/>
        <v>0</v>
      </c>
      <c r="F28" s="4"/>
      <c r="G28" s="4"/>
      <c r="H28" s="4"/>
      <c r="I28" s="4"/>
      <c r="J28" s="4"/>
      <c r="K28" s="4"/>
      <c r="L28" s="4"/>
    </row>
    <row r="29">
      <c r="A29" s="35"/>
      <c r="B29" s="32">
        <v>7.0</v>
      </c>
      <c r="C29" s="33"/>
      <c r="D29" s="33"/>
      <c r="E29" s="34">
        <f t="shared" si="3"/>
        <v>0</v>
      </c>
      <c r="F29" s="4"/>
      <c r="G29" s="4"/>
      <c r="H29" s="4"/>
      <c r="I29" s="4"/>
      <c r="J29" s="4"/>
      <c r="K29" s="4"/>
      <c r="L29" s="4"/>
    </row>
    <row r="30">
      <c r="A30" s="35"/>
      <c r="B30" s="32">
        <v>8.0</v>
      </c>
      <c r="C30" s="33"/>
      <c r="D30" s="33"/>
      <c r="E30" s="34">
        <f t="shared" si="3"/>
        <v>0</v>
      </c>
      <c r="F30" s="4"/>
      <c r="G30" s="4"/>
      <c r="H30" s="4"/>
      <c r="I30" s="4"/>
      <c r="J30" s="4"/>
      <c r="K30" s="4"/>
      <c r="L30" s="4"/>
    </row>
    <row r="31">
      <c r="A31" s="35"/>
      <c r="B31" s="32">
        <v>9.0</v>
      </c>
      <c r="C31" s="33"/>
      <c r="D31" s="33"/>
      <c r="E31" s="34">
        <f t="shared" si="3"/>
        <v>0</v>
      </c>
      <c r="F31" s="4"/>
      <c r="G31" s="4"/>
      <c r="H31" s="4"/>
      <c r="I31" s="4"/>
      <c r="J31" s="4"/>
      <c r="K31" s="4"/>
      <c r="L31" s="4"/>
    </row>
    <row r="32">
      <c r="A32" s="35"/>
      <c r="B32" s="32">
        <v>10.0</v>
      </c>
      <c r="C32" s="33"/>
      <c r="D32" s="33"/>
      <c r="E32" s="34">
        <f t="shared" si="3"/>
        <v>0</v>
      </c>
      <c r="F32" s="4"/>
      <c r="G32" s="4"/>
      <c r="H32" s="4"/>
      <c r="I32" s="4"/>
      <c r="J32" s="4"/>
      <c r="K32" s="4"/>
      <c r="L32" s="4"/>
    </row>
    <row r="33">
      <c r="A33" s="35"/>
      <c r="B33" s="35"/>
      <c r="C33" s="37"/>
      <c r="D33" s="37"/>
      <c r="E33" s="4"/>
      <c r="F33" s="4"/>
      <c r="G33" s="4"/>
      <c r="H33" s="4"/>
      <c r="I33" s="4"/>
      <c r="J33" s="4"/>
      <c r="K33" s="4"/>
      <c r="L33" s="4"/>
    </row>
    <row r="34">
      <c r="A34" s="35"/>
      <c r="B34" s="35"/>
      <c r="C34" s="37"/>
      <c r="D34" s="37">
        <f>C32-D32</f>
        <v>0</v>
      </c>
      <c r="E34" s="4"/>
      <c r="F34" s="4"/>
      <c r="G34" s="4"/>
      <c r="H34" s="4"/>
      <c r="I34" s="4"/>
      <c r="J34" s="4"/>
      <c r="K34" s="4"/>
      <c r="L34" s="4"/>
    </row>
    <row r="35">
      <c r="A35" s="35"/>
      <c r="B35" s="35"/>
      <c r="C35" s="37"/>
      <c r="D35" s="37"/>
      <c r="E35" s="4"/>
      <c r="F35" s="4"/>
      <c r="G35" s="4"/>
      <c r="H35" s="4"/>
      <c r="I35" s="4"/>
      <c r="J35" s="4"/>
      <c r="K35" s="4"/>
      <c r="L35" s="4"/>
    </row>
    <row r="36">
      <c r="A36" s="35"/>
      <c r="E36" s="4"/>
      <c r="F36" s="4"/>
      <c r="G36" s="4"/>
      <c r="H36" s="4"/>
      <c r="I36" s="4"/>
      <c r="J36" s="4"/>
      <c r="K36" s="4"/>
      <c r="L36" s="4"/>
    </row>
  </sheetData>
  <mergeCells count="4">
    <mergeCell ref="J12:L12"/>
    <mergeCell ref="J9:L9"/>
    <mergeCell ref="B1:D1"/>
    <mergeCell ref="G3:G8"/>
  </mergeCells>
  <hyperlinks>
    <hyperlink r:id="rId1" ref="J3"/>
    <hyperlink r:id="rId2" ref="J7"/>
    <hyperlink r:id="rId3" ref="J8"/>
    <hyperlink r:id="rId4" ref="J9"/>
  </hyperlinks>
  <drawing r:id="rId5"/>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55.14"/>
    <col customWidth="1" min="4" max="4" width="38.86"/>
    <col customWidth="1" min="5" max="5" width="41.86"/>
    <col customWidth="1" min="6" max="6" width="41.43"/>
    <col customWidth="1" min="7" max="7" width="25.14"/>
    <col customWidth="1" min="8" max="8" width="45.43"/>
    <col customWidth="1" min="9" max="9" width="3.0"/>
    <col customWidth="1" min="10" max="10" width="27.0"/>
  </cols>
  <sheetData>
    <row r="1">
      <c r="A1" s="46"/>
      <c r="B1" s="1"/>
      <c r="C1" s="2" t="s">
        <v>0</v>
      </c>
      <c r="F1" s="3"/>
      <c r="G1" s="4"/>
      <c r="H1" s="4"/>
      <c r="I1" s="4"/>
      <c r="J1" s="4"/>
      <c r="K1" s="4"/>
      <c r="L1" s="4"/>
      <c r="M1" s="4"/>
    </row>
    <row r="2">
      <c r="A2" s="46"/>
      <c r="B2" s="1"/>
      <c r="C2" s="1"/>
      <c r="F2" s="3"/>
      <c r="G2" s="4"/>
      <c r="H2" s="4"/>
      <c r="I2" s="4"/>
      <c r="J2" s="4"/>
      <c r="K2" s="4"/>
      <c r="L2" s="4"/>
      <c r="M2" s="4"/>
    </row>
    <row r="3">
      <c r="A3" s="46"/>
      <c r="B3" s="1"/>
      <c r="C3" s="28" t="s">
        <v>1</v>
      </c>
      <c r="D3" s="97" t="s">
        <v>2</v>
      </c>
      <c r="E3" s="99" t="s">
        <v>118</v>
      </c>
      <c r="F3" s="3"/>
      <c r="G3" s="4"/>
      <c r="H3" s="4"/>
      <c r="I3" s="4"/>
      <c r="J3" s="4" t="s">
        <v>5</v>
      </c>
      <c r="K3" s="4"/>
      <c r="L3" s="4"/>
      <c r="M3" s="4"/>
    </row>
    <row r="4">
      <c r="A4" s="8"/>
      <c r="B4" s="8"/>
      <c r="C4" s="9" t="s">
        <v>7</v>
      </c>
      <c r="D4" s="94">
        <v>39500.0</v>
      </c>
      <c r="E4" s="94">
        <v>34990.0</v>
      </c>
      <c r="F4" s="3"/>
      <c r="G4" s="11">
        <v>20000.0</v>
      </c>
      <c r="H4" s="9" t="s">
        <v>8</v>
      </c>
      <c r="I4" s="4"/>
      <c r="J4" s="4" t="s">
        <v>9</v>
      </c>
      <c r="K4" s="12" t="s">
        <v>10</v>
      </c>
      <c r="L4" s="4"/>
      <c r="M4" s="4"/>
    </row>
    <row r="5">
      <c r="A5" s="13"/>
      <c r="B5" s="13"/>
      <c r="C5" s="11" t="s">
        <v>11</v>
      </c>
      <c r="D5" s="14">
        <f>D4*0.487</f>
        <v>19236.5</v>
      </c>
      <c r="E5" s="14">
        <f>E4*0.382</f>
        <v>13366.18</v>
      </c>
      <c r="F5" s="15"/>
      <c r="G5" s="11"/>
      <c r="I5" s="4"/>
      <c r="J5" s="4"/>
      <c r="K5" s="12"/>
      <c r="L5" s="4"/>
      <c r="M5" s="4"/>
    </row>
    <row r="6">
      <c r="A6" s="13"/>
      <c r="B6" s="13"/>
      <c r="C6" s="11" t="s">
        <v>12</v>
      </c>
      <c r="D6" s="14">
        <f t="shared" ref="D6:E6" si="1">D4-D5</f>
        <v>20263.5</v>
      </c>
      <c r="E6" s="14">
        <f t="shared" si="1"/>
        <v>21623.82</v>
      </c>
      <c r="F6" s="15"/>
      <c r="G6" s="11"/>
      <c r="I6" s="4"/>
      <c r="J6" s="4"/>
      <c r="K6" s="12"/>
      <c r="L6" s="4"/>
      <c r="M6" s="4"/>
    </row>
    <row r="7">
      <c r="A7" s="13"/>
      <c r="B7" s="13"/>
      <c r="C7" s="16" t="s">
        <v>13</v>
      </c>
      <c r="D7" s="14">
        <v>-3750.0</v>
      </c>
      <c r="E7" s="95">
        <v>0.0</v>
      </c>
      <c r="F7" s="15"/>
      <c r="G7" s="11">
        <v>1.3</v>
      </c>
      <c r="I7" s="4"/>
      <c r="J7" s="4" t="s">
        <v>14</v>
      </c>
      <c r="K7" s="12" t="s">
        <v>15</v>
      </c>
      <c r="L7" s="4"/>
      <c r="M7" s="4"/>
    </row>
    <row r="8">
      <c r="A8" s="13"/>
      <c r="B8" s="13"/>
      <c r="C8" s="3" t="s">
        <v>128</v>
      </c>
      <c r="D8" s="18">
        <f t="shared" ref="D8:E8" si="2">SUM(D6:D7)</f>
        <v>16513.5</v>
      </c>
      <c r="E8" s="18">
        <f t="shared" si="2"/>
        <v>21623.82</v>
      </c>
      <c r="F8" s="19"/>
      <c r="G8" s="11">
        <v>0.0</v>
      </c>
      <c r="I8" s="4"/>
      <c r="J8" s="4" t="s">
        <v>17</v>
      </c>
      <c r="K8" s="12" t="s">
        <v>18</v>
      </c>
      <c r="L8" s="4"/>
      <c r="M8" s="4"/>
    </row>
    <row r="9">
      <c r="A9" s="8"/>
      <c r="B9" s="8"/>
      <c r="C9" s="11" t="s">
        <v>19</v>
      </c>
      <c r="D9" s="14">
        <v>5039.41</v>
      </c>
      <c r="E9" s="14">
        <v>4380.63</v>
      </c>
      <c r="F9" s="3"/>
      <c r="G9" s="4"/>
      <c r="H9" s="4"/>
      <c r="I9" s="4"/>
      <c r="J9" s="4"/>
      <c r="K9" s="12"/>
      <c r="L9" s="12"/>
      <c r="M9" s="12"/>
    </row>
    <row r="10">
      <c r="A10" s="8"/>
      <c r="B10" s="8"/>
      <c r="C10" s="11" t="s">
        <v>20</v>
      </c>
      <c r="D10" s="14" t="s">
        <v>21</v>
      </c>
      <c r="E10" s="14">
        <v>3.0</v>
      </c>
      <c r="F10" s="3"/>
      <c r="G10" s="4"/>
      <c r="H10" s="4"/>
      <c r="I10" s="4"/>
      <c r="J10" s="4" t="s">
        <v>22</v>
      </c>
      <c r="K10" s="12" t="s">
        <v>23</v>
      </c>
    </row>
    <row r="11">
      <c r="A11" s="8"/>
      <c r="B11" s="8"/>
      <c r="C11" s="11" t="s">
        <v>24</v>
      </c>
      <c r="D11" s="14">
        <v>0.1</v>
      </c>
      <c r="E11" s="14" t="s">
        <v>21</v>
      </c>
      <c r="F11" s="20"/>
      <c r="G11" s="4"/>
      <c r="H11" s="4"/>
      <c r="I11" s="4"/>
    </row>
    <row r="12">
      <c r="A12" s="8"/>
      <c r="B12" s="8"/>
      <c r="C12" s="11" t="s">
        <v>25</v>
      </c>
      <c r="D12" s="21">
        <v>10000.0</v>
      </c>
      <c r="E12" s="21">
        <v>10000.0</v>
      </c>
      <c r="F12" s="3"/>
      <c r="G12" s="4"/>
      <c r="H12" s="4"/>
      <c r="I12" s="4"/>
    </row>
    <row r="13">
      <c r="A13" s="8"/>
      <c r="B13" s="8"/>
      <c r="C13" s="11" t="s">
        <v>26</v>
      </c>
      <c r="D13" s="94">
        <v>0.0</v>
      </c>
      <c r="E13" s="94">
        <v>0.0</v>
      </c>
      <c r="F13" s="3"/>
      <c r="G13" s="4"/>
      <c r="H13" s="4"/>
      <c r="I13" s="4"/>
      <c r="J13" s="4"/>
      <c r="K13" s="12"/>
    </row>
    <row r="14">
      <c r="A14" s="8"/>
      <c r="B14" s="8"/>
      <c r="C14" s="4" t="s">
        <v>27</v>
      </c>
      <c r="D14" s="18">
        <f t="shared" ref="D14:E14" si="3">D13*D12</f>
        <v>0</v>
      </c>
      <c r="E14" s="18">
        <f t="shared" si="3"/>
        <v>0</v>
      </c>
      <c r="F14" s="19"/>
      <c r="G14" s="4"/>
      <c r="H14" s="4"/>
      <c r="I14" s="4"/>
      <c r="J14" s="4"/>
      <c r="K14" s="4"/>
      <c r="L14" s="4"/>
      <c r="M14" s="4"/>
    </row>
    <row r="15">
      <c r="A15" s="8"/>
      <c r="B15" s="8"/>
      <c r="C15" s="11" t="s">
        <v>28</v>
      </c>
      <c r="D15" s="23">
        <v>4.0</v>
      </c>
      <c r="E15" s="23">
        <v>48.0</v>
      </c>
      <c r="F15" s="3"/>
      <c r="G15" s="4"/>
      <c r="H15" s="4"/>
      <c r="I15" s="4"/>
      <c r="J15" s="4"/>
      <c r="K15" s="4"/>
      <c r="L15" s="4"/>
      <c r="M15" s="4"/>
    </row>
    <row r="16">
      <c r="A16" s="8"/>
      <c r="B16" s="8"/>
      <c r="C16" s="3" t="s">
        <v>29</v>
      </c>
      <c r="D16" s="24" t="s">
        <v>21</v>
      </c>
      <c r="E16" s="25">
        <f>E12/E15</f>
        <v>208.3333333</v>
      </c>
      <c r="F16" s="4"/>
      <c r="G16" s="4"/>
      <c r="H16" s="4"/>
      <c r="I16" s="4"/>
      <c r="J16" s="4"/>
      <c r="K16" s="4"/>
      <c r="L16" s="4"/>
      <c r="M16" s="4"/>
    </row>
    <row r="17">
      <c r="A17" s="8"/>
      <c r="B17" s="8"/>
      <c r="C17" s="3" t="s">
        <v>30</v>
      </c>
      <c r="D17" s="25">
        <f>D12/D15</f>
        <v>2500</v>
      </c>
      <c r="E17" s="24" t="s">
        <v>21</v>
      </c>
      <c r="F17" s="4"/>
      <c r="G17" s="4"/>
      <c r="H17" s="4"/>
      <c r="I17" s="4"/>
      <c r="J17" s="4"/>
      <c r="K17" s="4"/>
      <c r="L17" s="4"/>
      <c r="M17" s="4"/>
    </row>
    <row r="18">
      <c r="A18" s="8"/>
      <c r="B18" s="8"/>
      <c r="C18" s="3" t="s">
        <v>32</v>
      </c>
      <c r="D18" s="27">
        <f>D11*D17</f>
        <v>250</v>
      </c>
      <c r="E18" s="18">
        <f>E16*E10</f>
        <v>625</v>
      </c>
      <c r="F18" s="4"/>
      <c r="G18" s="4"/>
      <c r="H18" s="3"/>
      <c r="I18" s="4"/>
      <c r="J18" s="4"/>
      <c r="K18" s="4"/>
      <c r="L18" s="4"/>
      <c r="M18" s="4"/>
    </row>
    <row r="19">
      <c r="A19" s="4"/>
      <c r="B19" s="4"/>
      <c r="C19" s="28" t="s">
        <v>132</v>
      </c>
      <c r="D19" s="56">
        <f t="shared" ref="D19:E19" si="4">D25</f>
        <v>22802.91</v>
      </c>
      <c r="E19" s="100">
        <f t="shared" si="4"/>
        <v>25228.82</v>
      </c>
      <c r="F19" s="6" t="s">
        <v>35</v>
      </c>
      <c r="G19" s="4"/>
      <c r="H19" s="4"/>
      <c r="I19" s="4"/>
      <c r="J19" s="4"/>
      <c r="K19" s="4"/>
      <c r="L19" s="4"/>
      <c r="M19" s="4"/>
    </row>
    <row r="20">
      <c r="A20" s="31"/>
      <c r="B20" s="31"/>
      <c r="C20" s="32"/>
      <c r="D20" s="33"/>
      <c r="E20" s="33"/>
      <c r="F20" s="4"/>
      <c r="G20" s="4"/>
      <c r="H20" s="4"/>
      <c r="I20" s="4"/>
      <c r="J20" s="4"/>
      <c r="K20" s="4"/>
      <c r="L20" s="4"/>
      <c r="M20" s="4"/>
    </row>
    <row r="21">
      <c r="A21" s="31"/>
      <c r="B21" s="31"/>
      <c r="C21" s="32">
        <v>1.0</v>
      </c>
      <c r="D21" s="33"/>
      <c r="E21" s="33"/>
      <c r="F21" s="34">
        <f t="shared" ref="F21:F30" si="5">$E21-$D21</f>
        <v>0</v>
      </c>
      <c r="G21" s="4"/>
      <c r="H21" s="4"/>
      <c r="I21" s="4"/>
      <c r="J21" s="4"/>
      <c r="K21" s="4"/>
      <c r="L21" s="4"/>
      <c r="M21" s="4"/>
    </row>
    <row r="22">
      <c r="A22" s="35"/>
      <c r="B22" s="35"/>
      <c r="C22" s="32">
        <v>2.0</v>
      </c>
      <c r="D22" s="33"/>
      <c r="E22" s="33"/>
      <c r="F22" s="34">
        <f t="shared" si="5"/>
        <v>0</v>
      </c>
      <c r="G22" s="4"/>
      <c r="H22" s="3"/>
      <c r="I22" s="4"/>
      <c r="J22" s="4"/>
      <c r="K22" s="4"/>
      <c r="L22" s="4"/>
      <c r="M22" s="4"/>
    </row>
    <row r="23">
      <c r="A23" s="35"/>
      <c r="B23" s="35"/>
      <c r="C23" s="32">
        <v>3.0</v>
      </c>
      <c r="D23" s="33"/>
      <c r="E23" s="33"/>
      <c r="F23" s="34">
        <f t="shared" si="5"/>
        <v>0</v>
      </c>
      <c r="G23" s="4"/>
      <c r="H23" s="4"/>
      <c r="I23" s="4"/>
      <c r="J23" s="4"/>
      <c r="K23" s="4"/>
      <c r="L23" s="4"/>
      <c r="M23" s="4"/>
    </row>
    <row r="24">
      <c r="A24" s="35"/>
      <c r="B24" s="35"/>
      <c r="C24" s="32">
        <v>4.0</v>
      </c>
      <c r="D24" s="33"/>
      <c r="E24" s="33"/>
      <c r="F24" s="34">
        <f t="shared" si="5"/>
        <v>0</v>
      </c>
      <c r="G24" s="4"/>
      <c r="H24" s="4"/>
      <c r="I24" s="4"/>
      <c r="J24" s="4"/>
      <c r="K24" s="4"/>
      <c r="L24" s="4"/>
      <c r="M24" s="4"/>
    </row>
    <row r="25">
      <c r="A25" s="35"/>
      <c r="B25" s="35"/>
      <c r="C25" s="32">
        <v>5.0</v>
      </c>
      <c r="D25" s="33">
        <f>D8+(C25*D18)+(D14*C25)+D9</f>
        <v>22802.91</v>
      </c>
      <c r="E25" s="33">
        <f>E8+(E18*C25)+(E14*C25)+480</f>
        <v>25228.82</v>
      </c>
      <c r="F25" s="34">
        <f t="shared" si="5"/>
        <v>2425.91</v>
      </c>
      <c r="G25" s="4"/>
      <c r="H25" s="3"/>
      <c r="I25" s="4"/>
      <c r="J25" s="4"/>
      <c r="K25" s="4"/>
      <c r="L25" s="4"/>
      <c r="M25" s="4"/>
    </row>
    <row r="26">
      <c r="A26" s="35"/>
      <c r="B26" s="35"/>
      <c r="C26" s="32">
        <v>6.0</v>
      </c>
      <c r="D26" s="33">
        <f>D8+(C26*D18)+(D14*C26)</f>
        <v>18013.5</v>
      </c>
      <c r="E26" s="33">
        <f>E8+(E18*C26)+(E14*C26)+480</f>
        <v>25853.82</v>
      </c>
      <c r="F26" s="34">
        <f t="shared" si="5"/>
        <v>7840.32</v>
      </c>
      <c r="G26" s="4"/>
      <c r="H26" s="4"/>
      <c r="I26" s="4"/>
      <c r="J26" s="4"/>
      <c r="K26" s="4"/>
      <c r="L26" s="4"/>
      <c r="M26" s="4"/>
    </row>
    <row r="27">
      <c r="A27" s="35"/>
      <c r="B27" s="35"/>
      <c r="C27" s="32">
        <v>7.0</v>
      </c>
      <c r="D27" s="33">
        <f>D8+(C27*D18)+(D14*C27)</f>
        <v>18263.5</v>
      </c>
      <c r="E27" s="33">
        <f>E8+(E18*C27)+(E14*C27)+480</f>
        <v>26478.82</v>
      </c>
      <c r="F27" s="34">
        <f t="shared" si="5"/>
        <v>8215.32</v>
      </c>
      <c r="G27" s="4"/>
      <c r="H27" s="4"/>
      <c r="I27" s="4"/>
      <c r="J27" s="4"/>
      <c r="K27" s="4"/>
      <c r="L27" s="4"/>
      <c r="M27" s="4"/>
    </row>
    <row r="28">
      <c r="A28" s="35"/>
      <c r="B28" s="35"/>
      <c r="C28" s="32">
        <v>8.0</v>
      </c>
      <c r="D28" s="33">
        <f>D8+(C28*D18)+(D14*C28)</f>
        <v>18513.5</v>
      </c>
      <c r="E28" s="33">
        <f>E8+(E18*C28)+(E14*C28)+480</f>
        <v>27103.82</v>
      </c>
      <c r="F28" s="34">
        <f t="shared" si="5"/>
        <v>8590.32</v>
      </c>
      <c r="G28" s="4"/>
      <c r="H28" s="4"/>
      <c r="I28" s="4"/>
      <c r="J28" s="4"/>
      <c r="K28" s="4"/>
      <c r="L28" s="4"/>
      <c r="M28" s="4"/>
    </row>
    <row r="29">
      <c r="A29" s="35"/>
      <c r="B29" s="35"/>
      <c r="C29" s="32">
        <v>9.0</v>
      </c>
      <c r="D29" s="33" t="str">
        <f>D8+(C29*D18)+(D14*C29)+#REF!</f>
        <v>#REF!</v>
      </c>
      <c r="E29" s="33">
        <f>E8+(E18*C29)+(E14*C29)+480</f>
        <v>27728.82</v>
      </c>
      <c r="F29" s="4" t="str">
        <f t="shared" si="5"/>
        <v>#REF!</v>
      </c>
      <c r="G29" s="4"/>
      <c r="H29" s="4"/>
      <c r="I29" s="4"/>
      <c r="J29" s="4"/>
      <c r="K29" s="4"/>
      <c r="L29" s="4"/>
      <c r="M29" s="4"/>
    </row>
    <row r="30">
      <c r="A30" s="35"/>
      <c r="B30" s="35"/>
      <c r="C30" s="32">
        <v>10.0</v>
      </c>
      <c r="D30" s="33" t="str">
        <f>D8+(C30*D18)+(D14*C30)+#REF!</f>
        <v>#REF!</v>
      </c>
      <c r="E30" s="33">
        <f>E8+(E18*C30)+(E14*C30)+480</f>
        <v>28353.82</v>
      </c>
      <c r="F30" s="4" t="str">
        <f t="shared" si="5"/>
        <v>#REF!</v>
      </c>
      <c r="G30" s="4"/>
      <c r="H30" s="4"/>
      <c r="I30" s="4"/>
      <c r="J30" s="4"/>
      <c r="K30" s="4"/>
      <c r="L30" s="4"/>
      <c r="M30" s="4"/>
    </row>
    <row r="31">
      <c r="A31" s="35"/>
      <c r="B31" s="35"/>
      <c r="C31" s="35"/>
      <c r="D31" s="37"/>
      <c r="E31" s="37"/>
      <c r="F31" s="4"/>
      <c r="G31" s="4"/>
      <c r="H31" s="4"/>
      <c r="I31" s="4"/>
      <c r="J31" s="4"/>
      <c r="K31" s="4"/>
      <c r="L31" s="4"/>
      <c r="M31" s="4"/>
    </row>
    <row r="32">
      <c r="A32" s="35"/>
      <c r="B32" s="35"/>
      <c r="C32" s="35"/>
      <c r="D32" s="37"/>
      <c r="E32" s="37" t="str">
        <f>D30-E30</f>
        <v>#REF!</v>
      </c>
      <c r="F32" s="4"/>
      <c r="G32" s="4"/>
      <c r="H32" s="4"/>
      <c r="I32" s="4"/>
      <c r="J32" s="4"/>
      <c r="K32" s="4"/>
      <c r="L32" s="4"/>
      <c r="M32" s="4"/>
    </row>
    <row r="33">
      <c r="A33" s="35"/>
      <c r="B33" s="35"/>
      <c r="C33" s="35"/>
      <c r="D33" s="37"/>
      <c r="E33" s="37"/>
      <c r="F33" s="4"/>
      <c r="G33" s="4"/>
      <c r="H33" s="4"/>
      <c r="I33" s="4"/>
      <c r="J33" s="4"/>
      <c r="K33" s="4"/>
      <c r="L33" s="4"/>
      <c r="M33" s="4"/>
    </row>
    <row r="34">
      <c r="A34" s="35"/>
      <c r="B34" s="35"/>
      <c r="F34" s="4"/>
      <c r="G34" s="4"/>
      <c r="H34" s="4"/>
      <c r="I34" s="4"/>
      <c r="J34" s="4"/>
      <c r="K34" s="4"/>
      <c r="L34" s="4"/>
      <c r="M34" s="4"/>
    </row>
  </sheetData>
  <mergeCells count="5">
    <mergeCell ref="K13:M13"/>
    <mergeCell ref="K10:M10"/>
    <mergeCell ref="C1:E1"/>
    <mergeCell ref="H4:H8"/>
    <mergeCell ref="C2:E2"/>
  </mergeCells>
  <hyperlinks>
    <hyperlink r:id="rId1" ref="K4"/>
    <hyperlink r:id="rId2" ref="K7"/>
    <hyperlink r:id="rId3" ref="K8"/>
    <hyperlink r:id="rId4" ref="K10"/>
  </hyperlinks>
  <drawing r:id="rId5"/>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55.14"/>
    <col customWidth="1" min="4" max="4" width="38.86"/>
    <col customWidth="1" min="5" max="5" width="42.86"/>
    <col customWidth="1" min="6" max="6" width="41.43"/>
    <col customWidth="1" min="7" max="7" width="25.14"/>
    <col customWidth="1" min="8" max="8" width="45.43"/>
    <col customWidth="1" min="9" max="9" width="3.0"/>
    <col customWidth="1" min="10" max="10" width="27.0"/>
  </cols>
  <sheetData>
    <row r="1">
      <c r="A1" s="46"/>
      <c r="B1" s="1"/>
      <c r="C1" s="2" t="s">
        <v>0</v>
      </c>
      <c r="F1" s="3"/>
      <c r="G1" s="4"/>
      <c r="H1" s="4"/>
      <c r="I1" s="4"/>
      <c r="J1" s="4"/>
      <c r="K1" s="4"/>
      <c r="L1" s="4"/>
      <c r="M1" s="4"/>
    </row>
    <row r="2">
      <c r="A2" s="46"/>
      <c r="B2" s="1"/>
      <c r="C2" s="2"/>
      <c r="F2" s="3"/>
      <c r="G2" s="4"/>
      <c r="H2" s="4"/>
      <c r="I2" s="4"/>
      <c r="J2" s="4"/>
      <c r="K2" s="4"/>
      <c r="L2" s="4"/>
      <c r="M2" s="4"/>
    </row>
    <row r="3">
      <c r="A3" s="46"/>
      <c r="B3" s="1"/>
      <c r="C3" s="28" t="s">
        <v>1</v>
      </c>
      <c r="D3" s="97" t="s">
        <v>2</v>
      </c>
      <c r="E3" s="99" t="s">
        <v>119</v>
      </c>
      <c r="F3" s="3"/>
      <c r="G3" s="4"/>
      <c r="H3" s="4"/>
      <c r="I3" s="4"/>
      <c r="J3" s="4" t="s">
        <v>5</v>
      </c>
      <c r="K3" s="4"/>
      <c r="L3" s="4"/>
      <c r="M3" s="4"/>
    </row>
    <row r="4">
      <c r="A4" s="8"/>
      <c r="B4" s="8"/>
      <c r="C4" s="9" t="s">
        <v>7</v>
      </c>
      <c r="D4" s="94">
        <v>39500.0</v>
      </c>
      <c r="E4" s="94">
        <v>31720.0</v>
      </c>
      <c r="F4" s="3"/>
      <c r="G4" s="11">
        <v>20000.0</v>
      </c>
      <c r="H4" s="9" t="s">
        <v>8</v>
      </c>
      <c r="I4" s="4"/>
      <c r="J4" s="4" t="s">
        <v>9</v>
      </c>
      <c r="K4" s="12" t="s">
        <v>10</v>
      </c>
      <c r="L4" s="4"/>
      <c r="M4" s="4"/>
    </row>
    <row r="5">
      <c r="A5" s="13"/>
      <c r="B5" s="13"/>
      <c r="C5" s="11" t="s">
        <v>11</v>
      </c>
      <c r="D5" s="14">
        <f>D4*0.487</f>
        <v>19236.5</v>
      </c>
      <c r="E5" s="14">
        <f>E4*0.382</f>
        <v>12117.04</v>
      </c>
      <c r="F5" s="15"/>
      <c r="G5" s="11"/>
      <c r="I5" s="4"/>
      <c r="J5" s="4"/>
      <c r="K5" s="12"/>
      <c r="L5" s="4"/>
      <c r="M5" s="4"/>
    </row>
    <row r="6">
      <c r="A6" s="13"/>
      <c r="B6" s="13"/>
      <c r="C6" s="11" t="s">
        <v>12</v>
      </c>
      <c r="D6" s="14">
        <f t="shared" ref="D6:E6" si="1">D4-D5</f>
        <v>20263.5</v>
      </c>
      <c r="E6" s="14">
        <f t="shared" si="1"/>
        <v>19602.96</v>
      </c>
      <c r="F6" s="15"/>
      <c r="G6" s="11"/>
      <c r="I6" s="4"/>
      <c r="J6" s="4"/>
      <c r="K6" s="12"/>
      <c r="L6" s="4"/>
      <c r="M6" s="4"/>
    </row>
    <row r="7">
      <c r="A7" s="13"/>
      <c r="B7" s="13"/>
      <c r="C7" s="16" t="s">
        <v>13</v>
      </c>
      <c r="D7" s="14">
        <v>-3750.0</v>
      </c>
      <c r="E7" s="95">
        <v>0.0</v>
      </c>
      <c r="F7" s="15"/>
      <c r="G7" s="11">
        <v>1.3</v>
      </c>
      <c r="I7" s="4"/>
      <c r="J7" s="4" t="s">
        <v>14</v>
      </c>
      <c r="K7" s="12" t="s">
        <v>15</v>
      </c>
      <c r="L7" s="4"/>
      <c r="M7" s="4"/>
    </row>
    <row r="8">
      <c r="A8" s="13"/>
      <c r="B8" s="13"/>
      <c r="C8" s="3" t="s">
        <v>128</v>
      </c>
      <c r="D8" s="18">
        <f t="shared" ref="D8:E8" si="2">SUM(D6:D7)</f>
        <v>16513.5</v>
      </c>
      <c r="E8" s="18">
        <f t="shared" si="2"/>
        <v>19602.96</v>
      </c>
      <c r="F8" s="19"/>
      <c r="G8" s="11">
        <v>0.0</v>
      </c>
      <c r="I8" s="4"/>
      <c r="J8" s="4" t="s">
        <v>17</v>
      </c>
      <c r="K8" s="12" t="s">
        <v>18</v>
      </c>
      <c r="L8" s="4"/>
      <c r="M8" s="4"/>
    </row>
    <row r="9">
      <c r="A9" s="8"/>
      <c r="B9" s="8"/>
      <c r="C9" s="11" t="s">
        <v>19</v>
      </c>
      <c r="D9" s="14">
        <v>5039.41</v>
      </c>
      <c r="E9" s="14">
        <v>3902.98</v>
      </c>
      <c r="F9" s="3"/>
      <c r="G9" s="4"/>
      <c r="H9" s="4"/>
      <c r="I9" s="4"/>
      <c r="J9" s="4"/>
      <c r="K9" s="12"/>
      <c r="L9" s="12"/>
      <c r="M9" s="12"/>
    </row>
    <row r="10">
      <c r="A10" s="8"/>
      <c r="B10" s="8"/>
      <c r="C10" s="11" t="s">
        <v>20</v>
      </c>
      <c r="D10" s="14" t="s">
        <v>21</v>
      </c>
      <c r="E10" s="14">
        <v>3.0</v>
      </c>
      <c r="F10" s="3"/>
      <c r="G10" s="4"/>
      <c r="H10" s="4"/>
      <c r="I10" s="4"/>
      <c r="J10" s="4" t="s">
        <v>22</v>
      </c>
      <c r="K10" s="12" t="s">
        <v>23</v>
      </c>
    </row>
    <row r="11">
      <c r="A11" s="8"/>
      <c r="B11" s="8"/>
      <c r="C11" s="11" t="s">
        <v>24</v>
      </c>
      <c r="D11" s="14">
        <v>0.1</v>
      </c>
      <c r="E11" s="14" t="s">
        <v>21</v>
      </c>
      <c r="F11" s="20"/>
      <c r="G11" s="4"/>
      <c r="H11" s="4"/>
      <c r="I11" s="4"/>
    </row>
    <row r="12">
      <c r="A12" s="8"/>
      <c r="B12" s="8"/>
      <c r="C12" s="11" t="s">
        <v>25</v>
      </c>
      <c r="D12" s="21">
        <v>10000.0</v>
      </c>
      <c r="E12" s="21">
        <v>10000.0</v>
      </c>
      <c r="F12" s="3"/>
      <c r="G12" s="4"/>
      <c r="H12" s="4"/>
      <c r="I12" s="4"/>
    </row>
    <row r="13">
      <c r="A13" s="8"/>
      <c r="B13" s="8"/>
      <c r="C13" s="11" t="s">
        <v>26</v>
      </c>
      <c r="D13" s="94">
        <v>0.0</v>
      </c>
      <c r="E13" s="94">
        <v>0.0</v>
      </c>
      <c r="F13" s="3"/>
      <c r="G13" s="4"/>
      <c r="H13" s="4"/>
      <c r="I13" s="4"/>
      <c r="J13" s="4"/>
      <c r="K13" s="12"/>
    </row>
    <row r="14">
      <c r="A14" s="8"/>
      <c r="B14" s="8"/>
      <c r="C14" s="4" t="s">
        <v>27</v>
      </c>
      <c r="D14" s="18">
        <f t="shared" ref="D14:E14" si="3">D13*D12</f>
        <v>0</v>
      </c>
      <c r="E14" s="18">
        <f t="shared" si="3"/>
        <v>0</v>
      </c>
      <c r="F14" s="19"/>
      <c r="G14" s="4"/>
      <c r="H14" s="4"/>
      <c r="I14" s="4"/>
      <c r="J14" s="4"/>
      <c r="K14" s="4"/>
      <c r="L14" s="4"/>
      <c r="M14" s="4"/>
    </row>
    <row r="15">
      <c r="A15" s="8"/>
      <c r="B15" s="8"/>
      <c r="C15" s="11" t="s">
        <v>28</v>
      </c>
      <c r="D15" s="23">
        <v>4.0</v>
      </c>
      <c r="E15" s="23">
        <v>48.0</v>
      </c>
      <c r="F15" s="3"/>
      <c r="G15" s="4"/>
      <c r="H15" s="4"/>
      <c r="I15" s="4"/>
      <c r="J15" s="4"/>
      <c r="K15" s="4"/>
      <c r="L15" s="4"/>
      <c r="M15" s="4"/>
    </row>
    <row r="16">
      <c r="A16" s="8"/>
      <c r="B16" s="8"/>
      <c r="C16" s="3" t="s">
        <v>29</v>
      </c>
      <c r="D16" s="24" t="s">
        <v>21</v>
      </c>
      <c r="E16" s="25">
        <f>E12/E15</f>
        <v>208.3333333</v>
      </c>
      <c r="F16" s="4"/>
      <c r="G16" s="4"/>
      <c r="H16" s="4"/>
      <c r="I16" s="4"/>
      <c r="J16" s="4"/>
      <c r="K16" s="4"/>
      <c r="L16" s="4"/>
      <c r="M16" s="4"/>
    </row>
    <row r="17">
      <c r="A17" s="8"/>
      <c r="B17" s="8"/>
      <c r="C17" s="3" t="s">
        <v>30</v>
      </c>
      <c r="D17" s="25">
        <f>D12/D15</f>
        <v>2500</v>
      </c>
      <c r="E17" s="24" t="s">
        <v>21</v>
      </c>
      <c r="F17" s="4"/>
      <c r="G17" s="4"/>
      <c r="H17" s="4"/>
      <c r="I17" s="4"/>
      <c r="J17" s="4"/>
      <c r="K17" s="4"/>
      <c r="L17" s="4"/>
      <c r="M17" s="4"/>
    </row>
    <row r="18">
      <c r="A18" s="8"/>
      <c r="B18" s="8"/>
      <c r="C18" s="3" t="s">
        <v>32</v>
      </c>
      <c r="D18" s="27">
        <f>D11*D17</f>
        <v>250</v>
      </c>
      <c r="E18" s="18">
        <f>E16*E10</f>
        <v>625</v>
      </c>
      <c r="F18" s="4"/>
      <c r="G18" s="4"/>
      <c r="H18" s="3"/>
      <c r="I18" s="4"/>
      <c r="J18" s="4"/>
      <c r="K18" s="4"/>
      <c r="L18" s="4"/>
      <c r="M18" s="4"/>
    </row>
    <row r="19">
      <c r="A19" s="8"/>
      <c r="B19" s="8"/>
      <c r="C19" s="28" t="s">
        <v>132</v>
      </c>
      <c r="D19" s="29">
        <f t="shared" ref="D19:E19" si="4">D26</f>
        <v>22802.91</v>
      </c>
      <c r="E19" s="29">
        <f t="shared" si="4"/>
        <v>26630.94</v>
      </c>
      <c r="F19" s="30"/>
      <c r="G19" s="4"/>
      <c r="H19" s="3"/>
      <c r="I19" s="4"/>
      <c r="J19" s="4"/>
      <c r="K19" s="4"/>
      <c r="L19" s="4"/>
      <c r="M19" s="4"/>
    </row>
    <row r="20">
      <c r="A20" s="4"/>
      <c r="B20" s="4"/>
      <c r="C20" s="31"/>
      <c r="D20" s="6"/>
      <c r="E20" s="7"/>
      <c r="F20" s="6"/>
      <c r="G20" s="4"/>
      <c r="H20" s="4"/>
      <c r="I20" s="4"/>
      <c r="J20" s="4"/>
      <c r="K20" s="4"/>
      <c r="L20" s="4"/>
      <c r="M20" s="4"/>
    </row>
    <row r="21">
      <c r="A21" s="4"/>
      <c r="B21" s="4"/>
      <c r="C21" s="31" t="s">
        <v>34</v>
      </c>
      <c r="D21" s="6" t="s">
        <v>2</v>
      </c>
      <c r="E21" s="7" t="s">
        <v>119</v>
      </c>
      <c r="F21" s="6" t="s">
        <v>35</v>
      </c>
      <c r="G21" s="4"/>
      <c r="H21" s="4"/>
      <c r="I21" s="4"/>
      <c r="J21" s="4"/>
      <c r="K21" s="4"/>
      <c r="L21" s="4"/>
      <c r="M21" s="4"/>
    </row>
    <row r="22">
      <c r="A22" s="31"/>
      <c r="B22" s="31"/>
      <c r="C22" s="32">
        <v>1.0</v>
      </c>
      <c r="D22" s="33"/>
      <c r="E22" s="33"/>
      <c r="F22" s="34">
        <f t="shared" ref="F22:F31" si="5">$E22-$D22</f>
        <v>0</v>
      </c>
      <c r="G22" s="4"/>
      <c r="H22" s="4"/>
      <c r="I22" s="4"/>
      <c r="J22" s="4"/>
      <c r="K22" s="4"/>
      <c r="L22" s="4"/>
      <c r="M22" s="4"/>
    </row>
    <row r="23">
      <c r="A23" s="35"/>
      <c r="B23" s="35"/>
      <c r="C23" s="32">
        <v>2.0</v>
      </c>
      <c r="D23" s="33"/>
      <c r="E23" s="33"/>
      <c r="F23" s="34">
        <f t="shared" si="5"/>
        <v>0</v>
      </c>
      <c r="G23" s="4"/>
      <c r="H23" s="3"/>
      <c r="I23" s="4"/>
      <c r="J23" s="4"/>
      <c r="K23" s="4"/>
      <c r="L23" s="4"/>
      <c r="M23" s="4"/>
    </row>
    <row r="24">
      <c r="A24" s="35"/>
      <c r="B24" s="35"/>
      <c r="C24" s="32">
        <v>3.0</v>
      </c>
      <c r="D24" s="33"/>
      <c r="E24" s="33"/>
      <c r="F24" s="34">
        <f t="shared" si="5"/>
        <v>0</v>
      </c>
      <c r="G24" s="4"/>
      <c r="H24" s="4"/>
      <c r="I24" s="4"/>
      <c r="J24" s="4"/>
      <c r="K24" s="4"/>
      <c r="L24" s="4"/>
      <c r="M24" s="4"/>
    </row>
    <row r="25">
      <c r="A25" s="35"/>
      <c r="B25" s="35"/>
      <c r="C25" s="32">
        <v>4.0</v>
      </c>
      <c r="D25" s="33"/>
      <c r="E25" s="33"/>
      <c r="F25" s="34">
        <f t="shared" si="5"/>
        <v>0</v>
      </c>
      <c r="G25" s="4"/>
      <c r="H25" s="4"/>
      <c r="I25" s="4"/>
      <c r="J25" s="4"/>
      <c r="K25" s="4"/>
      <c r="L25" s="4"/>
      <c r="M25" s="4"/>
    </row>
    <row r="26">
      <c r="A26" s="35"/>
      <c r="B26" s="35"/>
      <c r="C26" s="32">
        <v>5.0</v>
      </c>
      <c r="D26" s="33">
        <f>D8+(C26*D18)+(D14*C26)+D9</f>
        <v>22802.91</v>
      </c>
      <c r="E26" s="33">
        <f>E8+(E18*C26)+(E14*C26)+E9</f>
        <v>26630.94</v>
      </c>
      <c r="F26" s="34">
        <f t="shared" si="5"/>
        <v>3828.03</v>
      </c>
      <c r="G26" s="4"/>
      <c r="H26" s="3"/>
      <c r="I26" s="4"/>
      <c r="J26" s="4"/>
      <c r="K26" s="4"/>
      <c r="L26" s="4"/>
      <c r="M26" s="4"/>
    </row>
    <row r="27">
      <c r="A27" s="35"/>
      <c r="B27" s="35"/>
      <c r="C27" s="32"/>
      <c r="D27" s="33"/>
      <c r="E27" s="33"/>
      <c r="F27" s="34">
        <f t="shared" si="5"/>
        <v>0</v>
      </c>
      <c r="G27" s="4"/>
      <c r="H27" s="4"/>
      <c r="I27" s="4"/>
      <c r="J27" s="4"/>
      <c r="K27" s="4"/>
      <c r="L27" s="4"/>
      <c r="M27" s="4"/>
    </row>
    <row r="28">
      <c r="A28" s="35"/>
      <c r="B28" s="35"/>
      <c r="C28" s="32"/>
      <c r="D28" s="33"/>
      <c r="E28" s="33"/>
      <c r="F28" s="34">
        <f t="shared" si="5"/>
        <v>0</v>
      </c>
      <c r="G28" s="4"/>
      <c r="H28" s="4"/>
      <c r="I28" s="4"/>
      <c r="J28" s="4"/>
      <c r="K28" s="4"/>
      <c r="L28" s="4"/>
      <c r="M28" s="4"/>
    </row>
    <row r="29">
      <c r="A29" s="35"/>
      <c r="B29" s="35"/>
      <c r="C29" s="32"/>
      <c r="D29" s="33"/>
      <c r="E29" s="33"/>
      <c r="F29" s="34">
        <f t="shared" si="5"/>
        <v>0</v>
      </c>
      <c r="G29" s="4"/>
      <c r="H29" s="4"/>
      <c r="I29" s="4"/>
      <c r="J29" s="4"/>
      <c r="K29" s="4"/>
      <c r="L29" s="4"/>
      <c r="M29" s="4"/>
    </row>
    <row r="30">
      <c r="A30" s="35"/>
      <c r="B30" s="35"/>
      <c r="C30" s="32"/>
      <c r="D30" s="33"/>
      <c r="E30" s="33"/>
      <c r="F30" s="34">
        <f t="shared" si="5"/>
        <v>0</v>
      </c>
      <c r="G30" s="4"/>
      <c r="H30" s="4"/>
      <c r="I30" s="4"/>
      <c r="J30" s="4"/>
      <c r="K30" s="4"/>
      <c r="L30" s="4"/>
      <c r="M30" s="4"/>
    </row>
    <row r="31">
      <c r="A31" s="35"/>
      <c r="B31" s="35"/>
      <c r="C31" s="32"/>
      <c r="D31" s="33"/>
      <c r="E31" s="33"/>
      <c r="F31" s="34">
        <f t="shared" si="5"/>
        <v>0</v>
      </c>
      <c r="G31" s="4"/>
      <c r="H31" s="4"/>
      <c r="I31" s="4"/>
      <c r="J31" s="4"/>
      <c r="K31" s="4"/>
      <c r="L31" s="4"/>
      <c r="M31" s="4"/>
    </row>
    <row r="32">
      <c r="A32" s="35"/>
      <c r="B32" s="35"/>
      <c r="C32" s="35"/>
      <c r="D32" s="37"/>
      <c r="E32" s="37"/>
      <c r="F32" s="4"/>
      <c r="G32" s="4"/>
      <c r="H32" s="4"/>
      <c r="I32" s="4"/>
      <c r="J32" s="4"/>
      <c r="K32" s="4"/>
      <c r="L32" s="4"/>
      <c r="M32" s="4"/>
    </row>
    <row r="33">
      <c r="A33" s="35"/>
      <c r="B33" s="35"/>
      <c r="C33" s="35"/>
      <c r="D33" s="37"/>
      <c r="E33" s="37">
        <f>D31-E31</f>
        <v>0</v>
      </c>
      <c r="F33" s="4"/>
      <c r="G33" s="4"/>
      <c r="H33" s="4"/>
      <c r="I33" s="4"/>
      <c r="J33" s="4"/>
      <c r="K33" s="4"/>
      <c r="L33" s="4"/>
      <c r="M33" s="4"/>
    </row>
    <row r="34">
      <c r="A34" s="35"/>
      <c r="B34" s="35"/>
      <c r="C34" s="35"/>
      <c r="D34" s="37"/>
      <c r="E34" s="37"/>
      <c r="F34" s="4"/>
      <c r="G34" s="4"/>
      <c r="H34" s="4"/>
      <c r="I34" s="4"/>
      <c r="J34" s="4"/>
      <c r="K34" s="4"/>
      <c r="L34" s="4"/>
      <c r="M34" s="4"/>
    </row>
    <row r="35">
      <c r="A35" s="35"/>
      <c r="B35" s="35"/>
      <c r="F35" s="4"/>
      <c r="G35" s="4"/>
      <c r="H35" s="4"/>
      <c r="I35" s="4"/>
      <c r="J35" s="4"/>
      <c r="K35" s="4"/>
      <c r="L35" s="4"/>
      <c r="M35" s="4"/>
    </row>
  </sheetData>
  <mergeCells count="5">
    <mergeCell ref="K13:M13"/>
    <mergeCell ref="K10:M10"/>
    <mergeCell ref="C1:E1"/>
    <mergeCell ref="H4:H8"/>
    <mergeCell ref="C2:E2"/>
  </mergeCells>
  <hyperlinks>
    <hyperlink r:id="rId1" ref="K4"/>
    <hyperlink r:id="rId2" ref="K7"/>
    <hyperlink r:id="rId3" ref="K8"/>
    <hyperlink r:id="rId4" ref="K10"/>
  </hyperlinks>
  <drawing r:id="rId5"/>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55.14"/>
    <col customWidth="1" min="4" max="4" width="38.86"/>
    <col customWidth="1" min="5" max="5" width="47.14"/>
    <col customWidth="1" min="6" max="6" width="41.43"/>
    <col customWidth="1" min="7" max="7" width="25.14"/>
    <col customWidth="1" min="8" max="8" width="45.43"/>
    <col customWidth="1" min="9" max="9" width="3.0"/>
    <col customWidth="1" min="10" max="10" width="27.0"/>
  </cols>
  <sheetData>
    <row r="1">
      <c r="A1" s="46"/>
      <c r="B1" s="1"/>
      <c r="C1" s="2" t="s">
        <v>0</v>
      </c>
      <c r="F1" s="3"/>
      <c r="G1" s="4"/>
      <c r="H1" s="4"/>
      <c r="I1" s="4"/>
      <c r="J1" s="4"/>
      <c r="K1" s="4"/>
      <c r="L1" s="4"/>
      <c r="M1" s="4"/>
    </row>
    <row r="2">
      <c r="A2" s="46"/>
      <c r="B2" s="1"/>
      <c r="C2" s="2"/>
      <c r="F2" s="3"/>
      <c r="G2" s="4"/>
      <c r="H2" s="4"/>
      <c r="I2" s="4"/>
      <c r="J2" s="4"/>
      <c r="K2" s="4"/>
      <c r="L2" s="4"/>
      <c r="M2" s="4"/>
    </row>
    <row r="3">
      <c r="A3" s="46"/>
      <c r="B3" s="1"/>
      <c r="C3" s="28" t="s">
        <v>1</v>
      </c>
      <c r="D3" s="97" t="s">
        <v>2</v>
      </c>
      <c r="E3" s="99" t="s">
        <v>120</v>
      </c>
      <c r="F3" s="3"/>
      <c r="G3" s="4"/>
      <c r="H3" s="4"/>
      <c r="I3" s="4"/>
      <c r="J3" s="4" t="s">
        <v>5</v>
      </c>
      <c r="K3" s="4"/>
      <c r="L3" s="4"/>
      <c r="M3" s="4"/>
    </row>
    <row r="4">
      <c r="A4" s="8"/>
      <c r="B4" s="8"/>
      <c r="C4" s="9" t="s">
        <v>7</v>
      </c>
      <c r="D4" s="94">
        <v>39500.0</v>
      </c>
      <c r="E4" s="94">
        <v>29220.0</v>
      </c>
      <c r="F4" s="3"/>
      <c r="G4" s="11">
        <v>20000.0</v>
      </c>
      <c r="H4" s="9" t="s">
        <v>8</v>
      </c>
      <c r="I4" s="4"/>
      <c r="J4" s="4" t="s">
        <v>9</v>
      </c>
      <c r="K4" s="12" t="s">
        <v>10</v>
      </c>
      <c r="L4" s="4"/>
      <c r="M4" s="4"/>
    </row>
    <row r="5">
      <c r="A5" s="13"/>
      <c r="B5" s="13"/>
      <c r="C5" s="11" t="s">
        <v>11</v>
      </c>
      <c r="D5" s="14">
        <f>D4*0.487</f>
        <v>19236.5</v>
      </c>
      <c r="E5" s="14">
        <f>E4*0.362</f>
        <v>10577.64</v>
      </c>
      <c r="F5" s="15"/>
      <c r="G5" s="11"/>
      <c r="I5" s="4"/>
      <c r="J5" s="4"/>
      <c r="K5" s="12"/>
      <c r="L5" s="4"/>
      <c r="M5" s="4"/>
    </row>
    <row r="6">
      <c r="A6" s="13"/>
      <c r="B6" s="13"/>
      <c r="C6" s="11" t="s">
        <v>12</v>
      </c>
      <c r="D6" s="14">
        <f t="shared" ref="D6:E6" si="1">D4-D5</f>
        <v>20263.5</v>
      </c>
      <c r="E6" s="14">
        <f t="shared" si="1"/>
        <v>18642.36</v>
      </c>
      <c r="F6" s="15"/>
      <c r="G6" s="11"/>
      <c r="I6" s="4"/>
      <c r="J6" s="4"/>
      <c r="K6" s="12"/>
      <c r="L6" s="4"/>
      <c r="M6" s="4"/>
    </row>
    <row r="7">
      <c r="A7" s="13"/>
      <c r="B7" s="13"/>
      <c r="C7" s="16" t="s">
        <v>13</v>
      </c>
      <c r="D7" s="14">
        <v>-3750.0</v>
      </c>
      <c r="E7" s="95">
        <v>0.0</v>
      </c>
      <c r="F7" s="15"/>
      <c r="G7" s="11">
        <v>1.3</v>
      </c>
      <c r="I7" s="4"/>
      <c r="J7" s="4" t="s">
        <v>14</v>
      </c>
      <c r="K7" s="12" t="s">
        <v>15</v>
      </c>
      <c r="L7" s="4"/>
      <c r="M7" s="4"/>
    </row>
    <row r="8">
      <c r="A8" s="13"/>
      <c r="B8" s="13"/>
      <c r="C8" s="3" t="s">
        <v>128</v>
      </c>
      <c r="D8" s="18">
        <f t="shared" ref="D8:E8" si="2">SUM(D6:D7)</f>
        <v>16513.5</v>
      </c>
      <c r="E8" s="18">
        <f t="shared" si="2"/>
        <v>18642.36</v>
      </c>
      <c r="F8" s="19"/>
      <c r="G8" s="11">
        <v>0.0</v>
      </c>
      <c r="I8" s="4"/>
      <c r="J8" s="4" t="s">
        <v>17</v>
      </c>
      <c r="K8" s="12" t="s">
        <v>18</v>
      </c>
      <c r="L8" s="4"/>
      <c r="M8" s="4"/>
    </row>
    <row r="9">
      <c r="A9" s="8"/>
      <c r="B9" s="8"/>
      <c r="C9" s="11" t="s">
        <v>19</v>
      </c>
      <c r="D9" s="14">
        <v>5039.41</v>
      </c>
      <c r="E9" s="14">
        <v>3537.81</v>
      </c>
      <c r="F9" s="3"/>
      <c r="G9" s="4"/>
      <c r="H9" s="4"/>
      <c r="I9" s="4"/>
      <c r="J9" s="4"/>
      <c r="K9" s="12"/>
      <c r="L9" s="12"/>
      <c r="M9" s="12"/>
    </row>
    <row r="10">
      <c r="A10" s="8"/>
      <c r="B10" s="8"/>
      <c r="C10" s="11" t="s">
        <v>20</v>
      </c>
      <c r="D10" s="14" t="s">
        <v>21</v>
      </c>
      <c r="E10" s="14">
        <v>3.0</v>
      </c>
      <c r="F10" s="3"/>
      <c r="G10" s="4"/>
      <c r="H10" s="4"/>
      <c r="I10" s="4"/>
      <c r="J10" s="4" t="s">
        <v>22</v>
      </c>
      <c r="K10" s="12" t="s">
        <v>23</v>
      </c>
    </row>
    <row r="11">
      <c r="A11" s="8"/>
      <c r="B11" s="8"/>
      <c r="C11" s="11" t="s">
        <v>24</v>
      </c>
      <c r="D11" s="14">
        <v>0.1</v>
      </c>
      <c r="E11" s="14" t="s">
        <v>21</v>
      </c>
      <c r="F11" s="20"/>
      <c r="G11" s="4"/>
      <c r="H11" s="4"/>
      <c r="I11" s="4"/>
    </row>
    <row r="12">
      <c r="A12" s="8"/>
      <c r="B12" s="8"/>
      <c r="C12" s="11" t="s">
        <v>25</v>
      </c>
      <c r="D12" s="21">
        <v>10000.0</v>
      </c>
      <c r="E12" s="21">
        <v>10000.0</v>
      </c>
      <c r="F12" s="3"/>
      <c r="G12" s="4"/>
      <c r="H12" s="4"/>
      <c r="I12" s="4"/>
    </row>
    <row r="13">
      <c r="A13" s="8"/>
      <c r="B13" s="8"/>
      <c r="C13" s="11" t="s">
        <v>26</v>
      </c>
      <c r="D13" s="94">
        <v>0.0</v>
      </c>
      <c r="E13" s="94">
        <v>0.0</v>
      </c>
      <c r="F13" s="3"/>
      <c r="G13" s="4"/>
      <c r="H13" s="4"/>
      <c r="I13" s="4"/>
      <c r="J13" s="4"/>
      <c r="K13" s="12"/>
    </row>
    <row r="14">
      <c r="A14" s="8"/>
      <c r="B14" s="8"/>
      <c r="C14" s="4" t="s">
        <v>27</v>
      </c>
      <c r="D14" s="18">
        <f t="shared" ref="D14:E14" si="3">D13*D12</f>
        <v>0</v>
      </c>
      <c r="E14" s="18">
        <f t="shared" si="3"/>
        <v>0</v>
      </c>
      <c r="F14" s="19"/>
      <c r="G14" s="4"/>
      <c r="H14" s="4"/>
      <c r="I14" s="4"/>
      <c r="J14" s="4"/>
      <c r="K14" s="4"/>
      <c r="L14" s="4"/>
      <c r="M14" s="4"/>
    </row>
    <row r="15">
      <c r="A15" s="8"/>
      <c r="B15" s="8"/>
      <c r="C15" s="11" t="s">
        <v>28</v>
      </c>
      <c r="D15" s="23">
        <v>4.0</v>
      </c>
      <c r="E15" s="23">
        <v>48.0</v>
      </c>
      <c r="F15" s="3"/>
      <c r="G15" s="4"/>
      <c r="H15" s="4"/>
      <c r="I15" s="4"/>
      <c r="J15" s="4"/>
      <c r="K15" s="4"/>
      <c r="L15" s="4"/>
      <c r="M15" s="4"/>
    </row>
    <row r="16">
      <c r="A16" s="8"/>
      <c r="B16" s="8"/>
      <c r="C16" s="3" t="s">
        <v>29</v>
      </c>
      <c r="D16" s="24" t="s">
        <v>21</v>
      </c>
      <c r="E16" s="25">
        <f>E12/E15</f>
        <v>208.3333333</v>
      </c>
      <c r="F16" s="4"/>
      <c r="G16" s="4"/>
      <c r="H16" s="4"/>
      <c r="I16" s="4"/>
      <c r="J16" s="4"/>
      <c r="K16" s="4"/>
      <c r="L16" s="4"/>
      <c r="M16" s="4"/>
    </row>
    <row r="17">
      <c r="A17" s="8"/>
      <c r="B17" s="8"/>
      <c r="C17" s="3" t="s">
        <v>30</v>
      </c>
      <c r="D17" s="25">
        <f>D12/D15</f>
        <v>2500</v>
      </c>
      <c r="E17" s="24" t="s">
        <v>21</v>
      </c>
      <c r="F17" s="4"/>
      <c r="G17" s="4"/>
      <c r="H17" s="4"/>
      <c r="I17" s="4"/>
      <c r="J17" s="4"/>
      <c r="K17" s="4"/>
      <c r="L17" s="4"/>
      <c r="M17" s="4"/>
    </row>
    <row r="18">
      <c r="A18" s="8"/>
      <c r="B18" s="8"/>
      <c r="C18" s="3" t="s">
        <v>32</v>
      </c>
      <c r="D18" s="27">
        <f>D11*D17</f>
        <v>250</v>
      </c>
      <c r="E18" s="18">
        <f>E16*E10</f>
        <v>625</v>
      </c>
      <c r="F18" s="4"/>
      <c r="G18" s="4"/>
      <c r="H18" s="3"/>
      <c r="I18" s="4"/>
      <c r="J18" s="4"/>
      <c r="K18" s="4"/>
      <c r="L18" s="4"/>
      <c r="M18" s="4"/>
    </row>
    <row r="19">
      <c r="A19" s="8"/>
      <c r="B19" s="8"/>
      <c r="C19" s="28" t="s">
        <v>132</v>
      </c>
      <c r="D19" s="29">
        <f t="shared" ref="D19:E19" si="4">D26</f>
        <v>22802.91</v>
      </c>
      <c r="E19" s="29">
        <f t="shared" si="4"/>
        <v>25305.17</v>
      </c>
      <c r="F19" s="30"/>
      <c r="G19" s="4"/>
      <c r="H19" s="3"/>
      <c r="I19" s="4"/>
      <c r="J19" s="4"/>
      <c r="K19" s="4"/>
      <c r="L19" s="4"/>
      <c r="M19" s="4"/>
    </row>
    <row r="20">
      <c r="A20" s="4"/>
      <c r="B20" s="4"/>
      <c r="C20" s="31"/>
      <c r="D20" s="6"/>
      <c r="E20" s="7"/>
      <c r="F20" s="6"/>
      <c r="G20" s="4"/>
      <c r="H20" s="4"/>
      <c r="I20" s="4"/>
      <c r="J20" s="4"/>
      <c r="K20" s="4"/>
      <c r="L20" s="4"/>
      <c r="M20" s="4"/>
    </row>
    <row r="21">
      <c r="A21" s="4"/>
      <c r="B21" s="4"/>
      <c r="C21" s="31" t="s">
        <v>34</v>
      </c>
      <c r="D21" s="6" t="s">
        <v>2</v>
      </c>
      <c r="E21" s="7" t="s">
        <v>120</v>
      </c>
      <c r="F21" s="6" t="s">
        <v>35</v>
      </c>
      <c r="G21" s="4"/>
      <c r="H21" s="4"/>
      <c r="I21" s="4"/>
      <c r="J21" s="4"/>
      <c r="K21" s="4"/>
      <c r="L21" s="4"/>
      <c r="M21" s="4"/>
    </row>
    <row r="22">
      <c r="A22" s="31"/>
      <c r="B22" s="31"/>
      <c r="C22" s="32">
        <v>1.0</v>
      </c>
      <c r="D22" s="33"/>
      <c r="E22" s="33"/>
      <c r="F22" s="34">
        <f t="shared" ref="F22:F31" si="5">$E22-$D22</f>
        <v>0</v>
      </c>
      <c r="G22" s="4"/>
      <c r="H22" s="4"/>
      <c r="I22" s="4"/>
      <c r="J22" s="4"/>
      <c r="K22" s="4"/>
      <c r="L22" s="4"/>
      <c r="M22" s="4"/>
    </row>
    <row r="23">
      <c r="A23" s="35"/>
      <c r="B23" s="35"/>
      <c r="C23" s="32">
        <v>2.0</v>
      </c>
      <c r="D23" s="33"/>
      <c r="E23" s="33"/>
      <c r="F23" s="34">
        <f t="shared" si="5"/>
        <v>0</v>
      </c>
      <c r="G23" s="4"/>
      <c r="H23" s="3"/>
      <c r="I23" s="4"/>
      <c r="J23" s="4"/>
      <c r="K23" s="4"/>
      <c r="L23" s="4"/>
      <c r="M23" s="4"/>
    </row>
    <row r="24">
      <c r="A24" s="35"/>
      <c r="B24" s="35"/>
      <c r="C24" s="32">
        <v>3.0</v>
      </c>
      <c r="D24" s="33"/>
      <c r="E24" s="33"/>
      <c r="F24" s="34">
        <f t="shared" si="5"/>
        <v>0</v>
      </c>
      <c r="G24" s="4"/>
      <c r="H24" s="4"/>
      <c r="I24" s="4"/>
      <c r="J24" s="4"/>
      <c r="K24" s="4"/>
      <c r="L24" s="4"/>
      <c r="M24" s="4"/>
    </row>
    <row r="25">
      <c r="A25" s="35"/>
      <c r="B25" s="35"/>
      <c r="C25" s="32">
        <v>4.0</v>
      </c>
      <c r="D25" s="33"/>
      <c r="E25" s="33"/>
      <c r="F25" s="34">
        <f t="shared" si="5"/>
        <v>0</v>
      </c>
      <c r="G25" s="4"/>
      <c r="H25" s="4"/>
      <c r="I25" s="4"/>
      <c r="J25" s="4"/>
      <c r="K25" s="4"/>
      <c r="L25" s="4"/>
      <c r="M25" s="4"/>
    </row>
    <row r="26">
      <c r="A26" s="35"/>
      <c r="B26" s="35"/>
      <c r="C26" s="32">
        <v>5.0</v>
      </c>
      <c r="D26" s="33">
        <f>D8+(C26*D18)+(D14*C26)+D9</f>
        <v>22802.91</v>
      </c>
      <c r="E26" s="33">
        <f>E8+(E18*C26)+(E14*C26)+E9</f>
        <v>25305.17</v>
      </c>
      <c r="F26" s="34">
        <f t="shared" si="5"/>
        <v>2502.26</v>
      </c>
      <c r="G26" s="4"/>
      <c r="H26" s="3"/>
      <c r="I26" s="4"/>
      <c r="J26" s="4"/>
      <c r="K26" s="4"/>
      <c r="L26" s="4"/>
      <c r="M26" s="4"/>
    </row>
    <row r="27">
      <c r="A27" s="35"/>
      <c r="B27" s="35"/>
      <c r="C27" s="32"/>
      <c r="D27" s="33"/>
      <c r="E27" s="33"/>
      <c r="F27" s="34">
        <f t="shared" si="5"/>
        <v>0</v>
      </c>
      <c r="G27" s="4"/>
      <c r="H27" s="4"/>
      <c r="I27" s="4"/>
      <c r="J27" s="4"/>
      <c r="K27" s="4"/>
      <c r="L27" s="4"/>
      <c r="M27" s="4"/>
    </row>
    <row r="28">
      <c r="A28" s="35"/>
      <c r="B28" s="35"/>
      <c r="C28" s="32"/>
      <c r="D28" s="33"/>
      <c r="E28" s="33"/>
      <c r="F28" s="34">
        <f t="shared" si="5"/>
        <v>0</v>
      </c>
      <c r="G28" s="4"/>
      <c r="H28" s="4"/>
      <c r="I28" s="4"/>
      <c r="J28" s="4"/>
      <c r="K28" s="4"/>
      <c r="L28" s="4"/>
      <c r="M28" s="4"/>
    </row>
    <row r="29">
      <c r="A29" s="35"/>
      <c r="B29" s="35"/>
      <c r="C29" s="32"/>
      <c r="D29" s="33"/>
      <c r="E29" s="33"/>
      <c r="F29" s="34">
        <f t="shared" si="5"/>
        <v>0</v>
      </c>
      <c r="G29" s="4"/>
      <c r="H29" s="4"/>
      <c r="I29" s="4"/>
      <c r="J29" s="4"/>
      <c r="K29" s="4"/>
      <c r="L29" s="4"/>
      <c r="M29" s="4"/>
    </row>
    <row r="30">
      <c r="A30" s="35"/>
      <c r="B30" s="35"/>
      <c r="C30" s="32"/>
      <c r="D30" s="33"/>
      <c r="E30" s="33"/>
      <c r="F30" s="34">
        <f t="shared" si="5"/>
        <v>0</v>
      </c>
      <c r="G30" s="4"/>
      <c r="H30" s="4"/>
      <c r="I30" s="4"/>
      <c r="J30" s="4"/>
      <c r="K30" s="4"/>
      <c r="L30" s="4"/>
      <c r="M30" s="4"/>
    </row>
    <row r="31">
      <c r="A31" s="35"/>
      <c r="B31" s="35"/>
      <c r="C31" s="32"/>
      <c r="D31" s="33"/>
      <c r="E31" s="33"/>
      <c r="F31" s="34">
        <f t="shared" si="5"/>
        <v>0</v>
      </c>
      <c r="G31" s="4"/>
      <c r="H31" s="4"/>
      <c r="I31" s="4"/>
      <c r="J31" s="4"/>
      <c r="K31" s="4"/>
      <c r="L31" s="4"/>
      <c r="M31" s="4"/>
    </row>
    <row r="32">
      <c r="A32" s="35"/>
      <c r="B32" s="35"/>
      <c r="C32" s="35"/>
      <c r="D32" s="37"/>
      <c r="E32" s="37"/>
      <c r="F32" s="4"/>
      <c r="G32" s="4"/>
      <c r="H32" s="4"/>
      <c r="I32" s="4"/>
      <c r="J32" s="4"/>
      <c r="K32" s="4"/>
      <c r="L32" s="4"/>
      <c r="M32" s="4"/>
    </row>
    <row r="33">
      <c r="A33" s="35"/>
      <c r="B33" s="35"/>
      <c r="C33" s="35"/>
      <c r="D33" s="37"/>
      <c r="E33" s="37"/>
      <c r="F33" s="4"/>
      <c r="G33" s="4"/>
      <c r="H33" s="4"/>
      <c r="I33" s="4"/>
      <c r="J33" s="4"/>
      <c r="K33" s="4"/>
      <c r="L33" s="4"/>
      <c r="M33" s="4"/>
    </row>
    <row r="34">
      <c r="A34" s="35"/>
      <c r="B34" s="35"/>
      <c r="C34" s="35"/>
      <c r="D34" s="37"/>
      <c r="E34" s="37"/>
      <c r="F34" s="4"/>
      <c r="G34" s="4"/>
      <c r="H34" s="4"/>
      <c r="I34" s="4"/>
      <c r="J34" s="4"/>
      <c r="K34" s="4"/>
      <c r="L34" s="4"/>
      <c r="M34" s="4"/>
    </row>
    <row r="35">
      <c r="A35" s="35"/>
      <c r="B35" s="35"/>
      <c r="F35" s="4"/>
      <c r="G35" s="4"/>
      <c r="H35" s="4"/>
      <c r="I35" s="4"/>
      <c r="J35" s="4"/>
      <c r="K35" s="4"/>
      <c r="L35" s="4"/>
      <c r="M35" s="4"/>
    </row>
  </sheetData>
  <mergeCells count="5">
    <mergeCell ref="K13:M13"/>
    <mergeCell ref="K10:M10"/>
    <mergeCell ref="C1:E1"/>
    <mergeCell ref="H4:H8"/>
    <mergeCell ref="C2:E2"/>
  </mergeCells>
  <hyperlinks>
    <hyperlink r:id="rId2" ref="K4"/>
    <hyperlink r:id="rId3" ref="K7"/>
    <hyperlink r:id="rId4" ref="K8"/>
    <hyperlink r:id="rId5" ref="K10"/>
  </hyperlinks>
  <drawing r:id="rId6"/>
  <legacyDrawing r:id="rId7"/>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55.14"/>
    <col customWidth="1" min="4" max="4" width="38.86"/>
    <col customWidth="1" min="5" max="5" width="41.57"/>
    <col customWidth="1" min="6" max="6" width="41.43"/>
    <col customWidth="1" min="7" max="7" width="25.14"/>
    <col customWidth="1" min="8" max="8" width="45.43"/>
    <col customWidth="1" min="9" max="9" width="3.0"/>
    <col customWidth="1" min="10" max="10" width="27.0"/>
  </cols>
  <sheetData>
    <row r="1">
      <c r="A1" s="46"/>
      <c r="B1" s="1"/>
      <c r="C1" s="2" t="s">
        <v>0</v>
      </c>
      <c r="F1" s="3"/>
      <c r="G1" s="4"/>
      <c r="H1" s="4"/>
      <c r="I1" s="4"/>
      <c r="J1" s="4"/>
      <c r="K1" s="4"/>
      <c r="L1" s="4"/>
      <c r="M1" s="4"/>
    </row>
    <row r="2">
      <c r="A2" s="46"/>
      <c r="B2" s="1"/>
      <c r="C2" s="5"/>
      <c r="F2" s="3"/>
      <c r="G2" s="4"/>
      <c r="H2" s="4"/>
      <c r="I2" s="4"/>
      <c r="J2" s="4"/>
      <c r="K2" s="4"/>
      <c r="L2" s="4"/>
      <c r="M2" s="4"/>
    </row>
    <row r="3">
      <c r="A3" s="46"/>
      <c r="B3" s="1"/>
      <c r="C3" s="28" t="s">
        <v>1</v>
      </c>
      <c r="D3" s="97" t="s">
        <v>2</v>
      </c>
      <c r="E3" s="99" t="s">
        <v>121</v>
      </c>
      <c r="F3" s="3"/>
      <c r="G3" s="4"/>
      <c r="H3" s="4"/>
      <c r="I3" s="4"/>
      <c r="J3" s="4" t="s">
        <v>5</v>
      </c>
      <c r="K3" s="4"/>
      <c r="L3" s="4"/>
      <c r="M3" s="4"/>
    </row>
    <row r="4">
      <c r="A4" s="8"/>
      <c r="B4" s="8"/>
      <c r="C4" s="9" t="s">
        <v>7</v>
      </c>
      <c r="D4" s="94">
        <v>39500.0</v>
      </c>
      <c r="E4" s="94">
        <v>26180.0</v>
      </c>
      <c r="F4" s="3"/>
      <c r="G4" s="11">
        <v>20000.0</v>
      </c>
      <c r="H4" s="9" t="s">
        <v>8</v>
      </c>
      <c r="I4" s="4"/>
      <c r="J4" s="4" t="s">
        <v>9</v>
      </c>
      <c r="K4" s="12" t="s">
        <v>10</v>
      </c>
      <c r="L4" s="4"/>
      <c r="M4" s="4"/>
    </row>
    <row r="5">
      <c r="A5" s="13"/>
      <c r="B5" s="13"/>
      <c r="C5" s="11" t="s">
        <v>11</v>
      </c>
      <c r="D5" s="14">
        <f>D4*0.487</f>
        <v>19236.5</v>
      </c>
      <c r="E5" s="14">
        <f>E4*0.382</f>
        <v>10000.76</v>
      </c>
      <c r="F5" s="15"/>
      <c r="G5" s="11"/>
      <c r="I5" s="4"/>
      <c r="J5" s="4"/>
      <c r="K5" s="12"/>
      <c r="L5" s="4"/>
      <c r="M5" s="4"/>
    </row>
    <row r="6">
      <c r="A6" s="13"/>
      <c r="B6" s="13"/>
      <c r="C6" s="11" t="s">
        <v>12</v>
      </c>
      <c r="D6" s="14">
        <f t="shared" ref="D6:E6" si="1">D4-D5</f>
        <v>20263.5</v>
      </c>
      <c r="E6" s="14">
        <f t="shared" si="1"/>
        <v>16179.24</v>
      </c>
      <c r="F6" s="15"/>
      <c r="G6" s="11"/>
      <c r="I6" s="4"/>
      <c r="J6" s="4"/>
      <c r="K6" s="12"/>
      <c r="L6" s="4"/>
      <c r="M6" s="4"/>
    </row>
    <row r="7">
      <c r="A7" s="13"/>
      <c r="B7" s="13"/>
      <c r="C7" s="16" t="s">
        <v>13</v>
      </c>
      <c r="D7" s="14">
        <v>-3750.0</v>
      </c>
      <c r="E7" s="95">
        <v>0.0</v>
      </c>
      <c r="F7" s="15"/>
      <c r="G7" s="11">
        <v>1.3</v>
      </c>
      <c r="I7" s="4"/>
      <c r="J7" s="4" t="s">
        <v>14</v>
      </c>
      <c r="K7" s="12" t="s">
        <v>15</v>
      </c>
      <c r="L7" s="4"/>
      <c r="M7" s="4"/>
    </row>
    <row r="8">
      <c r="A8" s="13"/>
      <c r="B8" s="13"/>
      <c r="C8" s="3" t="s">
        <v>128</v>
      </c>
      <c r="D8" s="18">
        <f t="shared" ref="D8:E8" si="2">SUM(D6:D7)</f>
        <v>16513.5</v>
      </c>
      <c r="E8" s="18">
        <f t="shared" si="2"/>
        <v>16179.24</v>
      </c>
      <c r="F8" s="19"/>
      <c r="G8" s="11">
        <v>0.0</v>
      </c>
      <c r="I8" s="4"/>
      <c r="J8" s="4" t="s">
        <v>17</v>
      </c>
      <c r="K8" s="12" t="s">
        <v>18</v>
      </c>
      <c r="L8" s="4"/>
      <c r="M8" s="4"/>
    </row>
    <row r="9">
      <c r="A9" s="8"/>
      <c r="B9" s="8"/>
      <c r="C9" s="11" t="s">
        <v>19</v>
      </c>
      <c r="D9" s="14">
        <v>5039.41</v>
      </c>
      <c r="E9" s="14">
        <v>3093.76</v>
      </c>
      <c r="F9" s="3"/>
      <c r="G9" s="4"/>
      <c r="H9" s="4"/>
      <c r="I9" s="4"/>
      <c r="J9" s="4"/>
      <c r="K9" s="12"/>
      <c r="L9" s="12"/>
      <c r="M9" s="12"/>
    </row>
    <row r="10">
      <c r="A10" s="8"/>
      <c r="B10" s="8"/>
      <c r="C10" s="11" t="s">
        <v>20</v>
      </c>
      <c r="D10" s="14" t="s">
        <v>21</v>
      </c>
      <c r="E10" s="14">
        <v>3.0</v>
      </c>
      <c r="F10" s="3"/>
      <c r="G10" s="4"/>
      <c r="H10" s="4"/>
      <c r="I10" s="4"/>
      <c r="J10" s="4" t="s">
        <v>22</v>
      </c>
      <c r="K10" s="12" t="s">
        <v>23</v>
      </c>
    </row>
    <row r="11">
      <c r="A11" s="8"/>
      <c r="B11" s="8"/>
      <c r="C11" s="11" t="s">
        <v>24</v>
      </c>
      <c r="D11" s="14">
        <v>0.1</v>
      </c>
      <c r="E11" s="14" t="s">
        <v>21</v>
      </c>
      <c r="F11" s="20"/>
      <c r="G11" s="4"/>
      <c r="H11" s="4"/>
      <c r="I11" s="4"/>
    </row>
    <row r="12">
      <c r="A12" s="8"/>
      <c r="B12" s="8"/>
      <c r="C12" s="11" t="s">
        <v>25</v>
      </c>
      <c r="D12" s="21">
        <v>10000.0</v>
      </c>
      <c r="E12" s="21">
        <v>10000.0</v>
      </c>
      <c r="F12" s="3"/>
      <c r="G12" s="4"/>
      <c r="H12" s="4"/>
      <c r="I12" s="4"/>
    </row>
    <row r="13">
      <c r="A13" s="8"/>
      <c r="B13" s="8"/>
      <c r="C13" s="11" t="s">
        <v>26</v>
      </c>
      <c r="D13" s="94">
        <v>0.0</v>
      </c>
      <c r="E13" s="94">
        <v>0.0</v>
      </c>
      <c r="F13" s="3"/>
      <c r="G13" s="4"/>
      <c r="H13" s="4"/>
      <c r="I13" s="4"/>
      <c r="J13" s="4"/>
      <c r="K13" s="12"/>
    </row>
    <row r="14">
      <c r="A14" s="8"/>
      <c r="B14" s="8"/>
      <c r="C14" s="4" t="s">
        <v>27</v>
      </c>
      <c r="D14" s="18">
        <f t="shared" ref="D14:E14" si="3">D13*D12</f>
        <v>0</v>
      </c>
      <c r="E14" s="18">
        <f t="shared" si="3"/>
        <v>0</v>
      </c>
      <c r="F14" s="19"/>
      <c r="G14" s="4"/>
      <c r="H14" s="4"/>
      <c r="I14" s="4"/>
      <c r="J14" s="4"/>
      <c r="K14" s="4"/>
      <c r="L14" s="4"/>
      <c r="M14" s="4"/>
    </row>
    <row r="15">
      <c r="A15" s="8"/>
      <c r="B15" s="8"/>
      <c r="C15" s="11" t="s">
        <v>28</v>
      </c>
      <c r="D15" s="23">
        <v>4.0</v>
      </c>
      <c r="E15" s="23">
        <v>31.0</v>
      </c>
      <c r="F15" s="3"/>
      <c r="G15" s="4"/>
      <c r="H15" s="4"/>
      <c r="I15" s="4"/>
      <c r="J15" s="4"/>
      <c r="K15" s="4"/>
      <c r="L15" s="4"/>
      <c r="M15" s="4"/>
    </row>
    <row r="16">
      <c r="A16" s="8"/>
      <c r="B16" s="8"/>
      <c r="C16" s="3" t="s">
        <v>29</v>
      </c>
      <c r="D16" s="24" t="s">
        <v>21</v>
      </c>
      <c r="E16" s="25">
        <f>E12/E15</f>
        <v>322.5806452</v>
      </c>
      <c r="F16" s="4"/>
      <c r="G16" s="4"/>
      <c r="H16" s="4"/>
      <c r="I16" s="4"/>
      <c r="J16" s="4"/>
      <c r="K16" s="4"/>
      <c r="L16" s="4"/>
      <c r="M16" s="4"/>
    </row>
    <row r="17">
      <c r="A17" s="8"/>
      <c r="B17" s="8"/>
      <c r="C17" s="3" t="s">
        <v>30</v>
      </c>
      <c r="D17" s="25">
        <f>D12/D15</f>
        <v>2500</v>
      </c>
      <c r="E17" s="24" t="s">
        <v>21</v>
      </c>
      <c r="F17" s="4"/>
      <c r="G17" s="4"/>
      <c r="H17" s="4"/>
      <c r="I17" s="4"/>
      <c r="J17" s="4"/>
      <c r="K17" s="4"/>
      <c r="L17" s="4"/>
      <c r="M17" s="4"/>
    </row>
    <row r="18">
      <c r="A18" s="8"/>
      <c r="B18" s="8"/>
      <c r="C18" s="3" t="s">
        <v>32</v>
      </c>
      <c r="D18" s="27">
        <f>D11*D17</f>
        <v>250</v>
      </c>
      <c r="E18" s="18">
        <f>E16*E10</f>
        <v>967.7419355</v>
      </c>
      <c r="F18" s="4"/>
      <c r="G18" s="4"/>
      <c r="H18" s="3"/>
      <c r="I18" s="4"/>
      <c r="J18" s="4"/>
      <c r="K18" s="4"/>
      <c r="L18" s="4"/>
      <c r="M18" s="4"/>
    </row>
    <row r="19">
      <c r="A19" s="4"/>
      <c r="B19" s="4"/>
      <c r="C19" s="28" t="s">
        <v>132</v>
      </c>
      <c r="D19" s="56">
        <f t="shared" ref="D19:E19" si="4">D25</f>
        <v>22802.91</v>
      </c>
      <c r="E19" s="100">
        <f t="shared" si="4"/>
        <v>24111.70968</v>
      </c>
      <c r="F19" s="6" t="s">
        <v>35</v>
      </c>
      <c r="G19" s="4"/>
      <c r="H19" s="4"/>
      <c r="I19" s="4"/>
      <c r="J19" s="4"/>
      <c r="K19" s="4"/>
      <c r="L19" s="4"/>
      <c r="M19" s="4"/>
    </row>
    <row r="20">
      <c r="A20" s="31"/>
      <c r="B20" s="31"/>
      <c r="C20" s="32"/>
      <c r="D20" s="33"/>
      <c r="E20" s="33"/>
      <c r="F20" s="4"/>
      <c r="G20" s="4"/>
      <c r="H20" s="4"/>
      <c r="I20" s="4"/>
      <c r="J20" s="4"/>
      <c r="K20" s="4"/>
      <c r="L20" s="4"/>
      <c r="M20" s="4"/>
    </row>
    <row r="21">
      <c r="A21" s="31"/>
      <c r="B21" s="31"/>
      <c r="C21" s="32">
        <v>1.0</v>
      </c>
      <c r="D21" s="33"/>
      <c r="E21" s="33"/>
      <c r="F21" s="34">
        <f t="shared" ref="F21:F30" si="5">$E21-$D21</f>
        <v>0</v>
      </c>
      <c r="G21" s="4"/>
      <c r="H21" s="4"/>
      <c r="I21" s="4"/>
      <c r="J21" s="4"/>
      <c r="K21" s="4"/>
      <c r="L21" s="4"/>
      <c r="M21" s="4"/>
    </row>
    <row r="22">
      <c r="A22" s="35"/>
      <c r="B22" s="35"/>
      <c r="C22" s="32">
        <v>2.0</v>
      </c>
      <c r="D22" s="33"/>
      <c r="E22" s="33"/>
      <c r="F22" s="34">
        <f t="shared" si="5"/>
        <v>0</v>
      </c>
      <c r="G22" s="4"/>
      <c r="H22" s="3"/>
      <c r="I22" s="4"/>
      <c r="J22" s="4"/>
      <c r="K22" s="4"/>
      <c r="L22" s="4"/>
      <c r="M22" s="4"/>
    </row>
    <row r="23">
      <c r="A23" s="35"/>
      <c r="B23" s="35"/>
      <c r="C23" s="32">
        <v>3.0</v>
      </c>
      <c r="D23" s="33"/>
      <c r="E23" s="33"/>
      <c r="F23" s="34">
        <f t="shared" si="5"/>
        <v>0</v>
      </c>
      <c r="G23" s="4"/>
      <c r="H23" s="4"/>
      <c r="I23" s="4"/>
      <c r="J23" s="4"/>
      <c r="K23" s="4"/>
      <c r="L23" s="4"/>
      <c r="M23" s="4"/>
    </row>
    <row r="24">
      <c r="A24" s="35"/>
      <c r="B24" s="35"/>
      <c r="C24" s="32">
        <v>4.0</v>
      </c>
      <c r="D24" s="33"/>
      <c r="E24" s="33"/>
      <c r="F24" s="34">
        <f t="shared" si="5"/>
        <v>0</v>
      </c>
      <c r="G24" s="4"/>
      <c r="H24" s="4"/>
      <c r="I24" s="4"/>
      <c r="J24" s="4"/>
      <c r="K24" s="4"/>
      <c r="L24" s="4"/>
      <c r="M24" s="4"/>
    </row>
    <row r="25">
      <c r="A25" s="35"/>
      <c r="B25" s="35"/>
      <c r="C25" s="32">
        <v>5.0</v>
      </c>
      <c r="D25" s="33">
        <f>D8+(C25*D18)+(D14*C25)+D9</f>
        <v>22802.91</v>
      </c>
      <c r="E25" s="33">
        <f>E8+(E18*C25)+(E14*C25)+E9</f>
        <v>24111.70968</v>
      </c>
      <c r="F25" s="34">
        <f t="shared" si="5"/>
        <v>1308.799677</v>
      </c>
      <c r="G25" s="4"/>
      <c r="H25" s="3"/>
      <c r="I25" s="4"/>
      <c r="J25" s="4"/>
      <c r="K25" s="4"/>
      <c r="L25" s="4"/>
      <c r="M25" s="4"/>
    </row>
    <row r="26">
      <c r="A26" s="35"/>
      <c r="B26" s="35"/>
      <c r="C26" s="32"/>
      <c r="D26" s="33"/>
      <c r="E26" s="33"/>
      <c r="F26" s="34">
        <f t="shared" si="5"/>
        <v>0</v>
      </c>
      <c r="G26" s="4"/>
      <c r="H26" s="4"/>
      <c r="I26" s="4"/>
      <c r="J26" s="4"/>
      <c r="K26" s="4"/>
      <c r="L26" s="4"/>
      <c r="M26" s="4"/>
    </row>
    <row r="27">
      <c r="A27" s="35"/>
      <c r="B27" s="35"/>
      <c r="C27" s="32"/>
      <c r="D27" s="33"/>
      <c r="E27" s="33"/>
      <c r="F27" s="34">
        <f t="shared" si="5"/>
        <v>0</v>
      </c>
      <c r="G27" s="4"/>
      <c r="H27" s="4"/>
      <c r="I27" s="4"/>
      <c r="J27" s="4"/>
      <c r="K27" s="4"/>
      <c r="L27" s="4"/>
      <c r="M27" s="4"/>
    </row>
    <row r="28">
      <c r="A28" s="35"/>
      <c r="B28" s="35"/>
      <c r="C28" s="32"/>
      <c r="D28" s="33"/>
      <c r="E28" s="33"/>
      <c r="F28" s="34">
        <f t="shared" si="5"/>
        <v>0</v>
      </c>
      <c r="G28" s="4"/>
      <c r="H28" s="4"/>
      <c r="I28" s="4"/>
      <c r="J28" s="4"/>
      <c r="K28" s="4"/>
      <c r="L28" s="4"/>
      <c r="M28" s="4"/>
    </row>
    <row r="29">
      <c r="A29" s="35"/>
      <c r="B29" s="35"/>
      <c r="C29" s="32"/>
      <c r="D29" s="33"/>
      <c r="E29" s="33"/>
      <c r="F29" s="34">
        <f t="shared" si="5"/>
        <v>0</v>
      </c>
      <c r="G29" s="4"/>
      <c r="H29" s="4"/>
      <c r="I29" s="4"/>
      <c r="J29" s="4"/>
      <c r="K29" s="4"/>
      <c r="L29" s="4"/>
      <c r="M29" s="4"/>
    </row>
    <row r="30">
      <c r="A30" s="35"/>
      <c r="B30" s="35"/>
      <c r="C30" s="32"/>
      <c r="D30" s="33"/>
      <c r="E30" s="33"/>
      <c r="F30" s="34">
        <f t="shared" si="5"/>
        <v>0</v>
      </c>
      <c r="G30" s="4"/>
      <c r="H30" s="4"/>
      <c r="I30" s="4"/>
      <c r="J30" s="4"/>
      <c r="K30" s="4"/>
      <c r="L30" s="4"/>
      <c r="M30" s="4"/>
    </row>
    <row r="31">
      <c r="A31" s="35"/>
      <c r="B31" s="35"/>
      <c r="C31" s="35"/>
      <c r="D31" s="37"/>
      <c r="E31" s="37"/>
      <c r="F31" s="4"/>
      <c r="G31" s="4"/>
      <c r="H31" s="4"/>
      <c r="I31" s="4"/>
      <c r="J31" s="4"/>
      <c r="K31" s="4"/>
      <c r="L31" s="4"/>
      <c r="M31" s="4"/>
    </row>
    <row r="32">
      <c r="A32" s="35"/>
      <c r="B32" s="35"/>
      <c r="C32" s="35"/>
      <c r="D32" s="37"/>
      <c r="E32" s="37">
        <f>D30-E30</f>
        <v>0</v>
      </c>
      <c r="F32" s="4"/>
      <c r="G32" s="4"/>
      <c r="H32" s="4"/>
      <c r="I32" s="4"/>
      <c r="J32" s="4"/>
      <c r="K32" s="4"/>
      <c r="L32" s="4"/>
      <c r="M32" s="4"/>
    </row>
    <row r="33">
      <c r="A33" s="35"/>
      <c r="B33" s="35"/>
      <c r="C33" s="35"/>
      <c r="D33" s="37"/>
      <c r="E33" s="37"/>
      <c r="F33" s="4"/>
      <c r="G33" s="4"/>
      <c r="H33" s="4"/>
      <c r="I33" s="4"/>
      <c r="J33" s="4"/>
      <c r="K33" s="4"/>
      <c r="L33" s="4"/>
      <c r="M33" s="4"/>
    </row>
    <row r="34">
      <c r="A34" s="35"/>
      <c r="B34" s="35"/>
      <c r="F34" s="4"/>
      <c r="G34" s="4"/>
      <c r="H34" s="4"/>
      <c r="I34" s="4"/>
      <c r="J34" s="4"/>
      <c r="K34" s="4"/>
      <c r="L34" s="4"/>
      <c r="M34" s="4"/>
    </row>
  </sheetData>
  <mergeCells count="5">
    <mergeCell ref="K13:M13"/>
    <mergeCell ref="K10:M10"/>
    <mergeCell ref="C1:E1"/>
    <mergeCell ref="H4:H8"/>
    <mergeCell ref="C2:E2"/>
  </mergeCells>
  <hyperlinks>
    <hyperlink r:id="rId2" ref="K4"/>
    <hyperlink r:id="rId3" ref="K7"/>
    <hyperlink r:id="rId4" ref="K8"/>
    <hyperlink r:id="rId5" ref="K10"/>
  </hyperlinks>
  <drawing r:id="rId6"/>
  <legacyDrawing r:id="rId7"/>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55.14"/>
    <col customWidth="1" min="4" max="4" width="38.86"/>
    <col customWidth="1" min="5" max="5" width="41.57"/>
    <col customWidth="1" min="6" max="6" width="41.43"/>
    <col customWidth="1" min="7" max="7" width="25.14"/>
    <col customWidth="1" min="8" max="8" width="45.43"/>
    <col customWidth="1" min="9" max="9" width="3.0"/>
    <col customWidth="1" min="10" max="10" width="27.0"/>
  </cols>
  <sheetData>
    <row r="1">
      <c r="A1" s="46" t="s">
        <v>133</v>
      </c>
      <c r="B1" s="1"/>
      <c r="C1" s="2" t="s">
        <v>0</v>
      </c>
      <c r="F1" s="3"/>
      <c r="G1" s="4"/>
      <c r="H1" s="4"/>
      <c r="I1" s="4"/>
      <c r="J1" s="4"/>
      <c r="K1" s="4"/>
      <c r="L1" s="4"/>
      <c r="M1" s="4"/>
    </row>
    <row r="2">
      <c r="A2" s="46"/>
      <c r="B2" s="1"/>
      <c r="C2" s="5"/>
      <c r="F2" s="3"/>
      <c r="G2" s="4"/>
      <c r="H2" s="4"/>
      <c r="I2" s="4"/>
      <c r="J2" s="4"/>
      <c r="K2" s="4"/>
      <c r="L2" s="4"/>
      <c r="M2" s="4"/>
    </row>
    <row r="3">
      <c r="A3" s="46"/>
      <c r="B3" s="1"/>
      <c r="C3" s="28" t="s">
        <v>1</v>
      </c>
      <c r="D3" s="97" t="s">
        <v>2</v>
      </c>
      <c r="E3" s="99" t="s">
        <v>122</v>
      </c>
      <c r="F3" s="3"/>
      <c r="G3" s="4"/>
      <c r="H3" s="4"/>
      <c r="I3" s="4"/>
      <c r="J3" s="4" t="s">
        <v>5</v>
      </c>
      <c r="K3" s="4"/>
      <c r="L3" s="4"/>
      <c r="M3" s="4"/>
    </row>
    <row r="4">
      <c r="A4" s="8"/>
      <c r="B4" s="8"/>
      <c r="C4" s="9" t="s">
        <v>7</v>
      </c>
      <c r="D4" s="94">
        <v>39500.0</v>
      </c>
      <c r="E4" s="94">
        <v>23720.0</v>
      </c>
      <c r="F4" s="3"/>
      <c r="G4" s="11">
        <v>20000.0</v>
      </c>
      <c r="H4" s="9" t="s">
        <v>8</v>
      </c>
      <c r="I4" s="4"/>
      <c r="J4" s="4" t="s">
        <v>9</v>
      </c>
      <c r="K4" s="12" t="s">
        <v>10</v>
      </c>
      <c r="L4" s="4"/>
      <c r="M4" s="4"/>
    </row>
    <row r="5">
      <c r="A5" s="13"/>
      <c r="B5" s="13"/>
      <c r="C5" s="11" t="s">
        <v>11</v>
      </c>
      <c r="D5" s="14">
        <f>D4*0.487</f>
        <v>19236.5</v>
      </c>
      <c r="E5" s="14">
        <f>E4*0.382</f>
        <v>9061.04</v>
      </c>
      <c r="F5" s="15"/>
      <c r="G5" s="11"/>
      <c r="I5" s="4"/>
      <c r="J5" s="4"/>
      <c r="K5" s="12"/>
      <c r="L5" s="4"/>
      <c r="M5" s="4"/>
    </row>
    <row r="6">
      <c r="A6" s="13"/>
      <c r="B6" s="13"/>
      <c r="C6" s="11" t="s">
        <v>12</v>
      </c>
      <c r="D6" s="14">
        <f t="shared" ref="D6:E6" si="1">D4-D5</f>
        <v>20263.5</v>
      </c>
      <c r="E6" s="14">
        <f t="shared" si="1"/>
        <v>14658.96</v>
      </c>
      <c r="F6" s="15"/>
      <c r="G6" s="11"/>
      <c r="I6" s="4"/>
      <c r="J6" s="4"/>
      <c r="K6" s="12"/>
      <c r="L6" s="4"/>
      <c r="M6" s="4"/>
    </row>
    <row r="7">
      <c r="A7" s="13"/>
      <c r="B7" s="13"/>
      <c r="C7" s="16" t="s">
        <v>13</v>
      </c>
      <c r="D7" s="14">
        <v>-3750.0</v>
      </c>
      <c r="E7" s="95">
        <v>0.0</v>
      </c>
      <c r="F7" s="15"/>
      <c r="G7" s="11">
        <v>1.3</v>
      </c>
      <c r="I7" s="4"/>
      <c r="J7" s="4" t="s">
        <v>14</v>
      </c>
      <c r="K7" s="12" t="s">
        <v>15</v>
      </c>
      <c r="L7" s="4"/>
      <c r="M7" s="4"/>
    </row>
    <row r="8">
      <c r="A8" s="13"/>
      <c r="B8" s="13"/>
      <c r="C8" s="3" t="s">
        <v>128</v>
      </c>
      <c r="D8" s="18">
        <f t="shared" ref="D8:E8" si="2">SUM(D6:D7)</f>
        <v>16513.5</v>
      </c>
      <c r="E8" s="18">
        <f t="shared" si="2"/>
        <v>14658.96</v>
      </c>
      <c r="F8" s="19"/>
      <c r="G8" s="11">
        <v>0.0</v>
      </c>
      <c r="I8" s="4"/>
      <c r="J8" s="4" t="s">
        <v>17</v>
      </c>
      <c r="K8" s="12" t="s">
        <v>18</v>
      </c>
      <c r="L8" s="4"/>
      <c r="M8" s="4"/>
    </row>
    <row r="9">
      <c r="A9" s="8"/>
      <c r="B9" s="8"/>
      <c r="C9" s="11" t="s">
        <v>19</v>
      </c>
      <c r="D9" s="14">
        <v>5039.41</v>
      </c>
      <c r="E9" s="14">
        <v>2734.43</v>
      </c>
      <c r="F9" s="3"/>
      <c r="G9" s="4"/>
      <c r="H9" s="4"/>
      <c r="I9" s="4"/>
      <c r="J9" s="4"/>
      <c r="K9" s="12"/>
      <c r="L9" s="12"/>
      <c r="M9" s="12"/>
    </row>
    <row r="10">
      <c r="A10" s="8"/>
      <c r="B10" s="8"/>
      <c r="C10" s="11" t="s">
        <v>20</v>
      </c>
      <c r="D10" s="14" t="s">
        <v>21</v>
      </c>
      <c r="E10" s="14">
        <v>3.0</v>
      </c>
      <c r="F10" s="3"/>
      <c r="G10" s="4"/>
      <c r="H10" s="4"/>
      <c r="I10" s="4"/>
      <c r="J10" s="4" t="s">
        <v>22</v>
      </c>
      <c r="K10" s="12" t="s">
        <v>23</v>
      </c>
    </row>
    <row r="11">
      <c r="A11" s="8"/>
      <c r="B11" s="8"/>
      <c r="C11" s="11" t="s">
        <v>24</v>
      </c>
      <c r="D11" s="14">
        <v>0.1</v>
      </c>
      <c r="E11" s="14" t="s">
        <v>21</v>
      </c>
      <c r="F11" s="20"/>
      <c r="G11" s="4"/>
      <c r="H11" s="4"/>
      <c r="I11" s="4"/>
    </row>
    <row r="12">
      <c r="A12" s="8"/>
      <c r="B12" s="8"/>
      <c r="C12" s="11" t="s">
        <v>25</v>
      </c>
      <c r="D12" s="21">
        <v>10000.0</v>
      </c>
      <c r="E12" s="21">
        <v>10000.0</v>
      </c>
      <c r="F12" s="3"/>
      <c r="G12" s="4"/>
      <c r="H12" s="4"/>
      <c r="I12" s="4"/>
    </row>
    <row r="13">
      <c r="A13" s="8"/>
      <c r="B13" s="8"/>
      <c r="C13" s="11" t="s">
        <v>26</v>
      </c>
      <c r="D13" s="94">
        <v>0.0</v>
      </c>
      <c r="E13" s="94">
        <v>0.0</v>
      </c>
      <c r="F13" s="3"/>
      <c r="G13" s="4"/>
      <c r="H13" s="4"/>
      <c r="I13" s="4"/>
      <c r="J13" s="4"/>
      <c r="K13" s="12"/>
    </row>
    <row r="14">
      <c r="A14" s="8"/>
      <c r="B14" s="8"/>
      <c r="C14" s="4" t="s">
        <v>27</v>
      </c>
      <c r="D14" s="18">
        <f t="shared" ref="D14:E14" si="3">D13*D12</f>
        <v>0</v>
      </c>
      <c r="E14" s="18">
        <f t="shared" si="3"/>
        <v>0</v>
      </c>
      <c r="F14" s="19"/>
      <c r="G14" s="4"/>
      <c r="H14" s="4"/>
      <c r="I14" s="4"/>
      <c r="J14" s="4"/>
      <c r="K14" s="4"/>
      <c r="L14" s="4"/>
      <c r="M14" s="4"/>
    </row>
    <row r="15">
      <c r="A15" s="8"/>
      <c r="B15" s="8"/>
      <c r="C15" s="11" t="s">
        <v>28</v>
      </c>
      <c r="D15" s="23">
        <v>4.0</v>
      </c>
      <c r="E15" s="23">
        <v>30.0</v>
      </c>
      <c r="F15" s="3"/>
      <c r="G15" s="4"/>
      <c r="H15" s="4"/>
      <c r="I15" s="4"/>
      <c r="J15" s="4"/>
      <c r="K15" s="4"/>
      <c r="L15" s="4"/>
      <c r="M15" s="4"/>
    </row>
    <row r="16">
      <c r="A16" s="8"/>
      <c r="B16" s="8"/>
      <c r="C16" s="3" t="s">
        <v>29</v>
      </c>
      <c r="D16" s="24" t="s">
        <v>21</v>
      </c>
      <c r="E16" s="25">
        <f>E12/E15</f>
        <v>333.3333333</v>
      </c>
      <c r="F16" s="4"/>
      <c r="G16" s="4"/>
      <c r="H16" s="4"/>
      <c r="I16" s="4"/>
      <c r="J16" s="4"/>
      <c r="K16" s="4"/>
      <c r="L16" s="4"/>
      <c r="M16" s="4"/>
    </row>
    <row r="17">
      <c r="A17" s="8"/>
      <c r="B17" s="8"/>
      <c r="C17" s="3" t="s">
        <v>30</v>
      </c>
      <c r="D17" s="25">
        <f>D12/D15</f>
        <v>2500</v>
      </c>
      <c r="E17" s="24" t="s">
        <v>21</v>
      </c>
      <c r="F17" s="4"/>
      <c r="G17" s="4"/>
      <c r="H17" s="4"/>
      <c r="I17" s="4"/>
      <c r="J17" s="4"/>
      <c r="K17" s="4"/>
      <c r="L17" s="4"/>
      <c r="M17" s="4"/>
    </row>
    <row r="18">
      <c r="A18" s="8"/>
      <c r="B18" s="8"/>
      <c r="C18" s="3" t="s">
        <v>32</v>
      </c>
      <c r="D18" s="27">
        <f>D11*D17</f>
        <v>250</v>
      </c>
      <c r="E18" s="18">
        <f>E16*E10</f>
        <v>1000</v>
      </c>
      <c r="F18" s="4"/>
      <c r="G18" s="4"/>
      <c r="H18" s="3"/>
      <c r="I18" s="4"/>
      <c r="J18" s="4"/>
      <c r="K18" s="4"/>
      <c r="L18" s="4"/>
      <c r="M18" s="4"/>
    </row>
    <row r="19">
      <c r="A19" s="4"/>
      <c r="B19" s="4"/>
      <c r="C19" s="28" t="s">
        <v>132</v>
      </c>
      <c r="D19" s="56">
        <f t="shared" ref="D19:E19" si="4">D25</f>
        <v>22802.91</v>
      </c>
      <c r="E19" s="100">
        <f t="shared" si="4"/>
        <v>22393.39</v>
      </c>
      <c r="F19" s="6" t="s">
        <v>35</v>
      </c>
      <c r="G19" s="4"/>
      <c r="H19" s="4"/>
      <c r="I19" s="4"/>
      <c r="J19" s="4"/>
      <c r="K19" s="4"/>
      <c r="L19" s="4"/>
      <c r="M19" s="4"/>
    </row>
    <row r="20">
      <c r="A20" s="31"/>
      <c r="B20" s="31"/>
      <c r="C20" s="32"/>
      <c r="D20" s="33"/>
      <c r="E20" s="33"/>
      <c r="F20" s="4"/>
      <c r="G20" s="4"/>
      <c r="H20" s="4"/>
      <c r="I20" s="4"/>
      <c r="J20" s="4"/>
      <c r="K20" s="4"/>
      <c r="L20" s="4"/>
      <c r="M20" s="4"/>
    </row>
    <row r="21">
      <c r="A21" s="31"/>
      <c r="B21" s="31"/>
      <c r="C21" s="32">
        <v>1.0</v>
      </c>
      <c r="D21" s="33"/>
      <c r="E21" s="33"/>
      <c r="F21" s="34">
        <f t="shared" ref="F21:F30" si="5">$E21-$D21</f>
        <v>0</v>
      </c>
      <c r="G21" s="4"/>
      <c r="H21" s="4"/>
      <c r="I21" s="4"/>
      <c r="J21" s="4"/>
      <c r="K21" s="4"/>
      <c r="L21" s="4"/>
      <c r="M21" s="4"/>
    </row>
    <row r="22">
      <c r="A22" s="35"/>
      <c r="B22" s="35"/>
      <c r="C22" s="32">
        <v>2.0</v>
      </c>
      <c r="D22" s="33"/>
      <c r="E22" s="33"/>
      <c r="F22" s="34">
        <f t="shared" si="5"/>
        <v>0</v>
      </c>
      <c r="G22" s="4"/>
      <c r="H22" s="3"/>
      <c r="I22" s="4"/>
      <c r="J22" s="4"/>
      <c r="K22" s="4"/>
      <c r="L22" s="4"/>
      <c r="M22" s="4"/>
    </row>
    <row r="23">
      <c r="A23" s="35"/>
      <c r="B23" s="35"/>
      <c r="C23" s="32">
        <v>3.0</v>
      </c>
      <c r="D23" s="33"/>
      <c r="E23" s="33"/>
      <c r="F23" s="34">
        <f t="shared" si="5"/>
        <v>0</v>
      </c>
      <c r="G23" s="4"/>
      <c r="H23" s="4"/>
      <c r="I23" s="4"/>
      <c r="J23" s="4"/>
      <c r="K23" s="4"/>
      <c r="L23" s="4"/>
      <c r="M23" s="4"/>
    </row>
    <row r="24">
      <c r="A24" s="35"/>
      <c r="B24" s="35"/>
      <c r="C24" s="32">
        <v>4.0</v>
      </c>
      <c r="D24" s="33"/>
      <c r="E24" s="33"/>
      <c r="F24" s="34">
        <f t="shared" si="5"/>
        <v>0</v>
      </c>
      <c r="G24" s="4"/>
      <c r="H24" s="4"/>
      <c r="I24" s="4"/>
      <c r="J24" s="4"/>
      <c r="K24" s="4"/>
      <c r="L24" s="4"/>
      <c r="M24" s="4"/>
    </row>
    <row r="25">
      <c r="A25" s="35"/>
      <c r="B25" s="35"/>
      <c r="C25" s="32">
        <v>5.0</v>
      </c>
      <c r="D25" s="33">
        <f>D8+(C25*D18)+(D14*C25)+D9</f>
        <v>22802.91</v>
      </c>
      <c r="E25" s="33">
        <f>E8+(E18*C25)+(E14*C25)+E9</f>
        <v>22393.39</v>
      </c>
      <c r="F25" s="34">
        <f t="shared" si="5"/>
        <v>-409.52</v>
      </c>
      <c r="G25" s="4"/>
      <c r="H25" s="3"/>
      <c r="I25" s="4"/>
      <c r="J25" s="4"/>
      <c r="K25" s="4"/>
      <c r="L25" s="4"/>
      <c r="M25" s="4"/>
    </row>
    <row r="26">
      <c r="A26" s="35"/>
      <c r="B26" s="35"/>
      <c r="C26" s="32"/>
      <c r="D26" s="33"/>
      <c r="E26" s="33"/>
      <c r="F26" s="34">
        <f t="shared" si="5"/>
        <v>0</v>
      </c>
      <c r="G26" s="4"/>
      <c r="H26" s="4"/>
      <c r="I26" s="4"/>
      <c r="J26" s="4"/>
      <c r="K26" s="4"/>
      <c r="L26" s="4"/>
      <c r="M26" s="4"/>
    </row>
    <row r="27">
      <c r="A27" s="35"/>
      <c r="B27" s="35"/>
      <c r="C27" s="32"/>
      <c r="D27" s="33"/>
      <c r="E27" s="33"/>
      <c r="F27" s="34">
        <f t="shared" si="5"/>
        <v>0</v>
      </c>
      <c r="G27" s="4"/>
      <c r="H27" s="4"/>
      <c r="I27" s="4"/>
      <c r="J27" s="4"/>
      <c r="K27" s="4"/>
      <c r="L27" s="4"/>
      <c r="M27" s="4"/>
    </row>
    <row r="28">
      <c r="A28" s="35"/>
      <c r="B28" s="35"/>
      <c r="C28" s="32"/>
      <c r="D28" s="33"/>
      <c r="E28" s="33"/>
      <c r="F28" s="34">
        <f t="shared" si="5"/>
        <v>0</v>
      </c>
      <c r="G28" s="4"/>
      <c r="H28" s="4"/>
      <c r="I28" s="4"/>
      <c r="J28" s="4"/>
      <c r="K28" s="4"/>
      <c r="L28" s="4"/>
      <c r="M28" s="4"/>
    </row>
    <row r="29">
      <c r="A29" s="35"/>
      <c r="B29" s="35"/>
      <c r="C29" s="32"/>
      <c r="D29" s="33"/>
      <c r="E29" s="33"/>
      <c r="F29" s="34">
        <f t="shared" si="5"/>
        <v>0</v>
      </c>
      <c r="G29" s="4"/>
      <c r="H29" s="4"/>
      <c r="I29" s="4"/>
      <c r="J29" s="4"/>
      <c r="K29" s="4"/>
      <c r="L29" s="4"/>
      <c r="M29" s="4"/>
    </row>
    <row r="30">
      <c r="A30" s="35"/>
      <c r="B30" s="35"/>
      <c r="C30" s="32"/>
      <c r="D30" s="33"/>
      <c r="E30" s="33"/>
      <c r="F30" s="34">
        <f t="shared" si="5"/>
        <v>0</v>
      </c>
      <c r="G30" s="4"/>
      <c r="H30" s="4"/>
      <c r="I30" s="4"/>
      <c r="J30" s="4"/>
      <c r="K30" s="4"/>
      <c r="L30" s="4"/>
      <c r="M30" s="4"/>
    </row>
    <row r="31">
      <c r="A31" s="35"/>
      <c r="B31" s="35"/>
      <c r="C31" s="35"/>
      <c r="D31" s="37"/>
      <c r="E31" s="37"/>
      <c r="F31" s="4"/>
      <c r="G31" s="4"/>
      <c r="H31" s="4"/>
      <c r="I31" s="4"/>
      <c r="J31" s="4"/>
      <c r="K31" s="4"/>
      <c r="L31" s="4"/>
      <c r="M31" s="4"/>
    </row>
    <row r="32">
      <c r="A32" s="35"/>
      <c r="B32" s="35"/>
      <c r="C32" s="35"/>
      <c r="D32" s="37"/>
      <c r="E32" s="37">
        <f>D30-E30</f>
        <v>0</v>
      </c>
      <c r="F32" s="4"/>
      <c r="G32" s="4"/>
      <c r="H32" s="4"/>
      <c r="I32" s="4"/>
      <c r="J32" s="4"/>
      <c r="K32" s="4"/>
      <c r="L32" s="4"/>
      <c r="M32" s="4"/>
    </row>
    <row r="33">
      <c r="A33" s="35"/>
      <c r="B33" s="35"/>
      <c r="C33" s="35"/>
      <c r="D33" s="37"/>
      <c r="E33" s="37"/>
      <c r="F33" s="4"/>
      <c r="G33" s="4"/>
      <c r="H33" s="4"/>
      <c r="I33" s="4"/>
      <c r="J33" s="4"/>
      <c r="K33" s="4"/>
      <c r="L33" s="4"/>
      <c r="M33" s="4"/>
    </row>
    <row r="34">
      <c r="A34" s="35"/>
      <c r="B34" s="35"/>
      <c r="F34" s="4"/>
      <c r="G34" s="4"/>
      <c r="H34" s="4"/>
      <c r="I34" s="4"/>
      <c r="J34" s="4"/>
      <c r="K34" s="4"/>
      <c r="L34" s="4"/>
      <c r="M34" s="4"/>
    </row>
  </sheetData>
  <mergeCells count="5">
    <mergeCell ref="K13:M13"/>
    <mergeCell ref="K10:M10"/>
    <mergeCell ref="C1:E1"/>
    <mergeCell ref="H4:H8"/>
    <mergeCell ref="C2:E2"/>
  </mergeCells>
  <hyperlinks>
    <hyperlink r:id="rId1" ref="K4"/>
    <hyperlink r:id="rId2" ref="K7"/>
    <hyperlink r:id="rId3" ref="K8"/>
    <hyperlink r:id="rId4" ref="K10"/>
  </hyperlinks>
  <drawing r:id="rId5"/>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55.14"/>
    <col customWidth="1" min="4" max="4" width="38.86"/>
    <col customWidth="1" min="5" max="5" width="31.86"/>
    <col customWidth="1" min="6" max="6" width="41.43"/>
    <col customWidth="1" min="7" max="7" width="25.14"/>
    <col customWidth="1" min="8" max="8" width="45.43"/>
    <col customWidth="1" min="9" max="9" width="3.0"/>
    <col customWidth="1" min="10" max="10" width="27.0"/>
  </cols>
  <sheetData>
    <row r="1">
      <c r="A1" s="46"/>
      <c r="B1" s="1"/>
      <c r="C1" s="101" t="s">
        <v>74</v>
      </c>
      <c r="F1" s="3"/>
      <c r="G1" s="4"/>
      <c r="H1" s="4"/>
      <c r="I1" s="4"/>
      <c r="J1" s="4"/>
      <c r="K1" s="4"/>
      <c r="L1" s="4"/>
      <c r="M1" s="4"/>
    </row>
    <row r="2">
      <c r="A2" s="46"/>
      <c r="B2" s="1"/>
      <c r="C2" s="5" t="s">
        <v>1</v>
      </c>
      <c r="D2" s="6" t="s">
        <v>2</v>
      </c>
      <c r="E2" s="7" t="s">
        <v>69</v>
      </c>
      <c r="F2" s="3"/>
      <c r="G2" s="4"/>
      <c r="H2" s="4"/>
      <c r="I2" s="4"/>
      <c r="J2" s="4" t="s">
        <v>5</v>
      </c>
      <c r="K2" s="4"/>
      <c r="L2" s="4"/>
      <c r="M2" s="4"/>
    </row>
    <row r="3">
      <c r="A3" s="8"/>
      <c r="B3" s="8"/>
      <c r="C3" s="9" t="s">
        <v>7</v>
      </c>
      <c r="D3" s="103">
        <v>44500.0</v>
      </c>
      <c r="E3" s="103">
        <v>39950.0</v>
      </c>
      <c r="F3" s="3"/>
      <c r="G3" s="11">
        <v>20000.0</v>
      </c>
      <c r="H3" s="9" t="s">
        <v>8</v>
      </c>
      <c r="I3" s="4"/>
      <c r="J3" s="4" t="s">
        <v>9</v>
      </c>
      <c r="K3" s="12" t="s">
        <v>10</v>
      </c>
      <c r="L3" s="4"/>
      <c r="M3" s="4"/>
    </row>
    <row r="4">
      <c r="A4" s="13"/>
      <c r="B4" s="13"/>
      <c r="C4" s="11" t="s">
        <v>136</v>
      </c>
      <c r="D4" s="104"/>
      <c r="E4" s="104">
        <v>1990.0</v>
      </c>
      <c r="F4" s="15"/>
      <c r="G4" s="11"/>
      <c r="I4" s="4"/>
      <c r="J4" s="4"/>
      <c r="K4" s="12"/>
      <c r="L4" s="4"/>
      <c r="M4" s="4"/>
    </row>
    <row r="5">
      <c r="A5" s="13"/>
      <c r="B5" s="13"/>
      <c r="C5" s="16" t="s">
        <v>13</v>
      </c>
      <c r="D5" s="104">
        <v>-2000.0</v>
      </c>
      <c r="E5" s="106">
        <v>0.0</v>
      </c>
      <c r="F5" s="15"/>
      <c r="G5" s="11">
        <v>1.3</v>
      </c>
      <c r="I5" s="4"/>
      <c r="J5" s="4" t="s">
        <v>14</v>
      </c>
      <c r="K5" s="12" t="s">
        <v>15</v>
      </c>
      <c r="L5" s="4"/>
      <c r="M5" s="4"/>
    </row>
    <row r="6">
      <c r="A6" s="13"/>
      <c r="B6" s="13"/>
      <c r="C6" s="105" t="s">
        <v>137</v>
      </c>
      <c r="D6" s="107">
        <f>D3+D5</f>
        <v>42500</v>
      </c>
      <c r="E6" s="107">
        <f>E3+E4-E5</f>
        <v>41940</v>
      </c>
      <c r="F6" s="19"/>
      <c r="G6" s="11">
        <v>0.0</v>
      </c>
      <c r="I6" s="4"/>
      <c r="J6" s="4" t="s">
        <v>17</v>
      </c>
      <c r="K6" s="12" t="s">
        <v>18</v>
      </c>
      <c r="L6" s="4"/>
      <c r="M6" s="4"/>
    </row>
    <row r="7">
      <c r="A7" s="8"/>
      <c r="B7" s="8"/>
      <c r="C7" s="9" t="s">
        <v>20</v>
      </c>
      <c r="D7" s="109"/>
      <c r="E7" s="110">
        <v>5.3</v>
      </c>
      <c r="F7" s="111">
        <f>E7/1.4</f>
        <v>3.785714286</v>
      </c>
      <c r="G7" s="4"/>
      <c r="H7" s="4"/>
      <c r="I7" s="4"/>
      <c r="J7" s="4" t="s">
        <v>22</v>
      </c>
      <c r="K7" s="12" t="s">
        <v>23</v>
      </c>
    </row>
    <row r="8">
      <c r="A8" s="8"/>
      <c r="B8" s="8"/>
      <c r="C8" s="11" t="s">
        <v>63</v>
      </c>
      <c r="D8" s="110">
        <v>0.3</v>
      </c>
      <c r="E8" s="115"/>
      <c r="F8" s="20"/>
      <c r="G8" s="4"/>
      <c r="H8" s="4"/>
      <c r="I8" s="4"/>
    </row>
    <row r="9">
      <c r="A9" s="8"/>
      <c r="B9" s="8"/>
      <c r="C9" s="11" t="s">
        <v>129</v>
      </c>
      <c r="D9" s="112">
        <v>7000.0</v>
      </c>
      <c r="E9" s="113">
        <v>7000.0</v>
      </c>
      <c r="F9" s="3"/>
      <c r="G9" s="4"/>
      <c r="H9" s="4"/>
      <c r="I9" s="4"/>
    </row>
    <row r="10">
      <c r="A10" s="8"/>
      <c r="B10" s="8"/>
      <c r="C10" s="11" t="s">
        <v>130</v>
      </c>
      <c r="D10" s="114"/>
      <c r="E10" s="114"/>
      <c r="F10" s="3"/>
      <c r="G10" s="4"/>
      <c r="H10" s="4"/>
      <c r="I10" s="4"/>
      <c r="J10" s="4"/>
      <c r="K10" s="12"/>
    </row>
    <row r="11">
      <c r="A11" s="8"/>
      <c r="B11" s="8"/>
      <c r="C11" s="4" t="s">
        <v>27</v>
      </c>
      <c r="D11" s="117">
        <f t="shared" ref="D11:E11" si="1">D10*D9</f>
        <v>0</v>
      </c>
      <c r="E11" s="117">
        <f t="shared" si="1"/>
        <v>0</v>
      </c>
      <c r="F11" s="19"/>
      <c r="G11" s="4"/>
      <c r="H11" s="4"/>
      <c r="I11" s="4"/>
      <c r="J11" s="4"/>
      <c r="K11" s="4"/>
      <c r="L11" s="4"/>
      <c r="M11" s="4"/>
    </row>
    <row r="12">
      <c r="A12" s="8"/>
      <c r="B12" s="8"/>
      <c r="C12" s="11" t="s">
        <v>64</v>
      </c>
      <c r="D12" s="116">
        <v>4.24</v>
      </c>
      <c r="E12" s="116">
        <v>14.0</v>
      </c>
      <c r="F12" s="3"/>
      <c r="G12" s="4"/>
      <c r="H12" s="4"/>
      <c r="I12" s="4"/>
      <c r="J12" s="4"/>
      <c r="K12" s="4"/>
      <c r="L12" s="4"/>
      <c r="M12" s="4"/>
    </row>
    <row r="13">
      <c r="A13" s="8"/>
      <c r="B13" s="8"/>
      <c r="C13" s="4" t="s">
        <v>65</v>
      </c>
      <c r="D13" s="4"/>
      <c r="E13" s="119">
        <v>500.0</v>
      </c>
      <c r="F13" s="4"/>
      <c r="G13" s="4"/>
      <c r="H13" s="4"/>
      <c r="I13" s="4"/>
      <c r="J13" s="4"/>
      <c r="K13" s="4"/>
      <c r="L13" s="4"/>
      <c r="M13" s="4"/>
    </row>
    <row r="14">
      <c r="A14" s="8"/>
      <c r="B14" s="8"/>
      <c r="C14" s="4" t="s">
        <v>140</v>
      </c>
      <c r="D14" s="119">
        <f>D9/D12</f>
        <v>1650.943396</v>
      </c>
      <c r="E14" s="4"/>
      <c r="F14" s="4"/>
      <c r="G14" s="4"/>
      <c r="H14" s="4"/>
      <c r="I14" s="4"/>
      <c r="J14" s="4"/>
      <c r="K14" s="4"/>
      <c r="L14" s="4"/>
      <c r="M14" s="4"/>
    </row>
    <row r="15">
      <c r="A15" s="8"/>
      <c r="B15" s="8"/>
      <c r="C15" s="4" t="s">
        <v>67</v>
      </c>
      <c r="D15" s="120">
        <f>D8*D14</f>
        <v>495.2830189</v>
      </c>
      <c r="E15" s="107">
        <f>E13*E7</f>
        <v>2650</v>
      </c>
      <c r="F15" s="4"/>
      <c r="G15" s="4"/>
      <c r="H15" s="3"/>
      <c r="I15" s="4"/>
      <c r="J15" s="4"/>
      <c r="K15" s="4"/>
      <c r="L15" s="4"/>
      <c r="M15" s="4"/>
    </row>
    <row r="16">
      <c r="A16" s="8"/>
      <c r="B16" s="8"/>
      <c r="C16" s="9"/>
      <c r="D16" s="121"/>
      <c r="E16" s="9"/>
      <c r="F16" s="30"/>
      <c r="G16" s="4"/>
      <c r="H16" s="3"/>
      <c r="I16" s="4"/>
      <c r="J16" s="4"/>
      <c r="K16" s="4"/>
      <c r="L16" s="4"/>
      <c r="M16" s="4"/>
    </row>
    <row r="17">
      <c r="A17" s="4"/>
      <c r="B17" s="4"/>
      <c r="C17" s="31" t="s">
        <v>34</v>
      </c>
      <c r="D17" s="6" t="s">
        <v>2</v>
      </c>
      <c r="E17" s="7" t="s">
        <v>69</v>
      </c>
      <c r="F17" s="6" t="s">
        <v>35</v>
      </c>
      <c r="G17" s="4"/>
      <c r="H17" s="4"/>
      <c r="I17" s="4"/>
      <c r="J17" s="4"/>
      <c r="K17" s="4"/>
      <c r="L17" s="4"/>
      <c r="M17" s="4"/>
    </row>
    <row r="18">
      <c r="A18" s="31"/>
      <c r="B18" s="31"/>
      <c r="C18" s="32">
        <v>1.0</v>
      </c>
      <c r="D18" s="107">
        <f>D6+(C18*D15)+(D11*C18)</f>
        <v>42995.28302</v>
      </c>
      <c r="E18" s="107">
        <f>E6+(E15*C18)+(E11*C18)</f>
        <v>44590</v>
      </c>
      <c r="F18" s="122">
        <f t="shared" ref="F18:F27" si="2">$E18-$D18</f>
        <v>1594.716981</v>
      </c>
      <c r="G18" s="4"/>
      <c r="H18" s="4"/>
      <c r="I18" s="4"/>
      <c r="J18" s="4"/>
      <c r="K18" s="4"/>
      <c r="L18" s="4"/>
      <c r="M18" s="4"/>
    </row>
    <row r="19">
      <c r="A19" s="35"/>
      <c r="B19" s="35"/>
      <c r="C19" s="32">
        <v>2.0</v>
      </c>
      <c r="D19" s="107">
        <f>D6+(C19*D15)+(D11*C19)</f>
        <v>43490.56604</v>
      </c>
      <c r="E19" s="107">
        <f>E6+(E15*C19)+(E11*C19)</f>
        <v>47240</v>
      </c>
      <c r="F19" s="122">
        <f t="shared" si="2"/>
        <v>3749.433962</v>
      </c>
      <c r="G19" s="4"/>
      <c r="H19" s="3"/>
      <c r="I19" s="4"/>
      <c r="J19" s="4"/>
      <c r="K19" s="4"/>
      <c r="L19" s="4"/>
      <c r="M19" s="4"/>
    </row>
    <row r="20">
      <c r="A20" s="35"/>
      <c r="B20" s="35"/>
      <c r="C20" s="32">
        <v>3.0</v>
      </c>
      <c r="D20" s="107">
        <f>D6+(C20*D15)+(D11*C20)</f>
        <v>43985.84906</v>
      </c>
      <c r="E20" s="107">
        <f>E6+(E15*C20)+(E11*C20)</f>
        <v>49890</v>
      </c>
      <c r="F20" s="122">
        <f t="shared" si="2"/>
        <v>5904.150943</v>
      </c>
      <c r="G20" s="4"/>
      <c r="H20" s="4"/>
      <c r="I20" s="4"/>
      <c r="J20" s="4"/>
      <c r="K20" s="4"/>
      <c r="L20" s="4"/>
      <c r="M20" s="4"/>
    </row>
    <row r="21">
      <c r="A21" s="35"/>
      <c r="B21" s="35"/>
      <c r="C21" s="32">
        <v>4.0</v>
      </c>
      <c r="D21" s="107">
        <f>D6+(C21*D15)+(D11*C21)</f>
        <v>44481.13208</v>
      </c>
      <c r="E21" s="107">
        <f>E6+(E15*C21)+(E11*C21)</f>
        <v>52540</v>
      </c>
      <c r="F21" s="122">
        <f t="shared" si="2"/>
        <v>8058.867925</v>
      </c>
      <c r="G21" s="4"/>
      <c r="H21" s="4"/>
      <c r="I21" s="4"/>
      <c r="J21" s="4"/>
      <c r="K21" s="4"/>
      <c r="L21" s="4"/>
      <c r="M21" s="4"/>
    </row>
    <row r="22">
      <c r="A22" s="35"/>
      <c r="B22" s="35"/>
      <c r="C22" s="32">
        <v>5.0</v>
      </c>
      <c r="D22" s="107">
        <f>D6+(C22*D15)+(D11*C22)</f>
        <v>44976.41509</v>
      </c>
      <c r="E22" s="107">
        <f>E6+(E15*C22)+(E11*C22)</f>
        <v>55190</v>
      </c>
      <c r="F22" s="122">
        <f t="shared" si="2"/>
        <v>10213.58491</v>
      </c>
      <c r="G22" s="4"/>
      <c r="H22" s="3"/>
      <c r="I22" s="4"/>
      <c r="J22" s="4"/>
      <c r="K22" s="4"/>
      <c r="L22" s="4"/>
      <c r="M22" s="4"/>
    </row>
    <row r="23">
      <c r="A23" s="35"/>
      <c r="B23" s="35"/>
      <c r="C23" s="32">
        <v>6.0</v>
      </c>
      <c r="D23" s="107">
        <f>D6+(C23*D15)+(D11*C23)</f>
        <v>45471.69811</v>
      </c>
      <c r="E23" s="107">
        <f>E6+(E15*C23)+(E11*C23)</f>
        <v>57840</v>
      </c>
      <c r="F23" s="122">
        <f t="shared" si="2"/>
        <v>12368.30189</v>
      </c>
      <c r="G23" s="4"/>
      <c r="H23" s="4"/>
      <c r="I23" s="4"/>
      <c r="J23" s="4"/>
      <c r="K23" s="4"/>
      <c r="L23" s="4"/>
      <c r="M23" s="4"/>
    </row>
    <row r="24">
      <c r="A24" s="35"/>
      <c r="B24" s="35"/>
      <c r="C24" s="32">
        <v>7.0</v>
      </c>
      <c r="D24" s="107">
        <f>D6+(C24*D15)+(D11*C24)</f>
        <v>45966.98113</v>
      </c>
      <c r="E24" s="107">
        <f>E6+(E15*C24)+(E11*C24)</f>
        <v>60490</v>
      </c>
      <c r="F24" s="122">
        <f t="shared" si="2"/>
        <v>14523.01887</v>
      </c>
      <c r="G24" s="4"/>
      <c r="H24" s="4"/>
      <c r="I24" s="4"/>
      <c r="J24" s="4"/>
      <c r="K24" s="4"/>
      <c r="L24" s="4"/>
      <c r="M24" s="4"/>
    </row>
    <row r="25">
      <c r="A25" s="35"/>
      <c r="B25" s="35"/>
      <c r="C25" s="32">
        <v>8.0</v>
      </c>
      <c r="D25" s="107">
        <f>D6+(C25*D15)+(D11*C25)</f>
        <v>46462.26415</v>
      </c>
      <c r="E25" s="107">
        <f>E6+(E15*C25)+(E11*C25)</f>
        <v>63140</v>
      </c>
      <c r="F25" s="122">
        <f t="shared" si="2"/>
        <v>16677.73585</v>
      </c>
      <c r="G25" s="4"/>
      <c r="H25" s="4"/>
      <c r="I25" s="4"/>
      <c r="J25" s="4"/>
      <c r="K25" s="4"/>
      <c r="L25" s="4"/>
      <c r="M25" s="4"/>
    </row>
    <row r="26">
      <c r="A26" s="35"/>
      <c r="B26" s="35"/>
      <c r="C26" s="32">
        <v>9.0</v>
      </c>
      <c r="D26" s="107">
        <f>D6+(C26*D15)+(D11*C26)+D16</f>
        <v>46957.54717</v>
      </c>
      <c r="E26" s="107">
        <f>E6+(E15*C26)+(E11*C26)</f>
        <v>65790</v>
      </c>
      <c r="F26" s="122">
        <f t="shared" si="2"/>
        <v>18832.45283</v>
      </c>
      <c r="G26" s="4"/>
      <c r="H26" s="4"/>
      <c r="I26" s="4"/>
      <c r="J26" s="4"/>
      <c r="K26" s="4"/>
      <c r="L26" s="4"/>
      <c r="M26" s="4"/>
    </row>
    <row r="27">
      <c r="A27" s="35"/>
      <c r="B27" s="35"/>
      <c r="C27" s="32">
        <v>10.0</v>
      </c>
      <c r="D27" s="107">
        <f>D6+(C27*D15)+(D11*C27)+D16</f>
        <v>47452.83019</v>
      </c>
      <c r="E27" s="107">
        <f>E6+(E15*C27)+(E11*C27)</f>
        <v>68440</v>
      </c>
      <c r="F27" s="122">
        <f t="shared" si="2"/>
        <v>20987.16981</v>
      </c>
      <c r="G27" s="4"/>
      <c r="H27" s="4"/>
      <c r="I27" s="4"/>
      <c r="J27" s="4"/>
      <c r="K27" s="4"/>
      <c r="L27" s="4"/>
      <c r="M27" s="4"/>
    </row>
    <row r="28">
      <c r="A28" s="35"/>
      <c r="B28" s="35"/>
      <c r="C28" s="35"/>
      <c r="D28" s="37"/>
      <c r="E28" s="37"/>
      <c r="F28" s="4"/>
      <c r="G28" s="4"/>
      <c r="H28" s="4"/>
      <c r="I28" s="4"/>
      <c r="J28" s="4"/>
      <c r="K28" s="4"/>
      <c r="L28" s="4"/>
      <c r="M28" s="4"/>
    </row>
    <row r="29">
      <c r="A29" s="35"/>
      <c r="B29" s="35"/>
      <c r="C29" s="35"/>
      <c r="D29" s="37"/>
      <c r="E29" s="37">
        <f>D27-E27</f>
        <v>-20987.16981</v>
      </c>
      <c r="F29" s="4"/>
      <c r="G29" s="4"/>
      <c r="H29" s="4"/>
      <c r="I29" s="4"/>
      <c r="J29" s="4"/>
      <c r="K29" s="4"/>
      <c r="L29" s="4"/>
      <c r="M29" s="4"/>
    </row>
    <row r="30">
      <c r="A30" s="35"/>
      <c r="B30" s="35"/>
      <c r="C30" s="35"/>
      <c r="D30" s="37"/>
      <c r="E30" s="37"/>
      <c r="F30" s="4"/>
      <c r="G30" s="4"/>
      <c r="H30" s="4"/>
      <c r="I30" s="4"/>
      <c r="J30" s="4"/>
      <c r="K30" s="4"/>
      <c r="L30" s="4"/>
      <c r="M30" s="4"/>
    </row>
    <row r="31">
      <c r="A31" s="35"/>
      <c r="B31" s="35"/>
      <c r="F31" s="4"/>
      <c r="G31" s="4"/>
      <c r="H31" s="4"/>
      <c r="I31" s="4"/>
      <c r="J31" s="4"/>
      <c r="K31" s="4"/>
      <c r="L31" s="4"/>
      <c r="M31" s="4"/>
    </row>
  </sheetData>
  <mergeCells count="4">
    <mergeCell ref="K10:M10"/>
    <mergeCell ref="K7:M7"/>
    <mergeCell ref="H3:H6"/>
    <mergeCell ref="C1:E1"/>
  </mergeCells>
  <hyperlinks>
    <hyperlink r:id="rId1" ref="K3"/>
    <hyperlink r:id="rId2" ref="K5"/>
    <hyperlink r:id="rId3" ref="K6"/>
    <hyperlink r:id="rId4" ref="K7"/>
  </hyperlinks>
  <drawing r:id="rId5"/>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2" max="2" width="3.71"/>
    <col customWidth="1" min="3" max="3" width="29.29"/>
    <col customWidth="1" min="4" max="4" width="19.0"/>
    <col customWidth="1" min="5" max="5" width="31.86"/>
    <col customWidth="1" min="6" max="6" width="41.43"/>
    <col customWidth="1" min="7" max="7" width="25.14"/>
    <col customWidth="1" min="8" max="8" width="45.43"/>
    <col customWidth="1" min="9" max="9" width="3.0"/>
    <col customWidth="1" min="10" max="10" width="27.0"/>
  </cols>
  <sheetData>
    <row r="1">
      <c r="A1" s="46"/>
      <c r="B1" s="1"/>
      <c r="C1" s="31" t="s">
        <v>123</v>
      </c>
      <c r="D1" s="6" t="s">
        <v>134</v>
      </c>
      <c r="E1" s="7" t="s">
        <v>135</v>
      </c>
      <c r="F1" s="3"/>
      <c r="G1" s="4"/>
      <c r="H1" s="4"/>
      <c r="I1" s="4"/>
      <c r="J1" s="4" t="s">
        <v>5</v>
      </c>
      <c r="K1" s="4"/>
      <c r="L1" s="4"/>
      <c r="M1" s="4"/>
    </row>
    <row r="2">
      <c r="A2" s="8"/>
      <c r="B2" s="8"/>
      <c r="C2" s="9" t="s">
        <v>7</v>
      </c>
      <c r="D2" s="102">
        <v>13000.0</v>
      </c>
      <c r="E2" s="102">
        <v>12000.0</v>
      </c>
      <c r="F2" s="3"/>
      <c r="G2" s="11">
        <v>0.0</v>
      </c>
      <c r="H2" s="9" t="s">
        <v>8</v>
      </c>
      <c r="I2" s="4"/>
      <c r="J2" s="4" t="s">
        <v>9</v>
      </c>
      <c r="K2" s="12" t="s">
        <v>10</v>
      </c>
      <c r="L2" s="4"/>
      <c r="M2" s="4"/>
    </row>
    <row r="3">
      <c r="A3" s="13"/>
      <c r="B3" s="13"/>
      <c r="C3" s="16" t="s">
        <v>13</v>
      </c>
      <c r="D3" s="102">
        <v>0.0</v>
      </c>
      <c r="E3" s="102"/>
      <c r="F3" s="15"/>
      <c r="G3" s="11">
        <v>0.0</v>
      </c>
      <c r="I3" s="4"/>
      <c r="J3" s="4" t="s">
        <v>14</v>
      </c>
      <c r="K3" s="12" t="s">
        <v>15</v>
      </c>
      <c r="L3" s="4"/>
      <c r="M3" s="4"/>
    </row>
    <row r="4">
      <c r="A4" s="13"/>
      <c r="B4" s="13"/>
      <c r="C4" s="105" t="s">
        <v>137</v>
      </c>
      <c r="D4" s="19">
        <f>D2+D3</f>
        <v>13000</v>
      </c>
      <c r="E4" s="19">
        <f>E2-E3</f>
        <v>12000</v>
      </c>
      <c r="F4" s="19"/>
      <c r="G4" s="11">
        <v>0.0</v>
      </c>
      <c r="I4" s="4"/>
      <c r="J4" s="4" t="s">
        <v>17</v>
      </c>
      <c r="K4" s="12" t="s">
        <v>18</v>
      </c>
      <c r="L4" s="4"/>
      <c r="M4" s="4"/>
    </row>
    <row r="5">
      <c r="A5" s="8"/>
      <c r="B5" s="8"/>
      <c r="C5" s="9" t="s">
        <v>20</v>
      </c>
      <c r="D5" s="108"/>
      <c r="E5" s="102">
        <v>2.75</v>
      </c>
      <c r="F5" s="3">
        <v>0.0</v>
      </c>
      <c r="G5" s="4"/>
      <c r="H5" s="4"/>
      <c r="I5" s="4"/>
      <c r="J5" s="4" t="s">
        <v>22</v>
      </c>
      <c r="K5" s="12" t="s">
        <v>23</v>
      </c>
    </row>
    <row r="6">
      <c r="A6" s="8"/>
      <c r="B6" s="8"/>
      <c r="C6" s="11" t="s">
        <v>63</v>
      </c>
      <c r="D6" s="102">
        <v>0.11</v>
      </c>
      <c r="E6" s="108"/>
      <c r="F6" s="20"/>
      <c r="G6" s="4"/>
      <c r="H6" s="4"/>
      <c r="I6" s="4"/>
    </row>
    <row r="7">
      <c r="A7" s="8"/>
      <c r="B7" s="8"/>
      <c r="C7" s="11" t="s">
        <v>138</v>
      </c>
      <c r="D7" s="112">
        <v>15000.0</v>
      </c>
      <c r="E7" s="113">
        <v>15000.0</v>
      </c>
      <c r="F7" s="3"/>
      <c r="G7" s="4"/>
      <c r="H7" s="4"/>
      <c r="I7" s="4"/>
    </row>
    <row r="8">
      <c r="A8" s="8"/>
      <c r="B8" s="8"/>
      <c r="C8" s="11" t="s">
        <v>130</v>
      </c>
      <c r="D8" s="114">
        <v>0.02</v>
      </c>
      <c r="E8" s="114">
        <v>0.035</v>
      </c>
      <c r="F8" s="3"/>
      <c r="G8" s="4"/>
      <c r="H8" s="4"/>
      <c r="I8" s="4"/>
      <c r="J8" s="4"/>
      <c r="K8" s="12"/>
    </row>
    <row r="9">
      <c r="A9" s="8"/>
      <c r="B9" s="8"/>
      <c r="C9" s="4" t="s">
        <v>27</v>
      </c>
      <c r="D9" s="19">
        <f t="shared" ref="D9:E9" si="1">D8*D7</f>
        <v>300</v>
      </c>
      <c r="E9" s="19">
        <f t="shared" si="1"/>
        <v>525</v>
      </c>
      <c r="F9" s="19"/>
      <c r="G9" s="4"/>
      <c r="H9" s="4"/>
      <c r="I9" s="4"/>
      <c r="J9" s="4"/>
      <c r="K9" s="4"/>
      <c r="L9" s="4"/>
      <c r="M9" s="4"/>
    </row>
    <row r="10">
      <c r="A10" s="8"/>
      <c r="B10" s="8"/>
      <c r="C10" s="9" t="s">
        <v>139</v>
      </c>
      <c r="D10" s="116">
        <v>135.0</v>
      </c>
      <c r="E10" s="116">
        <v>14.88</v>
      </c>
      <c r="F10" s="3"/>
      <c r="G10" s="4"/>
      <c r="H10" s="4"/>
      <c r="I10" s="4"/>
      <c r="J10" s="4"/>
      <c r="K10" s="4"/>
      <c r="L10" s="4"/>
      <c r="M10" s="4"/>
    </row>
    <row r="11">
      <c r="A11" s="8"/>
      <c r="B11" s="8"/>
      <c r="C11" s="4" t="s">
        <v>65</v>
      </c>
      <c r="D11" s="4"/>
      <c r="E11" s="118">
        <f>E7/E10</f>
        <v>1008.064516</v>
      </c>
      <c r="F11" s="4"/>
      <c r="G11" s="4"/>
      <c r="H11" s="4"/>
      <c r="I11" s="4"/>
      <c r="J11" s="4"/>
      <c r="K11" s="4"/>
      <c r="L11" s="4"/>
      <c r="M11" s="4"/>
    </row>
    <row r="12">
      <c r="A12" s="8"/>
      <c r="B12" s="8"/>
      <c r="C12" s="4" t="s">
        <v>140</v>
      </c>
      <c r="D12" s="118">
        <f>D7/(D10/34)</f>
        <v>3777.777778</v>
      </c>
      <c r="E12" s="4"/>
      <c r="F12" s="4"/>
      <c r="G12" s="4"/>
      <c r="H12" s="4"/>
      <c r="I12" s="4"/>
      <c r="J12" s="4"/>
      <c r="K12" s="4"/>
      <c r="L12" s="4"/>
      <c r="M12" s="4"/>
    </row>
    <row r="13">
      <c r="A13" s="8"/>
      <c r="B13" s="8"/>
      <c r="C13" s="4" t="s">
        <v>67</v>
      </c>
      <c r="D13" s="19">
        <f>D12*D6</f>
        <v>415.5555556</v>
      </c>
      <c r="E13" s="19">
        <f>E11*E5</f>
        <v>2772.177419</v>
      </c>
      <c r="F13" s="4"/>
      <c r="G13" s="4"/>
      <c r="H13" s="3"/>
      <c r="I13" s="4"/>
      <c r="J13" s="4"/>
      <c r="K13" s="4"/>
      <c r="L13" s="4"/>
      <c r="M13" s="4"/>
    </row>
    <row r="14">
      <c r="A14" s="8"/>
      <c r="B14" s="8"/>
      <c r="C14" s="9"/>
      <c r="D14" s="121"/>
      <c r="E14" s="9"/>
      <c r="F14" s="30"/>
      <c r="G14" s="4"/>
      <c r="H14" s="3"/>
      <c r="I14" s="4"/>
      <c r="J14" s="4"/>
      <c r="K14" s="4"/>
      <c r="L14" s="4"/>
      <c r="M14" s="4"/>
    </row>
    <row r="15">
      <c r="A15" s="4"/>
      <c r="B15" s="4"/>
      <c r="C15" s="31" t="s">
        <v>34</v>
      </c>
      <c r="D15" s="6" t="s">
        <v>141</v>
      </c>
      <c r="E15" s="7" t="s">
        <v>142</v>
      </c>
      <c r="F15" s="6" t="s">
        <v>35</v>
      </c>
      <c r="G15" s="4"/>
      <c r="H15" s="4"/>
      <c r="I15" s="4"/>
      <c r="J15" s="4"/>
      <c r="K15" s="4"/>
      <c r="L15" s="4"/>
      <c r="M15" s="4"/>
    </row>
    <row r="16">
      <c r="A16" s="31"/>
      <c r="B16" s="31"/>
      <c r="C16" s="32">
        <v>1.0</v>
      </c>
      <c r="D16" s="33">
        <f>D4+(C16*D13)+(D9*C16)</f>
        <v>13715.55556</v>
      </c>
      <c r="E16" s="33">
        <f>E4+(E13*C16)+(E9*C16)</f>
        <v>15297.17742</v>
      </c>
      <c r="F16" s="34">
        <f t="shared" ref="F16:F25" si="2">$E16-$D16</f>
        <v>1581.621864</v>
      </c>
      <c r="G16" s="4"/>
      <c r="H16" s="4"/>
      <c r="I16" s="4"/>
      <c r="J16" s="4"/>
      <c r="K16" s="4"/>
      <c r="L16" s="4"/>
      <c r="M16" s="4"/>
    </row>
    <row r="17">
      <c r="A17" s="35"/>
      <c r="B17" s="35"/>
      <c r="C17" s="32">
        <v>2.0</v>
      </c>
      <c r="D17" s="33">
        <f>D4+(C17*D13)+(D9*C17)</f>
        <v>14431.11111</v>
      </c>
      <c r="E17" s="33">
        <f>E4+(E13*C17)+(E9*C17)</f>
        <v>18594.35484</v>
      </c>
      <c r="F17" s="34">
        <f t="shared" si="2"/>
        <v>4163.243728</v>
      </c>
      <c r="G17" s="4"/>
      <c r="H17" s="3"/>
      <c r="I17" s="4"/>
      <c r="J17" s="4"/>
      <c r="K17" s="4"/>
      <c r="L17" s="4"/>
      <c r="M17" s="4"/>
    </row>
    <row r="18">
      <c r="A18" s="35"/>
      <c r="B18" s="35"/>
      <c r="C18" s="32">
        <v>3.0</v>
      </c>
      <c r="D18" s="33">
        <f>D4+(C18*D13)+(D9*C18)</f>
        <v>15146.66667</v>
      </c>
      <c r="E18" s="33">
        <f>E4+(E13*C18)+(E9*C18)</f>
        <v>21891.53226</v>
      </c>
      <c r="F18" s="34">
        <f t="shared" si="2"/>
        <v>6744.865591</v>
      </c>
      <c r="G18" s="4"/>
      <c r="H18" s="4"/>
      <c r="I18" s="4"/>
      <c r="J18" s="4"/>
      <c r="K18" s="4"/>
      <c r="L18" s="4"/>
      <c r="M18" s="4"/>
    </row>
    <row r="19">
      <c r="A19" s="35"/>
      <c r="B19" s="35"/>
      <c r="C19" s="32">
        <v>4.0</v>
      </c>
      <c r="D19" s="33">
        <f>D4+(C19*D13)+(D9*C19)</f>
        <v>15862.22222</v>
      </c>
      <c r="E19" s="33">
        <f>E4+(E13*C19)+(E9*C19)</f>
        <v>25188.70968</v>
      </c>
      <c r="F19" s="34">
        <f t="shared" si="2"/>
        <v>9326.487455</v>
      </c>
      <c r="G19" s="4"/>
      <c r="H19" s="4"/>
      <c r="I19" s="4"/>
      <c r="J19" s="4"/>
      <c r="K19" s="4"/>
      <c r="L19" s="4"/>
      <c r="M19" s="4"/>
    </row>
    <row r="20">
      <c r="A20" s="35"/>
      <c r="B20" s="35"/>
      <c r="C20" s="32">
        <v>5.0</v>
      </c>
      <c r="D20" s="33">
        <f>D4+(C20*D13)+(D9*C20)</f>
        <v>16577.77778</v>
      </c>
      <c r="E20" s="33">
        <f>E4+(E13*C20)+(E9*C20)</f>
        <v>28485.8871</v>
      </c>
      <c r="F20" s="34">
        <f t="shared" si="2"/>
        <v>11908.10932</v>
      </c>
      <c r="G20" s="4"/>
      <c r="H20" s="3"/>
      <c r="I20" s="4"/>
      <c r="J20" s="4"/>
      <c r="K20" s="4"/>
      <c r="L20" s="4"/>
      <c r="M20" s="4"/>
    </row>
    <row r="21">
      <c r="A21" s="35"/>
      <c r="B21" s="35"/>
      <c r="C21" s="32">
        <v>6.0</v>
      </c>
      <c r="D21" s="33">
        <f>D4+(C21*D13)+(D9*C21)</f>
        <v>17293.33333</v>
      </c>
      <c r="E21" s="33">
        <f>E4+(E13*C21)+(E9*C21)</f>
        <v>31783.06452</v>
      </c>
      <c r="F21" s="34">
        <f t="shared" si="2"/>
        <v>14489.73118</v>
      </c>
      <c r="G21" s="4"/>
      <c r="H21" s="4"/>
      <c r="I21" s="4"/>
      <c r="J21" s="4"/>
      <c r="K21" s="4"/>
      <c r="L21" s="4"/>
      <c r="M21" s="4"/>
    </row>
    <row r="22">
      <c r="A22" s="35"/>
      <c r="B22" s="35"/>
      <c r="C22" s="32">
        <v>7.0</v>
      </c>
      <c r="D22" s="33">
        <f>D4+(C22*D13)+(D9*C22)</f>
        <v>18008.88889</v>
      </c>
      <c r="E22" s="33">
        <f>E4+(E13*C22)+(E9*C22)</f>
        <v>35080.24194</v>
      </c>
      <c r="F22" s="34">
        <f t="shared" si="2"/>
        <v>17071.35305</v>
      </c>
      <c r="G22" s="4"/>
      <c r="H22" s="4"/>
      <c r="I22" s="4"/>
      <c r="J22" s="4"/>
      <c r="K22" s="4"/>
      <c r="L22" s="4"/>
      <c r="M22" s="4"/>
    </row>
    <row r="23">
      <c r="A23" s="35"/>
      <c r="B23" s="35"/>
      <c r="C23" s="32">
        <v>8.0</v>
      </c>
      <c r="D23" s="33">
        <f>D4+(C23*D13)+(D9*C23)</f>
        <v>18724.44444</v>
      </c>
      <c r="E23" s="33">
        <f>E4+(E13*C23)+(E9*C23)</f>
        <v>38377.41935</v>
      </c>
      <c r="F23" s="34">
        <f t="shared" si="2"/>
        <v>19652.97491</v>
      </c>
      <c r="G23" s="4"/>
      <c r="H23" s="4"/>
      <c r="I23" s="4"/>
      <c r="J23" s="4"/>
      <c r="K23" s="4"/>
      <c r="L23" s="4"/>
      <c r="M23" s="4"/>
    </row>
    <row r="24">
      <c r="A24" s="35"/>
      <c r="B24" s="35"/>
      <c r="C24" s="32">
        <v>9.0</v>
      </c>
      <c r="D24" s="33">
        <f>D4+(C24*D13)+(D9*C24)+D14</f>
        <v>19440</v>
      </c>
      <c r="E24" s="33">
        <f>E4+(E13*C24)+(E9*C24)</f>
        <v>41674.59677</v>
      </c>
      <c r="F24" s="34">
        <f t="shared" si="2"/>
        <v>22234.59677</v>
      </c>
      <c r="G24" s="4"/>
      <c r="H24" s="4"/>
      <c r="I24" s="4"/>
      <c r="J24" s="4"/>
      <c r="K24" s="4"/>
      <c r="L24" s="4"/>
      <c r="M24" s="4"/>
    </row>
    <row r="25">
      <c r="A25" s="35"/>
      <c r="B25" s="35"/>
      <c r="C25" s="32">
        <v>10.0</v>
      </c>
      <c r="D25" s="33">
        <f>D4+(C25*D13)+(D9*C25)+D14</f>
        <v>20155.55556</v>
      </c>
      <c r="E25" s="33">
        <f>E4+(E13*C25)+(E9*C25)</f>
        <v>44971.77419</v>
      </c>
      <c r="F25" s="34">
        <f t="shared" si="2"/>
        <v>24816.21864</v>
      </c>
      <c r="G25" s="4"/>
      <c r="H25" s="4"/>
      <c r="I25" s="4"/>
      <c r="J25" s="4"/>
      <c r="K25" s="4"/>
      <c r="L25" s="4"/>
      <c r="M25" s="4"/>
    </row>
    <row r="26">
      <c r="A26" s="35"/>
      <c r="B26" s="35"/>
      <c r="C26" s="35"/>
      <c r="D26" s="37"/>
      <c r="E26" s="37"/>
      <c r="F26" s="4"/>
      <c r="G26" s="4"/>
      <c r="H26" s="4"/>
      <c r="I26" s="4"/>
      <c r="J26" s="4"/>
      <c r="K26" s="4"/>
      <c r="L26" s="4"/>
      <c r="M26" s="4"/>
    </row>
    <row r="27">
      <c r="A27" s="35"/>
      <c r="B27" s="35"/>
      <c r="C27" s="35"/>
      <c r="D27" s="37"/>
      <c r="E27" s="37"/>
      <c r="F27" s="4"/>
      <c r="G27" s="4"/>
      <c r="H27" s="4"/>
      <c r="I27" s="4"/>
      <c r="J27" s="4"/>
      <c r="K27" s="4"/>
      <c r="L27" s="4"/>
      <c r="M27" s="4"/>
    </row>
    <row r="28">
      <c r="A28" s="35"/>
      <c r="B28" s="35"/>
      <c r="C28" s="35"/>
      <c r="D28" s="37"/>
      <c r="E28" s="37"/>
      <c r="F28" s="4"/>
      <c r="G28" s="4"/>
      <c r="H28" s="4"/>
      <c r="I28" s="4"/>
      <c r="J28" s="4"/>
      <c r="K28" s="4"/>
      <c r="L28" s="4"/>
      <c r="M28" s="4"/>
    </row>
    <row r="29">
      <c r="A29" s="35"/>
      <c r="B29" s="35"/>
      <c r="F29" s="4"/>
      <c r="G29" s="4"/>
      <c r="H29" s="4"/>
      <c r="I29" s="4"/>
      <c r="J29" s="4"/>
      <c r="K29" s="4"/>
      <c r="L29" s="4"/>
      <c r="M29" s="4"/>
    </row>
  </sheetData>
  <mergeCells count="3">
    <mergeCell ref="H2:H4"/>
    <mergeCell ref="K8:M8"/>
    <mergeCell ref="K5:M5"/>
  </mergeCells>
  <hyperlinks>
    <hyperlink r:id="rId1" ref="K2"/>
    <hyperlink r:id="rId2" ref="K3"/>
    <hyperlink r:id="rId3" ref="K4"/>
    <hyperlink r:id="rId4" ref="K5"/>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7.14"/>
    <col customWidth="1" min="3" max="3" width="38.86"/>
    <col customWidth="1" min="4" max="4" width="41.57"/>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2</v>
      </c>
      <c r="D3" s="7" t="s">
        <v>38</v>
      </c>
      <c r="E3" s="3"/>
      <c r="F3" s="4"/>
      <c r="G3" s="4"/>
      <c r="H3" s="4"/>
      <c r="I3" s="4" t="s">
        <v>5</v>
      </c>
      <c r="J3" s="4"/>
      <c r="K3" s="4"/>
      <c r="L3" s="4"/>
    </row>
    <row r="4">
      <c r="A4" s="8"/>
      <c r="B4" s="9" t="s">
        <v>7</v>
      </c>
      <c r="C4" s="10">
        <v>39500.0</v>
      </c>
      <c r="D4" s="10">
        <v>23945.0</v>
      </c>
      <c r="E4" s="3"/>
      <c r="F4" s="11">
        <v>20000.0</v>
      </c>
      <c r="G4" s="9" t="s">
        <v>8</v>
      </c>
      <c r="H4" s="4"/>
      <c r="I4" s="4" t="s">
        <v>9</v>
      </c>
      <c r="J4" s="12" t="s">
        <v>10</v>
      </c>
      <c r="K4" s="4"/>
      <c r="L4" s="4"/>
    </row>
    <row r="5">
      <c r="A5" s="13"/>
      <c r="B5" s="11" t="s">
        <v>11</v>
      </c>
      <c r="C5" s="14">
        <f>C4*0.487</f>
        <v>19236.5</v>
      </c>
      <c r="D5" s="14">
        <f>D4*0.362</f>
        <v>8668.09</v>
      </c>
      <c r="E5" s="15"/>
      <c r="F5" s="11"/>
      <c r="H5" s="4"/>
      <c r="I5" s="4"/>
      <c r="J5" s="12"/>
      <c r="K5" s="4"/>
      <c r="L5" s="4"/>
    </row>
    <row r="6">
      <c r="A6" s="13"/>
      <c r="B6" s="11" t="s">
        <v>12</v>
      </c>
      <c r="C6" s="14">
        <f t="shared" ref="C6:D6" si="1">C4-C5</f>
        <v>20263.5</v>
      </c>
      <c r="D6" s="14">
        <f t="shared" si="1"/>
        <v>15276.91</v>
      </c>
      <c r="E6" s="15"/>
      <c r="F6" s="11"/>
      <c r="H6" s="4"/>
      <c r="I6" s="4"/>
      <c r="J6" s="12"/>
      <c r="K6" s="4"/>
      <c r="L6" s="4"/>
    </row>
    <row r="7">
      <c r="A7" s="13"/>
      <c r="B7" s="16" t="s">
        <v>13</v>
      </c>
      <c r="C7" s="10">
        <v>-3750.0</v>
      </c>
      <c r="D7" s="17">
        <v>0.0</v>
      </c>
      <c r="E7" s="15"/>
      <c r="F7" s="11">
        <v>1.3</v>
      </c>
      <c r="H7" s="4"/>
      <c r="I7" s="4" t="s">
        <v>14</v>
      </c>
      <c r="J7" s="12" t="s">
        <v>15</v>
      </c>
      <c r="K7" s="4"/>
      <c r="L7" s="4"/>
    </row>
    <row r="8">
      <c r="A8" s="13"/>
      <c r="B8" s="3" t="s">
        <v>16</v>
      </c>
      <c r="C8" s="18">
        <f t="shared" ref="C8:D8" si="2">SUM(C6:C7)</f>
        <v>16513.5</v>
      </c>
      <c r="D8" s="18">
        <f t="shared" si="2"/>
        <v>15276.91</v>
      </c>
      <c r="E8" s="19"/>
      <c r="F8" s="11">
        <v>0.0</v>
      </c>
      <c r="H8" s="4"/>
      <c r="I8" s="4" t="s">
        <v>17</v>
      </c>
      <c r="J8" s="12" t="s">
        <v>18</v>
      </c>
      <c r="K8" s="4"/>
      <c r="L8" s="4"/>
    </row>
    <row r="9">
      <c r="A9" s="8"/>
      <c r="B9" s="11" t="s">
        <v>19</v>
      </c>
      <c r="C9" s="14">
        <v>5039.41</v>
      </c>
      <c r="D9" s="14">
        <v>2767.29</v>
      </c>
      <c r="E9" s="3"/>
      <c r="F9" s="4"/>
      <c r="G9" s="4"/>
      <c r="H9" s="4"/>
      <c r="I9" s="4"/>
      <c r="J9" s="12"/>
      <c r="K9" s="12"/>
      <c r="L9" s="12"/>
    </row>
    <row r="10">
      <c r="A10" s="8"/>
      <c r="B10" s="11" t="s">
        <v>20</v>
      </c>
      <c r="C10" s="14" t="s">
        <v>21</v>
      </c>
      <c r="D10" s="14">
        <v>3.0</v>
      </c>
      <c r="E10" s="3"/>
      <c r="F10" s="4"/>
      <c r="G10" s="4"/>
      <c r="H10" s="4"/>
      <c r="I10" s="4" t="s">
        <v>22</v>
      </c>
      <c r="J10" s="12" t="s">
        <v>23</v>
      </c>
    </row>
    <row r="11">
      <c r="A11" s="8"/>
      <c r="B11" s="11" t="s">
        <v>24</v>
      </c>
      <c r="C11" s="14">
        <v>0.1</v>
      </c>
      <c r="D11" s="14" t="s">
        <v>21</v>
      </c>
      <c r="E11" s="20"/>
      <c r="F11" s="4"/>
      <c r="G11" s="4"/>
      <c r="H11" s="4"/>
    </row>
    <row r="12">
      <c r="A12" s="8"/>
      <c r="B12" s="11" t="s">
        <v>25</v>
      </c>
      <c r="C12" s="21">
        <v>13500.0</v>
      </c>
      <c r="D12" s="21">
        <v>13500.0</v>
      </c>
      <c r="E12" s="3"/>
      <c r="F12" s="4"/>
      <c r="G12" s="4"/>
      <c r="H12" s="4"/>
    </row>
    <row r="13">
      <c r="A13" s="8"/>
      <c r="B13" s="11" t="s">
        <v>26</v>
      </c>
      <c r="C13" s="10">
        <v>0.0</v>
      </c>
      <c r="D13" s="10">
        <v>0.0</v>
      </c>
      <c r="E13" s="3"/>
      <c r="F13" s="4"/>
      <c r="G13" s="4"/>
      <c r="H13" s="4"/>
      <c r="I13" s="4"/>
      <c r="J13" s="12"/>
    </row>
    <row r="14">
      <c r="A14" s="8"/>
      <c r="B14" s="4" t="s">
        <v>27</v>
      </c>
      <c r="C14" s="22">
        <f t="shared" ref="C14:D14" si="3">C13*C12</f>
        <v>0</v>
      </c>
      <c r="D14" s="22">
        <f t="shared" si="3"/>
        <v>0</v>
      </c>
      <c r="E14" s="19"/>
      <c r="F14" s="4"/>
      <c r="G14" s="4"/>
      <c r="H14" s="4"/>
      <c r="I14" s="4"/>
      <c r="J14" s="4"/>
      <c r="K14" s="4"/>
      <c r="L14" s="4"/>
    </row>
    <row r="15">
      <c r="A15" s="8"/>
      <c r="B15" s="11" t="s">
        <v>28</v>
      </c>
      <c r="C15" s="23">
        <v>4.0</v>
      </c>
      <c r="D15" s="23">
        <v>34.0</v>
      </c>
      <c r="E15" s="3"/>
      <c r="F15" s="4"/>
      <c r="G15" s="4"/>
      <c r="H15" s="4"/>
      <c r="I15" s="4"/>
      <c r="J15" s="4"/>
      <c r="K15" s="4"/>
      <c r="L15" s="4"/>
    </row>
    <row r="16">
      <c r="A16" s="8"/>
      <c r="B16" s="3" t="s">
        <v>29</v>
      </c>
      <c r="C16" s="24" t="s">
        <v>21</v>
      </c>
      <c r="D16" s="25">
        <f>D12/D15</f>
        <v>397.0588235</v>
      </c>
      <c r="E16" s="4"/>
      <c r="F16" s="4"/>
      <c r="G16" s="4"/>
      <c r="H16" s="4"/>
      <c r="I16" s="4"/>
      <c r="J16" s="4"/>
      <c r="K16" s="4"/>
      <c r="L16" s="4"/>
    </row>
    <row r="17">
      <c r="A17" s="8"/>
      <c r="B17" s="3" t="s">
        <v>30</v>
      </c>
      <c r="C17" s="26">
        <f>C12/C15</f>
        <v>3375</v>
      </c>
      <c r="D17" s="24" t="s">
        <v>21</v>
      </c>
      <c r="E17" s="4"/>
      <c r="F17" s="4"/>
      <c r="G17" s="4"/>
      <c r="H17" s="4"/>
      <c r="I17" s="4"/>
      <c r="J17" s="4"/>
      <c r="K17" s="4"/>
      <c r="L17" s="4"/>
    </row>
    <row r="18">
      <c r="A18" s="8"/>
      <c r="B18" s="3" t="s">
        <v>32</v>
      </c>
      <c r="C18" s="27">
        <f>C11*C17</f>
        <v>337.5</v>
      </c>
      <c r="D18" s="18">
        <f>D16*D10</f>
        <v>1191.176471</v>
      </c>
      <c r="E18" s="4"/>
      <c r="F18" s="4"/>
      <c r="G18" s="3"/>
      <c r="H18" s="4"/>
      <c r="I18" s="4"/>
      <c r="J18" s="4"/>
      <c r="K18" s="4"/>
      <c r="L18" s="4"/>
    </row>
    <row r="19">
      <c r="A19" s="8"/>
      <c r="B19" s="28" t="s">
        <v>33</v>
      </c>
      <c r="C19" s="29">
        <f t="shared" ref="C19:D19" si="4">C28</f>
        <v>23240.41</v>
      </c>
      <c r="D19" s="29">
        <f t="shared" si="4"/>
        <v>24000.08235</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38</v>
      </c>
      <c r="E23" s="6" t="s">
        <v>35</v>
      </c>
      <c r="F23" s="4"/>
      <c r="G23" s="4"/>
      <c r="H23" s="4"/>
      <c r="I23" s="4"/>
      <c r="J23" s="4"/>
      <c r="K23" s="4"/>
      <c r="L23" s="4"/>
    </row>
    <row r="24">
      <c r="A24" s="31"/>
      <c r="B24" s="32">
        <v>1.0</v>
      </c>
      <c r="C24" s="33"/>
      <c r="D24" s="33"/>
      <c r="E24" s="34">
        <f t="shared" ref="E24:E33" si="5">$D24-$C24</f>
        <v>0</v>
      </c>
      <c r="F24" s="4"/>
      <c r="G24" s="4"/>
      <c r="H24" s="4"/>
      <c r="I24" s="4"/>
      <c r="J24" s="4"/>
      <c r="K24" s="4"/>
      <c r="L24" s="4"/>
    </row>
    <row r="25">
      <c r="A25" s="35"/>
      <c r="B25" s="32">
        <v>2.0</v>
      </c>
      <c r="C25" s="33"/>
      <c r="D25" s="33"/>
      <c r="E25" s="34">
        <f t="shared" si="5"/>
        <v>0</v>
      </c>
      <c r="F25" s="4"/>
      <c r="G25" s="3"/>
      <c r="H25" s="4"/>
      <c r="I25" s="4"/>
      <c r="J25" s="4"/>
      <c r="K25" s="4"/>
      <c r="L25" s="4"/>
    </row>
    <row r="26">
      <c r="A26" s="35"/>
      <c r="B26" s="32">
        <v>3.0</v>
      </c>
      <c r="C26" s="33">
        <f>C8+(B26*C18)+(C14*B26)</f>
        <v>17526</v>
      </c>
      <c r="D26" s="33">
        <f>D8+(D18*B26)+(D14*B26)</f>
        <v>18850.43941</v>
      </c>
      <c r="E26" s="34">
        <f t="shared" si="5"/>
        <v>1324.439412</v>
      </c>
      <c r="F26" s="4"/>
      <c r="G26" s="4"/>
      <c r="H26" s="4"/>
      <c r="I26" s="4"/>
      <c r="J26" s="4"/>
      <c r="K26" s="4"/>
      <c r="L26" s="4"/>
    </row>
    <row r="27">
      <c r="A27" s="35"/>
      <c r="B27" s="32">
        <v>4.0</v>
      </c>
      <c r="C27" s="33"/>
      <c r="D27" s="33"/>
      <c r="E27" s="34">
        <f t="shared" si="5"/>
        <v>0</v>
      </c>
      <c r="F27" s="4"/>
      <c r="G27" s="4"/>
      <c r="H27" s="4"/>
      <c r="I27" s="4"/>
      <c r="J27" s="4"/>
      <c r="K27" s="4"/>
      <c r="L27" s="4"/>
    </row>
    <row r="28">
      <c r="A28" s="35"/>
      <c r="B28" s="35">
        <v>5.0</v>
      </c>
      <c r="C28" s="36">
        <f>C8+(B28*C18)+(C14*B28)+C9</f>
        <v>23240.41</v>
      </c>
      <c r="D28" s="36">
        <f>D8+(D18*B28)+(D14*B28)+D9</f>
        <v>24000.08235</v>
      </c>
      <c r="E28" s="34">
        <f t="shared" si="5"/>
        <v>759.6723529</v>
      </c>
      <c r="F28" s="4"/>
      <c r="G28" s="3"/>
      <c r="H28" s="4"/>
      <c r="I28" s="4"/>
      <c r="J28" s="4"/>
      <c r="K28" s="4"/>
      <c r="L28" s="4"/>
    </row>
    <row r="29">
      <c r="A29" s="35"/>
      <c r="B29" s="32">
        <v>6.0</v>
      </c>
      <c r="C29" s="33">
        <f>C8+(B29*C18)+(C14*B29)</f>
        <v>18538.5</v>
      </c>
      <c r="D29" s="33">
        <f>D8+(D18*B29)+(D14*B29)+480</f>
        <v>22903.96882</v>
      </c>
      <c r="E29" s="34">
        <f t="shared" si="5"/>
        <v>4365.468824</v>
      </c>
      <c r="F29" s="4"/>
      <c r="G29" s="4"/>
      <c r="H29" s="4"/>
      <c r="I29" s="4"/>
      <c r="J29" s="4"/>
      <c r="K29" s="4"/>
      <c r="L29" s="4"/>
    </row>
    <row r="30">
      <c r="A30" s="35"/>
      <c r="B30" s="32">
        <v>7.0</v>
      </c>
      <c r="C30" s="33">
        <f>C8+(B30*C18)+(C14*B30)</f>
        <v>18876</v>
      </c>
      <c r="D30" s="33">
        <f>D8+(D18*B30)+(D14*B30)+480</f>
        <v>24095.14529</v>
      </c>
      <c r="E30" s="34">
        <f t="shared" si="5"/>
        <v>5219.145294</v>
      </c>
      <c r="F30" s="4"/>
      <c r="G30" s="4"/>
      <c r="H30" s="4"/>
      <c r="I30" s="4"/>
      <c r="J30" s="4"/>
      <c r="K30" s="4"/>
      <c r="L30" s="4"/>
    </row>
    <row r="31">
      <c r="A31" s="35"/>
      <c r="B31" s="32">
        <v>8.0</v>
      </c>
      <c r="C31" s="33">
        <f>C8+(B31*C18)+(C14*B31)</f>
        <v>19213.5</v>
      </c>
      <c r="D31" s="33">
        <f>D8+(D18*B31)+(D14*B31)+480</f>
        <v>25286.32176</v>
      </c>
      <c r="E31" s="34">
        <f t="shared" si="5"/>
        <v>6072.821765</v>
      </c>
      <c r="F31" s="4"/>
      <c r="G31" s="4"/>
      <c r="H31" s="4"/>
      <c r="I31" s="4"/>
      <c r="J31" s="4"/>
      <c r="K31" s="4"/>
      <c r="L31" s="4"/>
    </row>
    <row r="32">
      <c r="A32" s="35"/>
      <c r="B32" s="32">
        <v>9.0</v>
      </c>
      <c r="C32" s="33">
        <f>C8+(B32*C18)+(C14*B32)+C19</f>
        <v>42791.41</v>
      </c>
      <c r="D32" s="33">
        <f>D8+(D18*B32)+(D14*B32)+480</f>
        <v>26477.49824</v>
      </c>
      <c r="E32" s="34">
        <f t="shared" si="5"/>
        <v>-16313.91176</v>
      </c>
      <c r="F32" s="4"/>
      <c r="G32" s="4"/>
      <c r="H32" s="4"/>
      <c r="I32" s="4"/>
      <c r="J32" s="4"/>
      <c r="K32" s="4"/>
      <c r="L32" s="4"/>
    </row>
    <row r="33">
      <c r="A33" s="35"/>
      <c r="B33" s="32">
        <v>10.0</v>
      </c>
      <c r="C33" s="33">
        <f>C8+(B33*C18)+(C14*B33)+C19</f>
        <v>43128.91</v>
      </c>
      <c r="D33" s="33">
        <f>D8+(D18*B33)+(D14*B33)+480</f>
        <v>27668.67471</v>
      </c>
      <c r="E33" s="34">
        <f t="shared" si="5"/>
        <v>-15460.23529</v>
      </c>
      <c r="F33" s="4"/>
      <c r="G33" s="4"/>
      <c r="H33" s="4"/>
      <c r="I33" s="4"/>
      <c r="J33" s="4"/>
      <c r="K33" s="4"/>
      <c r="L33" s="4"/>
    </row>
    <row r="34">
      <c r="A34" s="35"/>
      <c r="B34" s="35"/>
      <c r="C34" s="37"/>
      <c r="D34" s="37"/>
      <c r="E34" s="4"/>
      <c r="F34" s="4"/>
      <c r="G34" s="4"/>
      <c r="H34" s="4"/>
      <c r="I34" s="4"/>
      <c r="J34" s="4"/>
      <c r="K34" s="4"/>
      <c r="L34" s="4"/>
    </row>
    <row r="35">
      <c r="A35" s="35"/>
      <c r="B35" s="35"/>
      <c r="C35" s="37"/>
      <c r="D35" s="37">
        <f>C33-D33</f>
        <v>15460.23529</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5">
    <mergeCell ref="J13:L13"/>
    <mergeCell ref="J10:L10"/>
    <mergeCell ref="G4:G8"/>
    <mergeCell ref="B1:D1"/>
    <mergeCell ref="B2:D2"/>
  </mergeCells>
  <hyperlinks>
    <hyperlink r:id="rId1" ref="J4"/>
    <hyperlink r:id="rId2" ref="J7"/>
    <hyperlink r:id="rId3" ref="J8"/>
    <hyperlink r:id="rId4" ref="J10"/>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7.14"/>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37</v>
      </c>
      <c r="D3" s="7" t="s">
        <v>4</v>
      </c>
      <c r="E3" s="3"/>
      <c r="F3" s="4"/>
      <c r="G3" s="4"/>
      <c r="H3" s="4"/>
      <c r="I3" s="4" t="s">
        <v>5</v>
      </c>
      <c r="J3" s="4"/>
      <c r="K3" s="4"/>
      <c r="L3" s="4"/>
    </row>
    <row r="4">
      <c r="A4" s="8"/>
      <c r="B4" s="9" t="s">
        <v>7</v>
      </c>
      <c r="C4" s="10">
        <v>38990.0</v>
      </c>
      <c r="D4" s="10">
        <v>29111.0</v>
      </c>
      <c r="E4" s="10">
        <v>29111.0</v>
      </c>
      <c r="F4" s="11">
        <v>20000.0</v>
      </c>
      <c r="G4" s="9" t="s">
        <v>8</v>
      </c>
      <c r="H4" s="4"/>
      <c r="I4" s="4" t="s">
        <v>9</v>
      </c>
      <c r="J4" s="12" t="s">
        <v>10</v>
      </c>
      <c r="K4" s="4"/>
      <c r="L4" s="4"/>
    </row>
    <row r="5">
      <c r="A5" s="13"/>
      <c r="B5" s="11" t="s">
        <v>39</v>
      </c>
      <c r="C5" s="10">
        <f t="shared" ref="C5:E5" si="1">C4*0.07</f>
        <v>2729.3</v>
      </c>
      <c r="D5" s="10">
        <f t="shared" si="1"/>
        <v>2037.77</v>
      </c>
      <c r="E5" s="10">
        <f t="shared" si="1"/>
        <v>2037.77</v>
      </c>
      <c r="F5" s="11"/>
      <c r="H5" s="4"/>
      <c r="I5" s="4"/>
      <c r="J5" s="12"/>
      <c r="K5" s="4"/>
      <c r="L5" s="4"/>
    </row>
    <row r="6">
      <c r="A6" s="13"/>
      <c r="B6" s="11" t="s">
        <v>40</v>
      </c>
      <c r="C6" s="10">
        <v>1200.0</v>
      </c>
      <c r="D6" s="10">
        <v>1100.0</v>
      </c>
      <c r="E6" s="10">
        <v>1100.0</v>
      </c>
      <c r="F6" s="11"/>
      <c r="H6" s="4"/>
      <c r="I6" s="4"/>
      <c r="J6" s="12"/>
      <c r="K6" s="4"/>
      <c r="L6" s="4"/>
    </row>
    <row r="7">
      <c r="A7" s="13"/>
      <c r="B7" s="11" t="s">
        <v>11</v>
      </c>
      <c r="C7" s="10">
        <f>C4*0.487</f>
        <v>18988.13</v>
      </c>
      <c r="D7" s="10">
        <f>D4*0.362</f>
        <v>10538.182</v>
      </c>
      <c r="E7" s="38">
        <f>SUM(E4:E6)-5000</f>
        <v>27248.77</v>
      </c>
      <c r="F7" s="11"/>
      <c r="H7" s="4"/>
      <c r="I7" s="4"/>
      <c r="J7" s="12"/>
      <c r="K7" s="4"/>
      <c r="L7" s="4"/>
    </row>
    <row r="8">
      <c r="A8" s="13"/>
      <c r="B8" s="16" t="s">
        <v>13</v>
      </c>
      <c r="C8" s="10">
        <v>-1875.0</v>
      </c>
      <c r="D8" s="17">
        <v>0.0</v>
      </c>
      <c r="E8" s="15"/>
      <c r="F8" s="11">
        <v>1.3</v>
      </c>
      <c r="H8" s="4"/>
      <c r="I8" s="4" t="s">
        <v>14</v>
      </c>
      <c r="J8" s="12" t="s">
        <v>15</v>
      </c>
      <c r="K8" s="4"/>
      <c r="L8" s="4"/>
    </row>
    <row r="9">
      <c r="A9" s="13"/>
      <c r="B9" s="3" t="s">
        <v>16</v>
      </c>
      <c r="C9" s="22">
        <f t="shared" ref="C9:D9" si="2">C4-C7+C5+C6+C8</f>
        <v>22056.17</v>
      </c>
      <c r="D9" s="22">
        <f t="shared" si="2"/>
        <v>21710.588</v>
      </c>
      <c r="E9" s="19"/>
      <c r="F9" s="11">
        <v>0.0</v>
      </c>
      <c r="H9" s="4"/>
      <c r="I9" s="4" t="s">
        <v>17</v>
      </c>
      <c r="J9" s="12" t="s">
        <v>18</v>
      </c>
      <c r="K9" s="4"/>
      <c r="L9" s="4"/>
    </row>
    <row r="10">
      <c r="A10" s="8"/>
      <c r="B10" s="39" t="s">
        <v>41</v>
      </c>
      <c r="C10" s="40">
        <v>4238.33</v>
      </c>
      <c r="D10" s="40">
        <v>3045.71</v>
      </c>
      <c r="E10" s="3"/>
      <c r="F10" s="4"/>
      <c r="G10" s="4"/>
      <c r="H10" s="4"/>
      <c r="I10" s="4"/>
      <c r="J10" s="12"/>
      <c r="K10" s="12"/>
      <c r="L10" s="12"/>
    </row>
    <row r="11">
      <c r="A11" s="8"/>
      <c r="B11" s="11" t="s">
        <v>20</v>
      </c>
      <c r="C11" s="14" t="s">
        <v>21</v>
      </c>
      <c r="D11" s="14">
        <v>3.1</v>
      </c>
      <c r="E11" s="3"/>
      <c r="F11" s="4"/>
      <c r="G11" s="4"/>
      <c r="H11" s="4"/>
      <c r="I11" s="4" t="s">
        <v>22</v>
      </c>
      <c r="J11" s="12" t="s">
        <v>23</v>
      </c>
    </row>
    <row r="12">
      <c r="A12" s="8"/>
      <c r="B12" s="11" t="s">
        <v>24</v>
      </c>
      <c r="C12" s="14">
        <v>0.13</v>
      </c>
      <c r="D12" s="14" t="s">
        <v>21</v>
      </c>
      <c r="E12" s="20"/>
      <c r="F12" s="4"/>
      <c r="G12" s="4"/>
      <c r="H12" s="4"/>
    </row>
    <row r="13">
      <c r="A13" s="8"/>
      <c r="B13" s="11" t="s">
        <v>25</v>
      </c>
      <c r="C13" s="21">
        <v>15000.0</v>
      </c>
      <c r="D13" s="21">
        <v>15000.0</v>
      </c>
      <c r="E13" s="3"/>
      <c r="F13" s="4"/>
      <c r="G13" s="4"/>
      <c r="H13" s="4"/>
    </row>
    <row r="14">
      <c r="A14" s="8"/>
      <c r="B14" s="39" t="s">
        <v>42</v>
      </c>
      <c r="C14" s="41">
        <v>1300.0</v>
      </c>
      <c r="D14" s="40">
        <v>3286.0</v>
      </c>
      <c r="E14" s="42" t="s">
        <v>43</v>
      </c>
      <c r="F14" s="4"/>
      <c r="G14" s="4"/>
      <c r="H14" s="4"/>
      <c r="I14" s="4"/>
      <c r="J14" s="4"/>
      <c r="K14" s="4"/>
      <c r="L14" s="4"/>
    </row>
    <row r="15">
      <c r="A15" s="8"/>
      <c r="B15" s="11" t="s">
        <v>28</v>
      </c>
      <c r="C15" s="23">
        <v>4.0</v>
      </c>
      <c r="D15" s="23">
        <v>32.0</v>
      </c>
      <c r="E15" s="43" t="s">
        <v>44</v>
      </c>
      <c r="F15" s="4"/>
      <c r="G15" s="4"/>
      <c r="H15" s="4"/>
      <c r="I15" s="4"/>
      <c r="J15" s="4"/>
      <c r="K15" s="4"/>
      <c r="L15" s="4"/>
    </row>
    <row r="16">
      <c r="A16" s="8"/>
      <c r="B16" s="11" t="s">
        <v>29</v>
      </c>
      <c r="C16" s="23" t="s">
        <v>21</v>
      </c>
      <c r="D16" s="44">
        <f>D13/D15</f>
        <v>468.75</v>
      </c>
      <c r="E16" s="4"/>
      <c r="F16" s="4"/>
      <c r="G16" s="4"/>
      <c r="H16" s="4"/>
      <c r="I16" s="4"/>
      <c r="J16" s="4"/>
      <c r="K16" s="4"/>
      <c r="L16" s="4"/>
    </row>
    <row r="17">
      <c r="A17" s="8"/>
      <c r="B17" s="11" t="s">
        <v>31</v>
      </c>
      <c r="C17" s="45">
        <f>C13/C15</f>
        <v>3750</v>
      </c>
      <c r="D17" s="23" t="s">
        <v>21</v>
      </c>
      <c r="E17" s="4"/>
      <c r="F17" s="4"/>
      <c r="G17" s="4"/>
      <c r="H17" s="4"/>
      <c r="I17" s="4"/>
      <c r="J17" s="4"/>
      <c r="K17" s="4"/>
      <c r="L17" s="4"/>
    </row>
    <row r="18">
      <c r="A18" s="8"/>
      <c r="B18" s="3" t="s">
        <v>32</v>
      </c>
      <c r="C18" s="41">
        <f>C12*C17</f>
        <v>487.5</v>
      </c>
      <c r="D18" s="22">
        <f>D16*D11</f>
        <v>1453.125</v>
      </c>
      <c r="E18" s="4"/>
      <c r="F18" s="4"/>
      <c r="G18" s="3"/>
      <c r="H18" s="4"/>
      <c r="I18" s="4"/>
      <c r="J18" s="4"/>
      <c r="K18" s="4"/>
      <c r="L18" s="4"/>
    </row>
    <row r="19">
      <c r="A19" s="8"/>
      <c r="B19" s="28" t="s">
        <v>33</v>
      </c>
      <c r="C19" s="29">
        <f t="shared" ref="C19:D19" si="3">C28</f>
        <v>30032</v>
      </c>
      <c r="D19" s="29">
        <f t="shared" si="3"/>
        <v>35307.923</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45</v>
      </c>
      <c r="E23" s="6" t="s">
        <v>35</v>
      </c>
      <c r="F23" s="4"/>
      <c r="G23" s="4"/>
      <c r="H23" s="4"/>
      <c r="I23" s="4"/>
      <c r="J23" s="4"/>
      <c r="K23" s="4"/>
      <c r="L23" s="4"/>
    </row>
    <row r="24">
      <c r="A24" s="31"/>
      <c r="B24" s="32">
        <v>1.0</v>
      </c>
      <c r="C24" s="33"/>
      <c r="D24" s="33"/>
      <c r="E24" s="34">
        <f t="shared" ref="E24:E33" si="4">$D24-$C24</f>
        <v>0</v>
      </c>
      <c r="F24" s="4"/>
      <c r="G24" s="4"/>
      <c r="H24" s="4"/>
      <c r="I24" s="4"/>
      <c r="J24" s="4"/>
      <c r="K24" s="4"/>
      <c r="L24" s="4"/>
    </row>
    <row r="25">
      <c r="A25" s="35"/>
      <c r="B25" s="32">
        <v>2.0</v>
      </c>
      <c r="C25" s="33"/>
      <c r="D25" s="33"/>
      <c r="E25" s="34">
        <f t="shared" si="4"/>
        <v>0</v>
      </c>
      <c r="F25" s="4"/>
      <c r="G25" s="3"/>
      <c r="H25" s="4"/>
      <c r="I25" s="4"/>
      <c r="J25" s="4"/>
      <c r="K25" s="4"/>
      <c r="L25" s="4"/>
    </row>
    <row r="26">
      <c r="A26" s="35"/>
      <c r="B26" s="32">
        <v>3.0</v>
      </c>
      <c r="C26" s="33"/>
      <c r="D26" s="33"/>
      <c r="E26" s="34">
        <f t="shared" si="4"/>
        <v>0</v>
      </c>
      <c r="F26" s="4"/>
      <c r="G26" s="4"/>
      <c r="H26" s="4"/>
      <c r="I26" s="4"/>
      <c r="J26" s="4"/>
      <c r="K26" s="4"/>
      <c r="L26" s="4"/>
    </row>
    <row r="27">
      <c r="A27" s="35"/>
      <c r="B27" s="32">
        <v>4.0</v>
      </c>
      <c r="C27" s="33"/>
      <c r="D27" s="33"/>
      <c r="E27" s="34">
        <f t="shared" si="4"/>
        <v>0</v>
      </c>
      <c r="F27" s="4"/>
      <c r="G27" s="4"/>
      <c r="H27" s="4"/>
      <c r="I27" s="4"/>
      <c r="J27" s="4"/>
      <c r="K27" s="4"/>
      <c r="L27" s="4"/>
    </row>
    <row r="28">
      <c r="A28" s="35"/>
      <c r="B28" s="35">
        <v>5.0</v>
      </c>
      <c r="C28" s="36">
        <f>C9+(B28*C18)+C14+C10</f>
        <v>30032</v>
      </c>
      <c r="D28" s="36">
        <f>D9+(D18*B28)+D14+D10</f>
        <v>35307.923</v>
      </c>
      <c r="E28" s="34">
        <f t="shared" si="4"/>
        <v>5275.923</v>
      </c>
      <c r="F28" s="4"/>
      <c r="G28" s="3"/>
      <c r="H28" s="4"/>
      <c r="I28" s="4"/>
      <c r="J28" s="4"/>
      <c r="K28" s="4"/>
      <c r="L28" s="4"/>
    </row>
    <row r="29">
      <c r="A29" s="35"/>
      <c r="B29" s="32">
        <v>6.0</v>
      </c>
      <c r="C29" s="33"/>
      <c r="D29" s="33"/>
      <c r="E29" s="34">
        <f t="shared" si="4"/>
        <v>0</v>
      </c>
      <c r="F29" s="4"/>
      <c r="G29" s="4"/>
      <c r="H29" s="4"/>
      <c r="I29" s="4"/>
      <c r="J29" s="4"/>
      <c r="K29" s="4"/>
      <c r="L29" s="4"/>
    </row>
    <row r="30">
      <c r="A30" s="35"/>
      <c r="B30" s="32">
        <v>7.0</v>
      </c>
      <c r="C30" s="33"/>
      <c r="D30" s="33"/>
      <c r="E30" s="34">
        <f t="shared" si="4"/>
        <v>0</v>
      </c>
      <c r="F30" s="4"/>
      <c r="G30" s="4"/>
      <c r="H30" s="4"/>
      <c r="I30" s="4"/>
      <c r="J30" s="4"/>
      <c r="K30" s="4"/>
      <c r="L30" s="4"/>
    </row>
    <row r="31">
      <c r="A31" s="35"/>
      <c r="B31" s="32">
        <v>8.0</v>
      </c>
      <c r="C31" s="33"/>
      <c r="D31" s="33"/>
      <c r="E31" s="34">
        <f t="shared" si="4"/>
        <v>0</v>
      </c>
      <c r="F31" s="4"/>
      <c r="G31" s="4"/>
      <c r="H31" s="4"/>
      <c r="I31" s="4"/>
      <c r="J31" s="4"/>
      <c r="K31" s="4"/>
      <c r="L31" s="4"/>
    </row>
    <row r="32">
      <c r="A32" s="35"/>
      <c r="B32" s="32">
        <v>9.0</v>
      </c>
      <c r="C32" s="33"/>
      <c r="D32" s="33"/>
      <c r="E32" s="34">
        <f t="shared" si="4"/>
        <v>0</v>
      </c>
      <c r="F32" s="4"/>
      <c r="G32" s="4"/>
      <c r="H32" s="4"/>
      <c r="I32" s="4"/>
      <c r="J32" s="4"/>
      <c r="K32" s="4"/>
      <c r="L32" s="4"/>
    </row>
    <row r="33">
      <c r="A33" s="35"/>
      <c r="B33" s="32">
        <v>10.0</v>
      </c>
      <c r="C33" s="33"/>
      <c r="D33" s="33"/>
      <c r="E33" s="34">
        <f t="shared" si="4"/>
        <v>0</v>
      </c>
      <c r="F33" s="4"/>
      <c r="G33" s="4"/>
      <c r="H33" s="4"/>
      <c r="I33" s="4"/>
      <c r="J33" s="4"/>
      <c r="K33" s="4"/>
      <c r="L33" s="4"/>
    </row>
    <row r="34">
      <c r="A34" s="35"/>
      <c r="B34" s="35"/>
      <c r="C34" s="37"/>
      <c r="D34" s="37"/>
      <c r="E34" s="4"/>
      <c r="F34" s="4"/>
      <c r="G34" s="4"/>
      <c r="H34" s="4"/>
      <c r="I34" s="4"/>
      <c r="J34" s="4"/>
      <c r="K34" s="4"/>
      <c r="L34" s="4"/>
    </row>
    <row r="35">
      <c r="A35" s="35"/>
      <c r="B35" s="35"/>
      <c r="C35" s="37"/>
      <c r="D35" s="37">
        <f>C33-D33</f>
        <v>0</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4">
    <mergeCell ref="J11:L11"/>
    <mergeCell ref="B1:D1"/>
    <mergeCell ref="B2:D2"/>
    <mergeCell ref="G4:G9"/>
  </mergeCells>
  <hyperlinks>
    <hyperlink r:id="rId2" ref="J4"/>
    <hyperlink r:id="rId3" ref="J8"/>
    <hyperlink r:id="rId4" ref="J9"/>
    <hyperlink r:id="rId5" ref="J11"/>
    <hyperlink r:id="rId6" location="style=401771278" ref="E14"/>
    <hyperlink r:id="rId7" ref="E15"/>
  </hyperlinks>
  <drawing r:id="rId8"/>
  <legacy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7.14"/>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37</v>
      </c>
      <c r="D3" s="7" t="s">
        <v>3</v>
      </c>
      <c r="E3" s="3"/>
      <c r="F3" s="4"/>
      <c r="G3" s="4"/>
      <c r="H3" s="4"/>
      <c r="I3" s="4" t="s">
        <v>5</v>
      </c>
      <c r="J3" s="4"/>
      <c r="K3" s="4"/>
      <c r="L3" s="4"/>
    </row>
    <row r="4">
      <c r="A4" s="8"/>
      <c r="B4" s="9" t="s">
        <v>7</v>
      </c>
      <c r="C4" s="10">
        <v>38990.0</v>
      </c>
      <c r="D4" s="10">
        <v>32821.0</v>
      </c>
      <c r="E4" s="10">
        <v>32821.0</v>
      </c>
      <c r="F4" s="11">
        <v>20000.0</v>
      </c>
      <c r="G4" s="9" t="s">
        <v>8</v>
      </c>
      <c r="H4" s="4"/>
      <c r="I4" s="4" t="s">
        <v>9</v>
      </c>
      <c r="J4" s="12" t="s">
        <v>10</v>
      </c>
      <c r="K4" s="4"/>
      <c r="L4" s="4"/>
    </row>
    <row r="5">
      <c r="A5" s="13"/>
      <c r="B5" s="11" t="s">
        <v>39</v>
      </c>
      <c r="C5" s="10">
        <f t="shared" ref="C5:E5" si="1">C4*0.07</f>
        <v>2729.3</v>
      </c>
      <c r="D5" s="10">
        <f t="shared" si="1"/>
        <v>2297.47</v>
      </c>
      <c r="E5" s="10">
        <f t="shared" si="1"/>
        <v>2297.47</v>
      </c>
      <c r="F5" s="11"/>
      <c r="H5" s="4"/>
      <c r="I5" s="4"/>
      <c r="J5" s="12"/>
      <c r="K5" s="4"/>
      <c r="L5" s="4"/>
    </row>
    <row r="6">
      <c r="A6" s="13"/>
      <c r="B6" s="11" t="s">
        <v>40</v>
      </c>
      <c r="C6" s="10">
        <v>1200.0</v>
      </c>
      <c r="D6" s="10">
        <v>1100.0</v>
      </c>
      <c r="E6" s="10">
        <v>1100.0</v>
      </c>
      <c r="F6" s="11"/>
      <c r="H6" s="4"/>
      <c r="I6" s="4"/>
      <c r="J6" s="12"/>
      <c r="K6" s="4"/>
      <c r="L6" s="4"/>
    </row>
    <row r="7">
      <c r="A7" s="13"/>
      <c r="B7" s="11" t="s">
        <v>11</v>
      </c>
      <c r="C7" s="10">
        <f>C4*0.487</f>
        <v>18988.13</v>
      </c>
      <c r="D7" s="10">
        <f>D4*0.362</f>
        <v>11881.202</v>
      </c>
      <c r="E7" s="38">
        <f>SUM(E4:E6)-5000</f>
        <v>31218.47</v>
      </c>
      <c r="F7" s="11"/>
      <c r="H7" s="4"/>
      <c r="I7" s="4"/>
      <c r="J7" s="12"/>
      <c r="K7" s="4"/>
      <c r="L7" s="4"/>
    </row>
    <row r="8">
      <c r="A8" s="13"/>
      <c r="B8" s="16" t="s">
        <v>13</v>
      </c>
      <c r="C8" s="10">
        <v>-1875.0</v>
      </c>
      <c r="D8" s="17">
        <v>0.0</v>
      </c>
      <c r="E8" s="15"/>
      <c r="F8" s="11">
        <v>1.3</v>
      </c>
      <c r="H8" s="4"/>
      <c r="I8" s="4" t="s">
        <v>14</v>
      </c>
      <c r="J8" s="12" t="s">
        <v>15</v>
      </c>
      <c r="K8" s="4"/>
      <c r="L8" s="4"/>
    </row>
    <row r="9">
      <c r="A9" s="13"/>
      <c r="B9" s="3" t="s">
        <v>16</v>
      </c>
      <c r="C9" s="22">
        <f t="shared" ref="C9:D9" si="2">C4-C7+C5+C6+C8</f>
        <v>22056.17</v>
      </c>
      <c r="D9" s="22">
        <f t="shared" si="2"/>
        <v>24337.268</v>
      </c>
      <c r="E9" s="19"/>
      <c r="F9" s="11">
        <v>0.0</v>
      </c>
      <c r="H9" s="4"/>
      <c r="I9" s="4" t="s">
        <v>17</v>
      </c>
      <c r="J9" s="12" t="s">
        <v>18</v>
      </c>
      <c r="K9" s="4"/>
      <c r="L9" s="4"/>
    </row>
    <row r="10">
      <c r="A10" s="8"/>
      <c r="B10" s="39" t="s">
        <v>41</v>
      </c>
      <c r="C10" s="40">
        <v>4238.33</v>
      </c>
      <c r="D10" s="40">
        <v>3489.34</v>
      </c>
      <c r="E10" s="3"/>
      <c r="F10" s="4"/>
      <c r="G10" s="4"/>
      <c r="H10" s="4"/>
      <c r="I10" s="4"/>
      <c r="J10" s="12"/>
      <c r="K10" s="12"/>
      <c r="L10" s="12"/>
    </row>
    <row r="11">
      <c r="A11" s="8"/>
      <c r="B11" s="11" t="s">
        <v>20</v>
      </c>
      <c r="C11" s="14" t="s">
        <v>21</v>
      </c>
      <c r="D11" s="14">
        <v>3.1</v>
      </c>
      <c r="E11" s="3"/>
      <c r="F11" s="4"/>
      <c r="G11" s="4"/>
      <c r="H11" s="4"/>
      <c r="I11" s="4" t="s">
        <v>22</v>
      </c>
      <c r="J11" s="12" t="s">
        <v>23</v>
      </c>
    </row>
    <row r="12">
      <c r="A12" s="8"/>
      <c r="B12" s="11" t="s">
        <v>24</v>
      </c>
      <c r="C12" s="14">
        <v>0.13</v>
      </c>
      <c r="D12" s="14" t="s">
        <v>21</v>
      </c>
      <c r="E12" s="20"/>
      <c r="F12" s="4"/>
      <c r="G12" s="4"/>
      <c r="H12" s="4"/>
    </row>
    <row r="13">
      <c r="A13" s="8"/>
      <c r="B13" s="11" t="s">
        <v>25</v>
      </c>
      <c r="C13" s="21">
        <v>15000.0</v>
      </c>
      <c r="D13" s="21">
        <v>15000.0</v>
      </c>
      <c r="E13" s="3"/>
      <c r="F13" s="4"/>
      <c r="G13" s="4"/>
      <c r="H13" s="4"/>
    </row>
    <row r="14">
      <c r="A14" s="8"/>
      <c r="B14" s="39" t="s">
        <v>42</v>
      </c>
      <c r="C14" s="41">
        <v>1300.0</v>
      </c>
      <c r="D14" s="40">
        <v>3286.0</v>
      </c>
      <c r="E14" s="19"/>
      <c r="F14" s="4"/>
      <c r="G14" s="4"/>
      <c r="H14" s="4"/>
      <c r="I14" s="4"/>
      <c r="J14" s="4"/>
      <c r="K14" s="4"/>
      <c r="L14" s="4"/>
    </row>
    <row r="15">
      <c r="A15" s="8"/>
      <c r="B15" s="11" t="s">
        <v>28</v>
      </c>
      <c r="C15" s="23">
        <v>4.0</v>
      </c>
      <c r="D15" s="23">
        <v>32.0</v>
      </c>
      <c r="E15" s="43" t="s">
        <v>44</v>
      </c>
      <c r="F15" s="4"/>
      <c r="G15" s="4"/>
      <c r="H15" s="4"/>
      <c r="I15" s="4"/>
      <c r="J15" s="4"/>
      <c r="K15" s="4"/>
      <c r="L15" s="4"/>
    </row>
    <row r="16">
      <c r="A16" s="8"/>
      <c r="B16" s="11" t="s">
        <v>29</v>
      </c>
      <c r="C16" s="23" t="s">
        <v>21</v>
      </c>
      <c r="D16" s="44">
        <f>D13/D15</f>
        <v>468.75</v>
      </c>
      <c r="E16" s="4"/>
      <c r="F16" s="4"/>
      <c r="G16" s="4"/>
      <c r="H16" s="4"/>
      <c r="I16" s="4"/>
      <c r="J16" s="4"/>
      <c r="K16" s="4"/>
      <c r="L16" s="4"/>
    </row>
    <row r="17">
      <c r="A17" s="8"/>
      <c r="B17" s="11" t="s">
        <v>31</v>
      </c>
      <c r="C17" s="45">
        <f>C13/C15</f>
        <v>3750</v>
      </c>
      <c r="D17" s="23" t="s">
        <v>21</v>
      </c>
      <c r="E17" s="4"/>
      <c r="F17" s="4"/>
      <c r="G17" s="4"/>
      <c r="H17" s="4"/>
      <c r="I17" s="4"/>
      <c r="J17" s="4"/>
      <c r="K17" s="4"/>
      <c r="L17" s="4"/>
    </row>
    <row r="18">
      <c r="A18" s="8"/>
      <c r="B18" s="3" t="s">
        <v>32</v>
      </c>
      <c r="C18" s="41">
        <f>C12*C17</f>
        <v>487.5</v>
      </c>
      <c r="D18" s="22">
        <f>D16*D11</f>
        <v>1453.125</v>
      </c>
      <c r="E18" s="4"/>
      <c r="F18" s="4"/>
      <c r="G18" s="3"/>
      <c r="H18" s="4"/>
      <c r="I18" s="4"/>
      <c r="J18" s="4"/>
      <c r="K18" s="4"/>
      <c r="L18" s="4"/>
    </row>
    <row r="19">
      <c r="A19" s="8"/>
      <c r="B19" s="28" t="s">
        <v>33</v>
      </c>
      <c r="C19" s="29">
        <f t="shared" ref="C19:D19" si="3">C28</f>
        <v>30032</v>
      </c>
      <c r="D19" s="29">
        <f t="shared" si="3"/>
        <v>38378.233</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45</v>
      </c>
      <c r="E23" s="6" t="s">
        <v>35</v>
      </c>
      <c r="F23" s="4"/>
      <c r="G23" s="4"/>
      <c r="H23" s="4"/>
      <c r="I23" s="4"/>
      <c r="J23" s="4"/>
      <c r="K23" s="4"/>
      <c r="L23" s="4"/>
    </row>
    <row r="24">
      <c r="A24" s="31"/>
      <c r="B24" s="32">
        <v>1.0</v>
      </c>
      <c r="C24" s="33"/>
      <c r="D24" s="33"/>
      <c r="E24" s="34">
        <f t="shared" ref="E24:E33" si="4">$D24-$C24</f>
        <v>0</v>
      </c>
      <c r="F24" s="4"/>
      <c r="G24" s="4"/>
      <c r="H24" s="4"/>
      <c r="I24" s="4"/>
      <c r="J24" s="4"/>
      <c r="K24" s="4"/>
      <c r="L24" s="4"/>
    </row>
    <row r="25">
      <c r="A25" s="35"/>
      <c r="B25" s="32">
        <v>2.0</v>
      </c>
      <c r="C25" s="33"/>
      <c r="D25" s="33"/>
      <c r="E25" s="34">
        <f t="shared" si="4"/>
        <v>0</v>
      </c>
      <c r="F25" s="4"/>
      <c r="G25" s="3"/>
      <c r="H25" s="4"/>
      <c r="I25" s="4"/>
      <c r="J25" s="4"/>
      <c r="K25" s="4"/>
      <c r="L25" s="4"/>
    </row>
    <row r="26">
      <c r="A26" s="35"/>
      <c r="B26" s="32">
        <v>3.0</v>
      </c>
      <c r="C26" s="33"/>
      <c r="D26" s="33"/>
      <c r="E26" s="34">
        <f t="shared" si="4"/>
        <v>0</v>
      </c>
      <c r="F26" s="4"/>
      <c r="G26" s="4"/>
      <c r="H26" s="4"/>
      <c r="I26" s="4"/>
      <c r="J26" s="4"/>
      <c r="K26" s="4"/>
      <c r="L26" s="4"/>
    </row>
    <row r="27">
      <c r="A27" s="35"/>
      <c r="B27" s="32">
        <v>4.0</v>
      </c>
      <c r="C27" s="33"/>
      <c r="D27" s="33"/>
      <c r="E27" s="34">
        <f t="shared" si="4"/>
        <v>0</v>
      </c>
      <c r="F27" s="4"/>
      <c r="G27" s="4"/>
      <c r="H27" s="4"/>
      <c r="I27" s="4"/>
      <c r="J27" s="4"/>
      <c r="K27" s="4"/>
      <c r="L27" s="4"/>
    </row>
    <row r="28">
      <c r="A28" s="35"/>
      <c r="B28" s="35">
        <v>5.0</v>
      </c>
      <c r="C28" s="36">
        <f>C9+(B28*C18)+C14+C10</f>
        <v>30032</v>
      </c>
      <c r="D28" s="36">
        <f>D9+(D18*B28)+D14+D10</f>
        <v>38378.233</v>
      </c>
      <c r="E28" s="34">
        <f t="shared" si="4"/>
        <v>8346.233</v>
      </c>
      <c r="F28" s="4"/>
      <c r="G28" s="3"/>
      <c r="H28" s="4"/>
      <c r="I28" s="4"/>
      <c r="J28" s="4"/>
      <c r="K28" s="4"/>
      <c r="L28" s="4"/>
    </row>
    <row r="29">
      <c r="A29" s="35"/>
      <c r="B29" s="32">
        <v>6.0</v>
      </c>
      <c r="C29" s="33"/>
      <c r="D29" s="33"/>
      <c r="E29" s="34">
        <f t="shared" si="4"/>
        <v>0</v>
      </c>
      <c r="F29" s="4"/>
      <c r="G29" s="4"/>
      <c r="H29" s="4"/>
      <c r="I29" s="4"/>
      <c r="J29" s="4"/>
      <c r="K29" s="4"/>
      <c r="L29" s="4"/>
    </row>
    <row r="30">
      <c r="A30" s="35"/>
      <c r="B30" s="32">
        <v>7.0</v>
      </c>
      <c r="C30" s="33"/>
      <c r="D30" s="33"/>
      <c r="E30" s="34">
        <f t="shared" si="4"/>
        <v>0</v>
      </c>
      <c r="F30" s="4"/>
      <c r="G30" s="4"/>
      <c r="H30" s="4"/>
      <c r="I30" s="4"/>
      <c r="J30" s="4"/>
      <c r="K30" s="4"/>
      <c r="L30" s="4"/>
    </row>
    <row r="31">
      <c r="A31" s="35"/>
      <c r="B31" s="32">
        <v>8.0</v>
      </c>
      <c r="C31" s="33"/>
      <c r="D31" s="33"/>
      <c r="E31" s="34">
        <f t="shared" si="4"/>
        <v>0</v>
      </c>
      <c r="F31" s="4"/>
      <c r="G31" s="4"/>
      <c r="H31" s="4"/>
      <c r="I31" s="4"/>
      <c r="J31" s="4"/>
      <c r="K31" s="4"/>
      <c r="L31" s="4"/>
    </row>
    <row r="32">
      <c r="A32" s="35"/>
      <c r="B32" s="32">
        <v>9.0</v>
      </c>
      <c r="C32" s="33"/>
      <c r="D32" s="33"/>
      <c r="E32" s="34">
        <f t="shared" si="4"/>
        <v>0</v>
      </c>
      <c r="F32" s="4"/>
      <c r="G32" s="4"/>
      <c r="H32" s="4"/>
      <c r="I32" s="4"/>
      <c r="J32" s="4"/>
      <c r="K32" s="4"/>
      <c r="L32" s="4"/>
    </row>
    <row r="33">
      <c r="A33" s="35"/>
      <c r="B33" s="32">
        <v>10.0</v>
      </c>
      <c r="C33" s="33"/>
      <c r="D33" s="33"/>
      <c r="E33" s="34">
        <f t="shared" si="4"/>
        <v>0</v>
      </c>
      <c r="F33" s="4"/>
      <c r="G33" s="4"/>
      <c r="H33" s="4"/>
      <c r="I33" s="4"/>
      <c r="J33" s="4"/>
      <c r="K33" s="4"/>
      <c r="L33" s="4"/>
    </row>
    <row r="34">
      <c r="A34" s="35"/>
      <c r="B34" s="35"/>
      <c r="C34" s="37"/>
      <c r="D34" s="37"/>
      <c r="E34" s="4"/>
      <c r="F34" s="4"/>
      <c r="G34" s="4"/>
      <c r="H34" s="4"/>
      <c r="I34" s="4"/>
      <c r="J34" s="4"/>
      <c r="K34" s="4"/>
      <c r="L34" s="4"/>
    </row>
    <row r="35">
      <c r="A35" s="35"/>
      <c r="B35" s="35"/>
      <c r="C35" s="37"/>
      <c r="D35" s="37">
        <f>C33-D33</f>
        <v>0</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4">
    <mergeCell ref="J11:L11"/>
    <mergeCell ref="B1:D1"/>
    <mergeCell ref="B2:D2"/>
    <mergeCell ref="G4:G9"/>
  </mergeCells>
  <hyperlinks>
    <hyperlink r:id="rId2" ref="J4"/>
    <hyperlink r:id="rId3" ref="J8"/>
    <hyperlink r:id="rId4" ref="J9"/>
    <hyperlink r:id="rId5" ref="J11"/>
    <hyperlink r:id="rId6" ref="E15"/>
  </hyperlinks>
  <drawing r:id="rId7"/>
  <legacy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7.14"/>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37</v>
      </c>
      <c r="D3" s="7" t="s">
        <v>46</v>
      </c>
      <c r="E3" s="3"/>
      <c r="F3" s="4"/>
      <c r="G3" s="4"/>
      <c r="H3" s="4"/>
      <c r="I3" s="4" t="s">
        <v>5</v>
      </c>
      <c r="J3" s="4"/>
      <c r="K3" s="4"/>
      <c r="L3" s="4"/>
    </row>
    <row r="4">
      <c r="A4" s="8"/>
      <c r="B4" s="9" t="s">
        <v>7</v>
      </c>
      <c r="C4" s="10">
        <v>38990.0</v>
      </c>
      <c r="D4" s="10">
        <v>34431.0</v>
      </c>
      <c r="E4" s="10">
        <v>34431.0</v>
      </c>
      <c r="F4" s="11">
        <v>20000.0</v>
      </c>
      <c r="G4" s="9" t="s">
        <v>8</v>
      </c>
      <c r="H4" s="4"/>
      <c r="I4" s="4" t="s">
        <v>9</v>
      </c>
      <c r="J4" s="12" t="s">
        <v>10</v>
      </c>
      <c r="K4" s="4"/>
      <c r="L4" s="4"/>
    </row>
    <row r="5">
      <c r="A5" s="13"/>
      <c r="B5" s="11" t="s">
        <v>39</v>
      </c>
      <c r="C5" s="10">
        <f t="shared" ref="C5:E5" si="1">C4*0.07</f>
        <v>2729.3</v>
      </c>
      <c r="D5" s="10">
        <f t="shared" si="1"/>
        <v>2410.17</v>
      </c>
      <c r="E5" s="10">
        <f t="shared" si="1"/>
        <v>2410.17</v>
      </c>
      <c r="F5" s="11"/>
      <c r="H5" s="4"/>
      <c r="I5" s="4"/>
      <c r="J5" s="12"/>
      <c r="K5" s="4"/>
      <c r="L5" s="4"/>
    </row>
    <row r="6">
      <c r="A6" s="13"/>
      <c r="B6" s="11" t="s">
        <v>40</v>
      </c>
      <c r="C6" s="10">
        <v>1200.0</v>
      </c>
      <c r="D6" s="10">
        <v>1100.0</v>
      </c>
      <c r="E6" s="10">
        <v>1100.0</v>
      </c>
      <c r="F6" s="11"/>
      <c r="H6" s="4"/>
      <c r="I6" s="4"/>
      <c r="J6" s="12"/>
      <c r="K6" s="4"/>
      <c r="L6" s="4"/>
    </row>
    <row r="7">
      <c r="A7" s="13"/>
      <c r="B7" s="11" t="s">
        <v>11</v>
      </c>
      <c r="C7" s="10">
        <f>C4*0.487</f>
        <v>18988.13</v>
      </c>
      <c r="D7" s="10">
        <f>D4*0.362</f>
        <v>12464.022</v>
      </c>
      <c r="E7" s="38">
        <f>SUM(E4:E6)-5000</f>
        <v>32941.17</v>
      </c>
      <c r="F7" s="11"/>
      <c r="H7" s="4"/>
      <c r="I7" s="4"/>
      <c r="J7" s="12"/>
      <c r="K7" s="4"/>
      <c r="L7" s="4"/>
    </row>
    <row r="8">
      <c r="A8" s="13"/>
      <c r="B8" s="16" t="s">
        <v>13</v>
      </c>
      <c r="C8" s="10">
        <v>-1875.0</v>
      </c>
      <c r="D8" s="17">
        <v>0.0</v>
      </c>
      <c r="E8" s="15"/>
      <c r="F8" s="11">
        <v>1.3</v>
      </c>
      <c r="H8" s="4"/>
      <c r="I8" s="4" t="s">
        <v>14</v>
      </c>
      <c r="J8" s="12" t="s">
        <v>15</v>
      </c>
      <c r="K8" s="4"/>
      <c r="L8" s="4"/>
    </row>
    <row r="9">
      <c r="A9" s="13"/>
      <c r="B9" s="3" t="s">
        <v>16</v>
      </c>
      <c r="C9" s="22">
        <f t="shared" ref="C9:D9" si="2">C4-C7+C5+C6+C8</f>
        <v>22056.17</v>
      </c>
      <c r="D9" s="22">
        <f t="shared" si="2"/>
        <v>25477.148</v>
      </c>
      <c r="E9" s="19"/>
      <c r="F9" s="11">
        <v>0.0</v>
      </c>
      <c r="H9" s="4"/>
      <c r="I9" s="4" t="s">
        <v>17</v>
      </c>
      <c r="J9" s="12" t="s">
        <v>18</v>
      </c>
      <c r="K9" s="4"/>
      <c r="L9" s="4"/>
    </row>
    <row r="10">
      <c r="A10" s="8"/>
      <c r="B10" s="39" t="s">
        <v>41</v>
      </c>
      <c r="C10" s="40">
        <v>4238.33</v>
      </c>
      <c r="D10" s="40">
        <v>3681.93</v>
      </c>
      <c r="E10" s="3"/>
      <c r="F10" s="4"/>
      <c r="G10" s="4"/>
      <c r="H10" s="4"/>
      <c r="I10" s="4"/>
      <c r="J10" s="12"/>
      <c r="K10" s="12"/>
      <c r="L10" s="12"/>
    </row>
    <row r="11">
      <c r="A11" s="8"/>
      <c r="B11" s="11" t="s">
        <v>20</v>
      </c>
      <c r="C11" s="14" t="s">
        <v>21</v>
      </c>
      <c r="D11" s="14">
        <v>3.1</v>
      </c>
      <c r="E11" s="3"/>
      <c r="F11" s="4"/>
      <c r="G11" s="4"/>
      <c r="H11" s="4"/>
      <c r="I11" s="4" t="s">
        <v>22</v>
      </c>
      <c r="J11" s="12" t="s">
        <v>23</v>
      </c>
    </row>
    <row r="12">
      <c r="A12" s="8"/>
      <c r="B12" s="11" t="s">
        <v>24</v>
      </c>
      <c r="C12" s="14">
        <v>0.13</v>
      </c>
      <c r="D12" s="14" t="s">
        <v>21</v>
      </c>
      <c r="E12" s="20"/>
      <c r="F12" s="4"/>
      <c r="G12" s="4"/>
      <c r="H12" s="4"/>
    </row>
    <row r="13">
      <c r="A13" s="8"/>
      <c r="B13" s="11" t="s">
        <v>25</v>
      </c>
      <c r="C13" s="21">
        <v>15000.0</v>
      </c>
      <c r="D13" s="21">
        <v>15000.0</v>
      </c>
      <c r="E13" s="3"/>
      <c r="F13" s="4"/>
      <c r="G13" s="4"/>
      <c r="H13" s="4"/>
    </row>
    <row r="14">
      <c r="A14" s="8"/>
      <c r="B14" s="39" t="s">
        <v>42</v>
      </c>
      <c r="C14" s="41">
        <v>1300.0</v>
      </c>
      <c r="D14" s="40">
        <v>3568.0</v>
      </c>
      <c r="E14" s="19"/>
      <c r="F14" s="4"/>
      <c r="G14" s="4"/>
      <c r="H14" s="4"/>
      <c r="I14" s="4"/>
      <c r="J14" s="4"/>
      <c r="K14" s="4"/>
      <c r="L14" s="4"/>
    </row>
    <row r="15">
      <c r="A15" s="8"/>
      <c r="B15" s="11" t="s">
        <v>28</v>
      </c>
      <c r="C15" s="23">
        <v>4.0</v>
      </c>
      <c r="D15" s="23">
        <v>32.0</v>
      </c>
      <c r="E15" s="43" t="s">
        <v>44</v>
      </c>
      <c r="F15" s="4"/>
      <c r="G15" s="4"/>
      <c r="H15" s="4"/>
      <c r="I15" s="4"/>
      <c r="J15" s="4"/>
      <c r="K15" s="4"/>
      <c r="L15" s="4"/>
    </row>
    <row r="16">
      <c r="A16" s="8"/>
      <c r="B16" s="11" t="s">
        <v>29</v>
      </c>
      <c r="C16" s="23" t="s">
        <v>21</v>
      </c>
      <c r="D16" s="44">
        <f>D13/D15</f>
        <v>468.75</v>
      </c>
      <c r="E16" s="4"/>
      <c r="F16" s="4"/>
      <c r="G16" s="4"/>
      <c r="H16" s="4"/>
      <c r="I16" s="4"/>
      <c r="J16" s="4"/>
      <c r="K16" s="4"/>
      <c r="L16" s="4"/>
    </row>
    <row r="17">
      <c r="A17" s="8"/>
      <c r="B17" s="11" t="s">
        <v>31</v>
      </c>
      <c r="C17" s="45">
        <f>C13/C15</f>
        <v>3750</v>
      </c>
      <c r="D17" s="23" t="s">
        <v>21</v>
      </c>
      <c r="E17" s="4"/>
      <c r="F17" s="4"/>
      <c r="G17" s="4"/>
      <c r="H17" s="4"/>
      <c r="I17" s="4"/>
      <c r="J17" s="4"/>
      <c r="K17" s="4"/>
      <c r="L17" s="4"/>
    </row>
    <row r="18">
      <c r="A18" s="8"/>
      <c r="B18" s="3" t="s">
        <v>32</v>
      </c>
      <c r="C18" s="41">
        <f>C12*C17</f>
        <v>487.5</v>
      </c>
      <c r="D18" s="22">
        <f>D16*D11</f>
        <v>1453.125</v>
      </c>
      <c r="E18" s="4"/>
      <c r="F18" s="4"/>
      <c r="G18" s="3"/>
      <c r="H18" s="4"/>
      <c r="I18" s="4"/>
      <c r="J18" s="4"/>
      <c r="K18" s="4"/>
      <c r="L18" s="4"/>
    </row>
    <row r="19">
      <c r="A19" s="8"/>
      <c r="B19" s="28" t="s">
        <v>33</v>
      </c>
      <c r="C19" s="29">
        <f t="shared" ref="C19:D19" si="3">C28</f>
        <v>30032</v>
      </c>
      <c r="D19" s="29">
        <f t="shared" si="3"/>
        <v>39992.703</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45</v>
      </c>
      <c r="E23" s="6" t="s">
        <v>35</v>
      </c>
      <c r="F23" s="4"/>
      <c r="G23" s="4"/>
      <c r="H23" s="4"/>
      <c r="I23" s="4"/>
      <c r="J23" s="4"/>
      <c r="K23" s="4"/>
      <c r="L23" s="4"/>
    </row>
    <row r="24">
      <c r="A24" s="31"/>
      <c r="B24" s="32">
        <v>1.0</v>
      </c>
      <c r="C24" s="33"/>
      <c r="D24" s="33"/>
      <c r="E24" s="34">
        <f t="shared" ref="E24:E33" si="4">$D24-$C24</f>
        <v>0</v>
      </c>
      <c r="F24" s="4"/>
      <c r="G24" s="4"/>
      <c r="H24" s="4"/>
      <c r="I24" s="4"/>
      <c r="J24" s="4"/>
      <c r="K24" s="4"/>
      <c r="L24" s="4"/>
    </row>
    <row r="25">
      <c r="A25" s="35"/>
      <c r="B25" s="32">
        <v>2.0</v>
      </c>
      <c r="C25" s="33"/>
      <c r="D25" s="33"/>
      <c r="E25" s="34">
        <f t="shared" si="4"/>
        <v>0</v>
      </c>
      <c r="F25" s="4"/>
      <c r="G25" s="3"/>
      <c r="H25" s="4"/>
      <c r="I25" s="4"/>
      <c r="J25" s="4"/>
      <c r="K25" s="4"/>
      <c r="L25" s="4"/>
    </row>
    <row r="26">
      <c r="A26" s="35"/>
      <c r="B26" s="32">
        <v>3.0</v>
      </c>
      <c r="C26" s="33">
        <f>C9+(B26*C18)+(C14*B26)</f>
        <v>27418.67</v>
      </c>
      <c r="D26" s="33">
        <f>D9+(D18*B26)+(D14*B26)</f>
        <v>40540.523</v>
      </c>
      <c r="E26" s="34">
        <f t="shared" si="4"/>
        <v>13121.853</v>
      </c>
      <c r="F26" s="4"/>
      <c r="G26" s="4"/>
      <c r="H26" s="4"/>
      <c r="I26" s="4"/>
      <c r="J26" s="4"/>
      <c r="K26" s="4"/>
      <c r="L26" s="4"/>
    </row>
    <row r="27">
      <c r="A27" s="35"/>
      <c r="B27" s="32">
        <v>4.0</v>
      </c>
      <c r="C27" s="33"/>
      <c r="D27" s="33"/>
      <c r="E27" s="34">
        <f t="shared" si="4"/>
        <v>0</v>
      </c>
      <c r="F27" s="4"/>
      <c r="G27" s="4"/>
      <c r="H27" s="4"/>
      <c r="I27" s="4"/>
      <c r="J27" s="4"/>
      <c r="K27" s="4"/>
      <c r="L27" s="4"/>
    </row>
    <row r="28">
      <c r="A28" s="35"/>
      <c r="B28" s="35">
        <v>5.0</v>
      </c>
      <c r="C28" s="36">
        <f>C9+(B28*C18)+C14+C10</f>
        <v>30032</v>
      </c>
      <c r="D28" s="36">
        <f>D9+(D18*B28)+D14+D10</f>
        <v>39992.703</v>
      </c>
      <c r="E28" s="34">
        <f t="shared" si="4"/>
        <v>9960.703</v>
      </c>
      <c r="F28" s="4"/>
      <c r="G28" s="3"/>
      <c r="H28" s="4"/>
      <c r="I28" s="4"/>
      <c r="J28" s="4"/>
      <c r="K28" s="4"/>
      <c r="L28" s="4"/>
    </row>
    <row r="29">
      <c r="A29" s="35"/>
      <c r="B29" s="32">
        <v>6.0</v>
      </c>
      <c r="C29" s="33"/>
      <c r="D29" s="33"/>
      <c r="E29" s="34">
        <f t="shared" si="4"/>
        <v>0</v>
      </c>
      <c r="F29" s="4"/>
      <c r="G29" s="4"/>
      <c r="H29" s="4"/>
      <c r="I29" s="4"/>
      <c r="J29" s="4"/>
      <c r="K29" s="4"/>
      <c r="L29" s="4"/>
    </row>
    <row r="30">
      <c r="A30" s="35"/>
      <c r="B30" s="32">
        <v>7.0</v>
      </c>
      <c r="C30" s="33"/>
      <c r="D30" s="33"/>
      <c r="E30" s="34">
        <f t="shared" si="4"/>
        <v>0</v>
      </c>
      <c r="F30" s="4"/>
      <c r="G30" s="4"/>
      <c r="H30" s="4"/>
      <c r="I30" s="4"/>
      <c r="J30" s="4"/>
      <c r="K30" s="4"/>
      <c r="L30" s="4"/>
    </row>
    <row r="31">
      <c r="A31" s="35"/>
      <c r="B31" s="32">
        <v>8.0</v>
      </c>
      <c r="C31" s="33"/>
      <c r="D31" s="33"/>
      <c r="E31" s="34">
        <f t="shared" si="4"/>
        <v>0</v>
      </c>
      <c r="F31" s="4"/>
      <c r="G31" s="4"/>
      <c r="H31" s="4"/>
      <c r="I31" s="4"/>
      <c r="J31" s="4"/>
      <c r="K31" s="4"/>
      <c r="L31" s="4"/>
    </row>
    <row r="32">
      <c r="A32" s="35"/>
      <c r="B32" s="32">
        <v>9.0</v>
      </c>
      <c r="C32" s="33"/>
      <c r="D32" s="33"/>
      <c r="E32" s="34">
        <f t="shared" si="4"/>
        <v>0</v>
      </c>
      <c r="F32" s="4"/>
      <c r="G32" s="4"/>
      <c r="H32" s="4"/>
      <c r="I32" s="4"/>
      <c r="J32" s="4"/>
      <c r="K32" s="4"/>
      <c r="L32" s="4"/>
    </row>
    <row r="33">
      <c r="A33" s="35"/>
      <c r="B33" s="32">
        <v>10.0</v>
      </c>
      <c r="C33" s="33"/>
      <c r="D33" s="33"/>
      <c r="E33" s="34">
        <f t="shared" si="4"/>
        <v>0</v>
      </c>
      <c r="F33" s="4"/>
      <c r="G33" s="4"/>
      <c r="H33" s="4"/>
      <c r="I33" s="4"/>
      <c r="J33" s="4"/>
      <c r="K33" s="4"/>
      <c r="L33" s="4"/>
    </row>
    <row r="34">
      <c r="A34" s="35"/>
      <c r="B34" s="35"/>
      <c r="C34" s="37"/>
      <c r="D34" s="37"/>
      <c r="E34" s="4"/>
      <c r="F34" s="4"/>
      <c r="G34" s="4"/>
      <c r="H34" s="4"/>
      <c r="I34" s="4"/>
      <c r="J34" s="4"/>
      <c r="K34" s="4"/>
      <c r="L34" s="4"/>
    </row>
    <row r="35">
      <c r="A35" s="35"/>
      <c r="B35" s="35"/>
      <c r="C35" s="37"/>
      <c r="D35" s="37">
        <f>C33-D33</f>
        <v>0</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4">
    <mergeCell ref="J11:L11"/>
    <mergeCell ref="B1:D1"/>
    <mergeCell ref="B2:D2"/>
    <mergeCell ref="G4:G9"/>
  </mergeCells>
  <hyperlinks>
    <hyperlink r:id="rId2" ref="J4"/>
    <hyperlink r:id="rId3" ref="J8"/>
    <hyperlink r:id="rId4" ref="J9"/>
    <hyperlink r:id="rId5" ref="J11"/>
    <hyperlink r:id="rId6" ref="E15"/>
  </hyperlinks>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7.14"/>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37</v>
      </c>
      <c r="D3" s="7" t="s">
        <v>47</v>
      </c>
      <c r="E3" s="3"/>
      <c r="F3" s="4"/>
      <c r="G3" s="4"/>
      <c r="H3" s="4"/>
      <c r="I3" s="4" t="s">
        <v>5</v>
      </c>
      <c r="J3" s="4"/>
      <c r="K3" s="4"/>
      <c r="L3" s="4"/>
    </row>
    <row r="4">
      <c r="A4" s="8"/>
      <c r="B4" s="9" t="s">
        <v>7</v>
      </c>
      <c r="C4" s="10">
        <v>38990.0</v>
      </c>
      <c r="D4" s="10">
        <v>23870.0</v>
      </c>
      <c r="E4" s="10">
        <v>23870.0</v>
      </c>
      <c r="F4" s="11">
        <v>20000.0</v>
      </c>
      <c r="G4" s="9" t="s">
        <v>8</v>
      </c>
      <c r="H4" s="4"/>
      <c r="I4" s="4" t="s">
        <v>9</v>
      </c>
      <c r="J4" s="12" t="s">
        <v>10</v>
      </c>
      <c r="K4" s="4"/>
      <c r="L4" s="4"/>
    </row>
    <row r="5">
      <c r="A5" s="13"/>
      <c r="B5" s="11" t="s">
        <v>39</v>
      </c>
      <c r="C5" s="10">
        <f t="shared" ref="C5:E5" si="1">C4*0.07</f>
        <v>2729.3</v>
      </c>
      <c r="D5" s="10">
        <f t="shared" si="1"/>
        <v>1670.9</v>
      </c>
      <c r="E5" s="10">
        <f t="shared" si="1"/>
        <v>1670.9</v>
      </c>
      <c r="F5" s="11"/>
      <c r="H5" s="4"/>
      <c r="I5" s="4"/>
      <c r="J5" s="12"/>
      <c r="K5" s="4"/>
      <c r="L5" s="4"/>
    </row>
    <row r="6">
      <c r="A6" s="13"/>
      <c r="B6" s="11" t="s">
        <v>40</v>
      </c>
      <c r="C6" s="10">
        <v>1200.0</v>
      </c>
      <c r="D6" s="10">
        <v>1100.0</v>
      </c>
      <c r="E6" s="10">
        <v>1100.0</v>
      </c>
      <c r="F6" s="11"/>
      <c r="H6" s="4"/>
      <c r="I6" s="4"/>
      <c r="J6" s="12"/>
      <c r="K6" s="4"/>
      <c r="L6" s="4"/>
    </row>
    <row r="7">
      <c r="A7" s="13"/>
      <c r="B7" s="11" t="s">
        <v>11</v>
      </c>
      <c r="C7" s="10">
        <f>C4*0.487</f>
        <v>18988.13</v>
      </c>
      <c r="D7" s="10">
        <f>D4*0.382</f>
        <v>9118.34</v>
      </c>
      <c r="E7" s="38">
        <f>SUM(E4:E6)-5000</f>
        <v>21640.9</v>
      </c>
      <c r="F7" s="11"/>
      <c r="H7" s="4"/>
      <c r="I7" s="4"/>
      <c r="J7" s="12"/>
      <c r="K7" s="4"/>
      <c r="L7" s="4"/>
    </row>
    <row r="8">
      <c r="A8" s="13"/>
      <c r="B8" s="16" t="s">
        <v>13</v>
      </c>
      <c r="C8" s="10">
        <v>-1875.0</v>
      </c>
      <c r="D8" s="17">
        <v>0.0</v>
      </c>
      <c r="E8" s="15"/>
      <c r="F8" s="11">
        <v>1.3</v>
      </c>
      <c r="H8" s="4"/>
      <c r="I8" s="4" t="s">
        <v>14</v>
      </c>
      <c r="J8" s="12" t="s">
        <v>15</v>
      </c>
      <c r="K8" s="4"/>
      <c r="L8" s="4"/>
    </row>
    <row r="9">
      <c r="A9" s="13"/>
      <c r="B9" s="3" t="s">
        <v>16</v>
      </c>
      <c r="C9" s="22">
        <f t="shared" ref="C9:D9" si="2">C4-C7+C5+C6+C8</f>
        <v>22056.17</v>
      </c>
      <c r="D9" s="22">
        <f t="shared" si="2"/>
        <v>17522.56</v>
      </c>
      <c r="E9" s="19"/>
      <c r="F9" s="11">
        <v>0.0</v>
      </c>
      <c r="H9" s="4"/>
      <c r="I9" s="4" t="s">
        <v>17</v>
      </c>
      <c r="J9" s="12" t="s">
        <v>18</v>
      </c>
      <c r="K9" s="4"/>
      <c r="L9" s="4"/>
    </row>
    <row r="10">
      <c r="A10" s="8"/>
      <c r="B10" s="39" t="s">
        <v>41</v>
      </c>
      <c r="C10" s="40">
        <v>4238.33</v>
      </c>
      <c r="D10" s="40">
        <v>2418.89</v>
      </c>
      <c r="E10" s="3"/>
      <c r="F10" s="4"/>
      <c r="G10" s="4"/>
      <c r="H10" s="4"/>
      <c r="I10" s="4"/>
      <c r="J10" s="12"/>
      <c r="K10" s="12"/>
      <c r="L10" s="12"/>
    </row>
    <row r="11">
      <c r="A11" s="8"/>
      <c r="B11" s="11" t="s">
        <v>20</v>
      </c>
      <c r="C11" s="14" t="s">
        <v>21</v>
      </c>
      <c r="D11" s="14">
        <v>3.1</v>
      </c>
      <c r="E11" s="3"/>
      <c r="F11" s="4"/>
      <c r="G11" s="4"/>
      <c r="H11" s="4"/>
      <c r="I11" s="4" t="s">
        <v>22</v>
      </c>
      <c r="J11" s="12" t="s">
        <v>23</v>
      </c>
    </row>
    <row r="12">
      <c r="A12" s="8"/>
      <c r="B12" s="11" t="s">
        <v>24</v>
      </c>
      <c r="C12" s="14">
        <v>0.13</v>
      </c>
      <c r="D12" s="14" t="s">
        <v>21</v>
      </c>
      <c r="E12" s="20"/>
      <c r="F12" s="4"/>
      <c r="G12" s="4"/>
      <c r="H12" s="4"/>
    </row>
    <row r="13">
      <c r="A13" s="8"/>
      <c r="B13" s="11" t="s">
        <v>25</v>
      </c>
      <c r="C13" s="21">
        <v>15000.0</v>
      </c>
      <c r="D13" s="21">
        <v>15000.0</v>
      </c>
      <c r="E13" s="3"/>
      <c r="F13" s="4"/>
      <c r="G13" s="4"/>
      <c r="H13" s="4"/>
    </row>
    <row r="14">
      <c r="A14" s="8"/>
      <c r="B14" s="39" t="s">
        <v>42</v>
      </c>
      <c r="C14" s="41">
        <v>1300.0</v>
      </c>
      <c r="D14" s="40">
        <v>3585.0</v>
      </c>
      <c r="E14" s="42" t="s">
        <v>49</v>
      </c>
      <c r="F14" s="4"/>
      <c r="G14" s="4"/>
      <c r="H14" s="4"/>
      <c r="I14" s="4"/>
      <c r="J14" s="4"/>
      <c r="K14" s="4"/>
      <c r="L14" s="4"/>
    </row>
    <row r="15">
      <c r="A15" s="8"/>
      <c r="B15" s="11" t="s">
        <v>28</v>
      </c>
      <c r="C15" s="23">
        <v>4.0</v>
      </c>
      <c r="D15" s="23">
        <v>32.0</v>
      </c>
      <c r="E15" s="43" t="s">
        <v>44</v>
      </c>
      <c r="F15" s="4"/>
      <c r="G15" s="4"/>
      <c r="H15" s="4"/>
      <c r="I15" s="4"/>
      <c r="J15" s="4"/>
      <c r="K15" s="4"/>
      <c r="L15" s="4"/>
    </row>
    <row r="16">
      <c r="A16" s="8"/>
      <c r="B16" s="11" t="s">
        <v>29</v>
      </c>
      <c r="C16" s="23" t="s">
        <v>21</v>
      </c>
      <c r="D16" s="44">
        <f>D13/D15</f>
        <v>468.75</v>
      </c>
      <c r="E16" s="4"/>
      <c r="F16" s="4"/>
      <c r="G16" s="4"/>
      <c r="H16" s="4"/>
      <c r="I16" s="4"/>
      <c r="J16" s="4"/>
      <c r="K16" s="4"/>
      <c r="L16" s="4"/>
    </row>
    <row r="17">
      <c r="A17" s="8"/>
      <c r="B17" s="11" t="s">
        <v>31</v>
      </c>
      <c r="C17" s="45">
        <f>C13/C15</f>
        <v>3750</v>
      </c>
      <c r="D17" s="23" t="s">
        <v>21</v>
      </c>
      <c r="E17" s="4"/>
      <c r="F17" s="4"/>
      <c r="G17" s="4"/>
      <c r="H17" s="4"/>
      <c r="I17" s="4"/>
      <c r="J17" s="4"/>
      <c r="K17" s="4"/>
      <c r="L17" s="4"/>
    </row>
    <row r="18">
      <c r="A18" s="8"/>
      <c r="B18" s="3" t="s">
        <v>32</v>
      </c>
      <c r="C18" s="41">
        <f>C12*C17</f>
        <v>487.5</v>
      </c>
      <c r="D18" s="22">
        <f>D16*D11</f>
        <v>1453.125</v>
      </c>
      <c r="E18" s="4"/>
      <c r="F18" s="4"/>
      <c r="G18" s="3"/>
      <c r="H18" s="4"/>
      <c r="I18" s="4"/>
      <c r="J18" s="4"/>
      <c r="K18" s="4"/>
      <c r="L18" s="4"/>
    </row>
    <row r="19">
      <c r="A19" s="8"/>
      <c r="B19" s="28" t="s">
        <v>33</v>
      </c>
      <c r="C19" s="29">
        <f t="shared" ref="C19:D19" si="3">C28</f>
        <v>30032</v>
      </c>
      <c r="D19" s="29">
        <f t="shared" si="3"/>
        <v>30792.075</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45</v>
      </c>
      <c r="E23" s="6" t="s">
        <v>35</v>
      </c>
      <c r="F23" s="4"/>
      <c r="G23" s="4"/>
      <c r="H23" s="4"/>
      <c r="I23" s="4"/>
      <c r="J23" s="4"/>
      <c r="K23" s="4"/>
      <c r="L23" s="4"/>
    </row>
    <row r="24">
      <c r="A24" s="31"/>
      <c r="B24" s="32">
        <v>1.0</v>
      </c>
      <c r="C24" s="33"/>
      <c r="D24" s="33"/>
      <c r="E24" s="34">
        <f t="shared" ref="E24:E33" si="4">$D24-$C24</f>
        <v>0</v>
      </c>
      <c r="F24" s="4"/>
      <c r="G24" s="4"/>
      <c r="H24" s="4"/>
      <c r="I24" s="4"/>
      <c r="J24" s="4"/>
      <c r="K24" s="4"/>
      <c r="L24" s="4"/>
    </row>
    <row r="25">
      <c r="A25" s="35"/>
      <c r="B25" s="32">
        <v>2.0</v>
      </c>
      <c r="C25" s="33"/>
      <c r="D25" s="33"/>
      <c r="E25" s="34">
        <f t="shared" si="4"/>
        <v>0</v>
      </c>
      <c r="F25" s="4"/>
      <c r="G25" s="3"/>
      <c r="H25" s="4"/>
      <c r="I25" s="4"/>
      <c r="J25" s="4"/>
      <c r="K25" s="4"/>
      <c r="L25" s="4"/>
    </row>
    <row r="26">
      <c r="A26" s="35"/>
      <c r="B26" s="32">
        <v>3.0</v>
      </c>
      <c r="C26" s="33"/>
      <c r="D26" s="33"/>
      <c r="E26" s="34">
        <f t="shared" si="4"/>
        <v>0</v>
      </c>
      <c r="F26" s="4"/>
      <c r="G26" s="4"/>
      <c r="H26" s="4"/>
      <c r="I26" s="4"/>
      <c r="J26" s="4"/>
      <c r="K26" s="4"/>
      <c r="L26" s="4"/>
    </row>
    <row r="27">
      <c r="A27" s="35"/>
      <c r="B27" s="32">
        <v>4.0</v>
      </c>
      <c r="C27" s="33"/>
      <c r="D27" s="33"/>
      <c r="E27" s="34">
        <f t="shared" si="4"/>
        <v>0</v>
      </c>
      <c r="F27" s="4"/>
      <c r="G27" s="4"/>
      <c r="H27" s="4"/>
      <c r="I27" s="4"/>
      <c r="J27" s="4"/>
      <c r="K27" s="4"/>
      <c r="L27" s="4"/>
    </row>
    <row r="28">
      <c r="A28" s="35"/>
      <c r="B28" s="35">
        <v>5.0</v>
      </c>
      <c r="C28" s="36">
        <f>C9+(B28*C18)+C14+C10</f>
        <v>30032</v>
      </c>
      <c r="D28" s="36">
        <f>D9+(D18*B28)+D14+D10</f>
        <v>30792.075</v>
      </c>
      <c r="E28" s="34">
        <f t="shared" si="4"/>
        <v>760.075</v>
      </c>
      <c r="F28" s="4"/>
      <c r="G28" s="3"/>
      <c r="H28" s="4"/>
      <c r="I28" s="4"/>
      <c r="J28" s="4"/>
      <c r="K28" s="4"/>
      <c r="L28" s="4"/>
    </row>
    <row r="29">
      <c r="A29" s="35"/>
      <c r="B29" s="32">
        <v>6.0</v>
      </c>
      <c r="C29" s="33"/>
      <c r="D29" s="33"/>
      <c r="E29" s="34">
        <f t="shared" si="4"/>
        <v>0</v>
      </c>
      <c r="F29" s="4"/>
      <c r="G29" s="4"/>
      <c r="H29" s="4"/>
      <c r="I29" s="4"/>
      <c r="J29" s="4"/>
      <c r="K29" s="4"/>
      <c r="L29" s="4"/>
    </row>
    <row r="30">
      <c r="A30" s="35"/>
      <c r="B30" s="32">
        <v>7.0</v>
      </c>
      <c r="C30" s="33"/>
      <c r="D30" s="33"/>
      <c r="E30" s="34">
        <f t="shared" si="4"/>
        <v>0</v>
      </c>
      <c r="F30" s="4"/>
      <c r="G30" s="4"/>
      <c r="H30" s="4"/>
      <c r="I30" s="4"/>
      <c r="J30" s="4"/>
      <c r="K30" s="4"/>
      <c r="L30" s="4"/>
    </row>
    <row r="31">
      <c r="A31" s="35"/>
      <c r="B31" s="32">
        <v>8.0</v>
      </c>
      <c r="C31" s="33"/>
      <c r="D31" s="33"/>
      <c r="E31" s="34">
        <f t="shared" si="4"/>
        <v>0</v>
      </c>
      <c r="F31" s="4"/>
      <c r="G31" s="4"/>
      <c r="H31" s="4"/>
      <c r="I31" s="4"/>
      <c r="J31" s="4"/>
      <c r="K31" s="4"/>
      <c r="L31" s="4"/>
    </row>
    <row r="32">
      <c r="A32" s="35"/>
      <c r="B32" s="32">
        <v>9.0</v>
      </c>
      <c r="C32" s="33"/>
      <c r="D32" s="33"/>
      <c r="E32" s="34">
        <f t="shared" si="4"/>
        <v>0</v>
      </c>
      <c r="F32" s="4"/>
      <c r="G32" s="4"/>
      <c r="H32" s="4"/>
      <c r="I32" s="4"/>
      <c r="J32" s="4"/>
      <c r="K32" s="4"/>
      <c r="L32" s="4"/>
    </row>
    <row r="33">
      <c r="A33" s="35"/>
      <c r="B33" s="32">
        <v>10.0</v>
      </c>
      <c r="C33" s="33"/>
      <c r="D33" s="33"/>
      <c r="E33" s="34">
        <f t="shared" si="4"/>
        <v>0</v>
      </c>
      <c r="F33" s="4"/>
      <c r="G33" s="4"/>
      <c r="H33" s="4"/>
      <c r="I33" s="4"/>
      <c r="J33" s="4"/>
      <c r="K33" s="4"/>
      <c r="L33" s="4"/>
    </row>
    <row r="34">
      <c r="A34" s="35"/>
      <c r="B34" s="35"/>
      <c r="C34" s="37"/>
      <c r="D34" s="37"/>
      <c r="E34" s="4"/>
      <c r="F34" s="4"/>
      <c r="G34" s="4"/>
      <c r="H34" s="4"/>
      <c r="I34" s="4"/>
      <c r="J34" s="4"/>
      <c r="K34" s="4"/>
      <c r="L34" s="4"/>
    </row>
    <row r="35">
      <c r="A35" s="35"/>
      <c r="B35" s="35"/>
      <c r="C35" s="37"/>
      <c r="D35" s="37">
        <f>C33-D33</f>
        <v>0</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4">
    <mergeCell ref="J11:L11"/>
    <mergeCell ref="B1:D1"/>
    <mergeCell ref="B2:D2"/>
    <mergeCell ref="G4:G9"/>
  </mergeCells>
  <hyperlinks>
    <hyperlink r:id="rId2" ref="J4"/>
    <hyperlink r:id="rId3" ref="J8"/>
    <hyperlink r:id="rId4" ref="J9"/>
    <hyperlink r:id="rId5" ref="J11"/>
    <hyperlink r:id="rId6" location="style=401779179" ref="E14"/>
    <hyperlink r:id="rId7" ref="E15"/>
  </hyperlinks>
  <drawing r:id="rId8"/>
  <legacy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1"/>
    <col customWidth="1" min="2" max="2" width="55.14"/>
    <col customWidth="1" min="3" max="3" width="38.86"/>
    <col customWidth="1" min="4" max="4" width="47.14"/>
    <col customWidth="1" min="5" max="5" width="41.43"/>
    <col customWidth="1" min="6" max="6" width="25.14"/>
    <col customWidth="1" min="7" max="7" width="45.43"/>
    <col customWidth="1" min="8" max="8" width="3.0"/>
    <col customWidth="1" min="9" max="9" width="27.0"/>
  </cols>
  <sheetData>
    <row r="1">
      <c r="A1" s="1"/>
      <c r="B1" s="2" t="s">
        <v>0</v>
      </c>
      <c r="E1" s="3"/>
      <c r="F1" s="4"/>
      <c r="G1" s="4"/>
      <c r="H1" s="4"/>
      <c r="I1" s="4"/>
      <c r="J1" s="4"/>
      <c r="K1" s="4"/>
      <c r="L1" s="4"/>
    </row>
    <row r="2">
      <c r="A2" s="1"/>
      <c r="B2" s="5"/>
      <c r="E2" s="3"/>
      <c r="F2" s="4"/>
      <c r="G2" s="4"/>
      <c r="H2" s="4"/>
      <c r="I2" s="4"/>
      <c r="J2" s="4"/>
      <c r="K2" s="4"/>
      <c r="L2" s="4"/>
    </row>
    <row r="3">
      <c r="A3" s="1"/>
      <c r="B3" s="5" t="s">
        <v>1</v>
      </c>
      <c r="C3" s="6" t="s">
        <v>37</v>
      </c>
      <c r="D3" s="7" t="s">
        <v>48</v>
      </c>
      <c r="E3" s="3"/>
      <c r="F3" s="4"/>
      <c r="G3" s="4"/>
      <c r="H3" s="4"/>
      <c r="I3" s="4" t="s">
        <v>5</v>
      </c>
      <c r="J3" s="4"/>
      <c r="K3" s="4"/>
      <c r="L3" s="4"/>
    </row>
    <row r="4">
      <c r="A4" s="8"/>
      <c r="B4" s="9" t="s">
        <v>7</v>
      </c>
      <c r="C4" s="10">
        <v>38990.0</v>
      </c>
      <c r="D4" s="10">
        <v>27770.0</v>
      </c>
      <c r="E4" s="10">
        <v>27770.0</v>
      </c>
      <c r="F4" s="11">
        <v>20000.0</v>
      </c>
      <c r="G4" s="9" t="s">
        <v>8</v>
      </c>
      <c r="H4" s="4"/>
      <c r="I4" s="4" t="s">
        <v>9</v>
      </c>
      <c r="J4" s="12" t="s">
        <v>10</v>
      </c>
      <c r="K4" s="4"/>
      <c r="L4" s="4"/>
    </row>
    <row r="5">
      <c r="A5" s="13"/>
      <c r="B5" s="11" t="s">
        <v>39</v>
      </c>
      <c r="C5" s="10">
        <f t="shared" ref="C5:E5" si="1">C4*0.07</f>
        <v>2729.3</v>
      </c>
      <c r="D5" s="10">
        <f t="shared" si="1"/>
        <v>1943.9</v>
      </c>
      <c r="E5" s="10">
        <f t="shared" si="1"/>
        <v>1943.9</v>
      </c>
      <c r="F5" s="11"/>
      <c r="H5" s="4"/>
      <c r="I5" s="4"/>
      <c r="J5" s="12"/>
      <c r="K5" s="4"/>
      <c r="L5" s="4"/>
    </row>
    <row r="6">
      <c r="A6" s="13"/>
      <c r="B6" s="11" t="s">
        <v>40</v>
      </c>
      <c r="C6" s="10">
        <v>1200.0</v>
      </c>
      <c r="D6" s="10">
        <v>1100.0</v>
      </c>
      <c r="E6" s="10">
        <v>1100.0</v>
      </c>
      <c r="F6" s="11"/>
      <c r="H6" s="4"/>
      <c r="I6" s="4"/>
      <c r="J6" s="12"/>
      <c r="K6" s="4"/>
      <c r="L6" s="4"/>
    </row>
    <row r="7">
      <c r="A7" s="13"/>
      <c r="B7" s="11" t="s">
        <v>11</v>
      </c>
      <c r="C7" s="10">
        <f>C4*0.487</f>
        <v>18988.13</v>
      </c>
      <c r="D7" s="10">
        <f>D4*0.382</f>
        <v>10608.14</v>
      </c>
      <c r="E7" s="38">
        <f>SUM(E4:E6)-5000</f>
        <v>25813.9</v>
      </c>
      <c r="F7" s="11"/>
      <c r="H7" s="4"/>
      <c r="I7" s="4"/>
      <c r="J7" s="12"/>
      <c r="K7" s="4"/>
      <c r="L7" s="4"/>
    </row>
    <row r="8">
      <c r="A8" s="13"/>
      <c r="B8" s="16" t="s">
        <v>13</v>
      </c>
      <c r="C8" s="10">
        <v>-1875.0</v>
      </c>
      <c r="D8" s="17">
        <v>0.0</v>
      </c>
      <c r="E8" s="15"/>
      <c r="F8" s="11">
        <v>1.3</v>
      </c>
      <c r="H8" s="4"/>
      <c r="I8" s="4" t="s">
        <v>14</v>
      </c>
      <c r="J8" s="12" t="s">
        <v>15</v>
      </c>
      <c r="K8" s="4"/>
      <c r="L8" s="4"/>
    </row>
    <row r="9">
      <c r="A9" s="13"/>
      <c r="B9" s="3" t="s">
        <v>16</v>
      </c>
      <c r="C9" s="22">
        <f t="shared" ref="C9:D9" si="2">C4-C7+C5+C6+C8</f>
        <v>22056.17</v>
      </c>
      <c r="D9" s="22">
        <f t="shared" si="2"/>
        <v>20205.76</v>
      </c>
      <c r="E9" s="19"/>
      <c r="F9" s="11">
        <v>0.0</v>
      </c>
      <c r="H9" s="4"/>
      <c r="I9" s="4" t="s">
        <v>17</v>
      </c>
      <c r="J9" s="12" t="s">
        <v>18</v>
      </c>
      <c r="K9" s="4"/>
      <c r="L9" s="4"/>
    </row>
    <row r="10">
      <c r="A10" s="8"/>
      <c r="B10" s="39" t="s">
        <v>41</v>
      </c>
      <c r="C10" s="40">
        <v>4238.33</v>
      </c>
      <c r="D10" s="40">
        <v>2885.32</v>
      </c>
      <c r="E10" s="3"/>
      <c r="F10" s="4"/>
      <c r="G10" s="4"/>
      <c r="H10" s="4"/>
      <c r="I10" s="4"/>
      <c r="J10" s="12"/>
      <c r="K10" s="12"/>
      <c r="L10" s="12"/>
    </row>
    <row r="11">
      <c r="A11" s="8"/>
      <c r="B11" s="11" t="s">
        <v>20</v>
      </c>
      <c r="C11" s="14" t="s">
        <v>21</v>
      </c>
      <c r="D11" s="14">
        <v>3.1</v>
      </c>
      <c r="E11" s="3"/>
      <c r="F11" s="4"/>
      <c r="G11" s="4"/>
      <c r="H11" s="4"/>
      <c r="I11" s="4" t="s">
        <v>22</v>
      </c>
      <c r="J11" s="12" t="s">
        <v>23</v>
      </c>
    </row>
    <row r="12">
      <c r="A12" s="8"/>
      <c r="B12" s="11" t="s">
        <v>24</v>
      </c>
      <c r="C12" s="14">
        <v>0.13</v>
      </c>
      <c r="D12" s="14" t="s">
        <v>21</v>
      </c>
      <c r="E12" s="20"/>
      <c r="F12" s="4"/>
      <c r="G12" s="4"/>
      <c r="H12" s="4"/>
    </row>
    <row r="13">
      <c r="A13" s="8"/>
      <c r="B13" s="11" t="s">
        <v>25</v>
      </c>
      <c r="C13" s="21">
        <v>15000.0</v>
      </c>
      <c r="D13" s="21">
        <v>15000.0</v>
      </c>
      <c r="E13" s="3"/>
      <c r="F13" s="4"/>
      <c r="G13" s="4"/>
      <c r="H13" s="4"/>
    </row>
    <row r="14">
      <c r="A14" s="8"/>
      <c r="B14" s="39" t="s">
        <v>42</v>
      </c>
      <c r="C14" s="41">
        <v>1300.0</v>
      </c>
      <c r="D14" s="40">
        <v>3585.0</v>
      </c>
      <c r="E14" s="42" t="s">
        <v>50</v>
      </c>
      <c r="F14" s="4"/>
      <c r="G14" s="4"/>
      <c r="H14" s="4"/>
      <c r="I14" s="4"/>
      <c r="J14" s="4"/>
      <c r="K14" s="4"/>
      <c r="L14" s="4"/>
    </row>
    <row r="15">
      <c r="A15" s="8"/>
      <c r="B15" s="11" t="s">
        <v>28</v>
      </c>
      <c r="C15" s="23">
        <v>4.0</v>
      </c>
      <c r="D15" s="23">
        <v>32.0</v>
      </c>
      <c r="E15" s="43" t="s">
        <v>44</v>
      </c>
      <c r="F15" s="4"/>
      <c r="G15" s="4"/>
      <c r="H15" s="4"/>
      <c r="I15" s="4"/>
      <c r="J15" s="4"/>
      <c r="K15" s="4"/>
      <c r="L15" s="4"/>
    </row>
    <row r="16">
      <c r="A16" s="8"/>
      <c r="B16" s="11" t="s">
        <v>29</v>
      </c>
      <c r="C16" s="23" t="s">
        <v>21</v>
      </c>
      <c r="D16" s="44">
        <f>D13/D15</f>
        <v>468.75</v>
      </c>
      <c r="E16" s="4"/>
      <c r="F16" s="4"/>
      <c r="G16" s="4"/>
      <c r="H16" s="4"/>
      <c r="I16" s="4"/>
      <c r="J16" s="4"/>
      <c r="K16" s="4"/>
      <c r="L16" s="4"/>
    </row>
    <row r="17">
      <c r="A17" s="8"/>
      <c r="B17" s="11" t="s">
        <v>31</v>
      </c>
      <c r="C17" s="45">
        <f>C13/C15</f>
        <v>3750</v>
      </c>
      <c r="D17" s="23" t="s">
        <v>21</v>
      </c>
      <c r="E17" s="4"/>
      <c r="F17" s="4"/>
      <c r="G17" s="4"/>
      <c r="H17" s="4"/>
      <c r="I17" s="4"/>
      <c r="J17" s="4"/>
      <c r="K17" s="4"/>
      <c r="L17" s="4"/>
    </row>
    <row r="18">
      <c r="A18" s="8"/>
      <c r="B18" s="3" t="s">
        <v>32</v>
      </c>
      <c r="C18" s="41">
        <f>C12*C17</f>
        <v>487.5</v>
      </c>
      <c r="D18" s="22">
        <f>D16*D11</f>
        <v>1453.125</v>
      </c>
      <c r="E18" s="4"/>
      <c r="F18" s="4"/>
      <c r="G18" s="3"/>
      <c r="H18" s="4"/>
      <c r="I18" s="4"/>
      <c r="J18" s="4"/>
      <c r="K18" s="4"/>
      <c r="L18" s="4"/>
    </row>
    <row r="19">
      <c r="A19" s="8"/>
      <c r="B19" s="28" t="s">
        <v>33</v>
      </c>
      <c r="C19" s="29">
        <f t="shared" ref="C19:D19" si="3">C28</f>
        <v>30032</v>
      </c>
      <c r="D19" s="29">
        <f t="shared" si="3"/>
        <v>33941.705</v>
      </c>
      <c r="E19" s="30"/>
      <c r="F19" s="4"/>
      <c r="G19" s="3"/>
      <c r="H19" s="4"/>
      <c r="I19" s="4"/>
      <c r="J19" s="4"/>
      <c r="K19" s="4"/>
      <c r="L19" s="4"/>
    </row>
    <row r="20">
      <c r="A20" s="4"/>
      <c r="F20" s="4"/>
      <c r="G20" s="4"/>
      <c r="H20" s="4"/>
      <c r="I20" s="4"/>
      <c r="J20" s="4"/>
      <c r="K20" s="4"/>
      <c r="L20" s="4"/>
    </row>
    <row r="21">
      <c r="A21" s="31"/>
      <c r="B21" s="32"/>
      <c r="C21" s="33"/>
      <c r="D21" s="33"/>
      <c r="E21" s="4"/>
      <c r="F21" s="4"/>
      <c r="G21" s="4"/>
      <c r="H21" s="4"/>
      <c r="I21" s="4"/>
      <c r="J21" s="4"/>
      <c r="K21" s="4"/>
      <c r="L21" s="4"/>
    </row>
    <row r="22">
      <c r="A22" s="31"/>
      <c r="B22" s="32"/>
      <c r="C22" s="33"/>
      <c r="D22" s="33"/>
      <c r="E22" s="4"/>
      <c r="F22" s="4"/>
      <c r="G22" s="4"/>
      <c r="H22" s="4"/>
      <c r="I22" s="4"/>
      <c r="J22" s="4"/>
      <c r="K22" s="4"/>
      <c r="L22" s="4"/>
    </row>
    <row r="23">
      <c r="A23" s="31"/>
      <c r="B23" s="31" t="s">
        <v>34</v>
      </c>
      <c r="C23" s="6" t="s">
        <v>2</v>
      </c>
      <c r="D23" s="7" t="s">
        <v>45</v>
      </c>
      <c r="E23" s="6" t="s">
        <v>35</v>
      </c>
      <c r="F23" s="4"/>
      <c r="G23" s="4"/>
      <c r="H23" s="4"/>
      <c r="I23" s="4"/>
      <c r="J23" s="4"/>
      <c r="K23" s="4"/>
      <c r="L23" s="4"/>
    </row>
    <row r="24">
      <c r="A24" s="31"/>
      <c r="B24" s="32">
        <v>1.0</v>
      </c>
      <c r="C24" s="33"/>
      <c r="D24" s="33"/>
      <c r="E24" s="34">
        <f t="shared" ref="E24:E33" si="4">$D24-$C24</f>
        <v>0</v>
      </c>
      <c r="F24" s="4"/>
      <c r="G24" s="4"/>
      <c r="H24" s="4"/>
      <c r="I24" s="4"/>
      <c r="J24" s="4"/>
      <c r="K24" s="4"/>
      <c r="L24" s="4"/>
    </row>
    <row r="25">
      <c r="A25" s="35"/>
      <c r="B25" s="32">
        <v>2.0</v>
      </c>
      <c r="C25" s="33"/>
      <c r="D25" s="33"/>
      <c r="E25" s="34">
        <f t="shared" si="4"/>
        <v>0</v>
      </c>
      <c r="F25" s="4"/>
      <c r="G25" s="3"/>
      <c r="H25" s="4"/>
      <c r="I25" s="4"/>
      <c r="J25" s="4"/>
      <c r="K25" s="4"/>
      <c r="L25" s="4"/>
    </row>
    <row r="26">
      <c r="A26" s="35"/>
      <c r="B26" s="32">
        <v>3.0</v>
      </c>
      <c r="C26" s="33"/>
      <c r="D26" s="33"/>
      <c r="E26" s="34">
        <f t="shared" si="4"/>
        <v>0</v>
      </c>
      <c r="F26" s="4"/>
      <c r="G26" s="4"/>
      <c r="H26" s="4"/>
      <c r="I26" s="4"/>
      <c r="J26" s="4"/>
      <c r="K26" s="4"/>
      <c r="L26" s="4"/>
    </row>
    <row r="27">
      <c r="A27" s="35"/>
      <c r="B27" s="32">
        <v>4.0</v>
      </c>
      <c r="C27" s="33"/>
      <c r="D27" s="33"/>
      <c r="E27" s="34">
        <f t="shared" si="4"/>
        <v>0</v>
      </c>
      <c r="F27" s="4"/>
      <c r="G27" s="4"/>
      <c r="H27" s="4"/>
      <c r="I27" s="4"/>
      <c r="J27" s="4"/>
      <c r="K27" s="4"/>
      <c r="L27" s="4"/>
    </row>
    <row r="28">
      <c r="A28" s="35"/>
      <c r="B28" s="35">
        <v>5.0</v>
      </c>
      <c r="C28" s="36">
        <f>C9+(B28*C18)+C14+C10</f>
        <v>30032</v>
      </c>
      <c r="D28" s="36">
        <f>D9+(D18*B28)+D14+D10</f>
        <v>33941.705</v>
      </c>
      <c r="E28" s="34">
        <f t="shared" si="4"/>
        <v>3909.705</v>
      </c>
      <c r="F28" s="4"/>
      <c r="G28" s="3"/>
      <c r="H28" s="4"/>
      <c r="I28" s="4"/>
      <c r="J28" s="4"/>
      <c r="K28" s="4"/>
      <c r="L28" s="4"/>
    </row>
    <row r="29">
      <c r="A29" s="35"/>
      <c r="B29" s="32">
        <v>6.0</v>
      </c>
      <c r="C29" s="33"/>
      <c r="D29" s="33"/>
      <c r="E29" s="34">
        <f t="shared" si="4"/>
        <v>0</v>
      </c>
      <c r="F29" s="4"/>
      <c r="G29" s="4"/>
      <c r="H29" s="4"/>
      <c r="I29" s="4"/>
      <c r="J29" s="4"/>
      <c r="K29" s="4"/>
      <c r="L29" s="4"/>
    </row>
    <row r="30">
      <c r="A30" s="35"/>
      <c r="B30" s="32">
        <v>7.0</v>
      </c>
      <c r="C30" s="33"/>
      <c r="D30" s="33"/>
      <c r="E30" s="34">
        <f t="shared" si="4"/>
        <v>0</v>
      </c>
      <c r="F30" s="4"/>
      <c r="G30" s="4"/>
      <c r="H30" s="4"/>
      <c r="I30" s="4"/>
      <c r="J30" s="4"/>
      <c r="K30" s="4"/>
      <c r="L30" s="4"/>
    </row>
    <row r="31">
      <c r="A31" s="35"/>
      <c r="B31" s="32">
        <v>8.0</v>
      </c>
      <c r="C31" s="33"/>
      <c r="D31" s="33"/>
      <c r="E31" s="34">
        <f t="shared" si="4"/>
        <v>0</v>
      </c>
      <c r="F31" s="4"/>
      <c r="G31" s="4"/>
      <c r="H31" s="4"/>
      <c r="I31" s="4"/>
      <c r="J31" s="4"/>
      <c r="K31" s="4"/>
      <c r="L31" s="4"/>
    </row>
    <row r="32">
      <c r="A32" s="35"/>
      <c r="B32" s="32">
        <v>9.0</v>
      </c>
      <c r="C32" s="33"/>
      <c r="D32" s="33"/>
      <c r="E32" s="34">
        <f t="shared" si="4"/>
        <v>0</v>
      </c>
      <c r="F32" s="4"/>
      <c r="G32" s="4"/>
      <c r="H32" s="4"/>
      <c r="I32" s="4"/>
      <c r="J32" s="4"/>
      <c r="K32" s="4"/>
      <c r="L32" s="4"/>
    </row>
    <row r="33">
      <c r="A33" s="35"/>
      <c r="B33" s="32">
        <v>10.0</v>
      </c>
      <c r="C33" s="33"/>
      <c r="D33" s="33"/>
      <c r="E33" s="34">
        <f t="shared" si="4"/>
        <v>0</v>
      </c>
      <c r="F33" s="4"/>
      <c r="G33" s="4"/>
      <c r="H33" s="4"/>
      <c r="I33" s="4"/>
      <c r="J33" s="4"/>
      <c r="K33" s="4"/>
      <c r="L33" s="4"/>
    </row>
    <row r="34">
      <c r="A34" s="35"/>
      <c r="B34" s="35"/>
      <c r="C34" s="37"/>
      <c r="D34" s="37"/>
      <c r="E34" s="4"/>
      <c r="F34" s="4"/>
      <c r="G34" s="4"/>
      <c r="H34" s="4"/>
      <c r="I34" s="4"/>
      <c r="J34" s="4"/>
      <c r="K34" s="4"/>
      <c r="L34" s="4"/>
    </row>
    <row r="35">
      <c r="A35" s="35"/>
      <c r="B35" s="35"/>
      <c r="C35" s="37"/>
      <c r="D35" s="37">
        <f>C33-D33</f>
        <v>0</v>
      </c>
      <c r="E35" s="4"/>
      <c r="F35" s="4"/>
      <c r="G35" s="4"/>
      <c r="H35" s="4"/>
      <c r="I35" s="4"/>
      <c r="J35" s="4"/>
      <c r="K35" s="4"/>
      <c r="L35" s="4"/>
    </row>
    <row r="36">
      <c r="A36" s="35"/>
      <c r="B36" s="35"/>
      <c r="C36" s="37"/>
      <c r="D36" s="37"/>
      <c r="E36" s="4"/>
      <c r="F36" s="4"/>
      <c r="G36" s="4"/>
      <c r="H36" s="4"/>
      <c r="I36" s="4"/>
      <c r="J36" s="4"/>
      <c r="K36" s="4"/>
      <c r="L36" s="4"/>
    </row>
    <row r="37">
      <c r="A37" s="35"/>
      <c r="E37" s="4"/>
      <c r="F37" s="4"/>
      <c r="G37" s="4"/>
      <c r="H37" s="4"/>
      <c r="I37" s="4"/>
      <c r="J37" s="4"/>
      <c r="K37" s="4"/>
      <c r="L37" s="4"/>
    </row>
  </sheetData>
  <mergeCells count="4">
    <mergeCell ref="J11:L11"/>
    <mergeCell ref="B1:D1"/>
    <mergeCell ref="B2:D2"/>
    <mergeCell ref="G4:G9"/>
  </mergeCells>
  <hyperlinks>
    <hyperlink r:id="rId2" ref="J4"/>
    <hyperlink r:id="rId3" ref="J8"/>
    <hyperlink r:id="rId4" ref="J9"/>
    <hyperlink r:id="rId5" ref="J11"/>
    <hyperlink r:id="rId6" location="style=401779177" ref="E14"/>
    <hyperlink r:id="rId7" ref="E15"/>
  </hyperlinks>
  <drawing r:id="rId8"/>
  <legacyDrawing r:id="rId9"/>
</worksheet>
</file>