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13708EF-59D6-49FD-BAC7-163D7B81B89B}" xr6:coauthVersionLast="36" xr6:coauthVersionMax="47" xr10:uidLastSave="{00000000-0000-0000-0000-000000000000}"/>
  <bookViews>
    <workbookView xWindow="-120" yWindow="-120" windowWidth="29040" windowHeight="15720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C10" i="1"/>
  <c r="C9" i="1"/>
  <c r="C7" i="1"/>
  <c r="G9" i="1"/>
  <c r="T3" i="2" l="1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82" i="2"/>
  <c r="S79" i="2"/>
  <c r="S78" i="2"/>
  <c r="S77" i="2"/>
  <c r="S74" i="2"/>
  <c r="S75" i="2" s="1"/>
  <c r="S70" i="2"/>
  <c r="S69" i="2"/>
  <c r="S71" i="2" s="1"/>
  <c r="S66" i="2"/>
  <c r="S67" i="2" s="1"/>
  <c r="S64" i="2"/>
  <c r="S49" i="2"/>
  <c r="S61" i="2"/>
  <c r="S51" i="2"/>
  <c r="S31" i="2"/>
  <c r="S30" i="2"/>
  <c r="S28" i="2"/>
  <c r="S27" i="2"/>
  <c r="S13" i="2"/>
  <c r="S11" i="2"/>
  <c r="S5" i="2" l="1"/>
  <c r="S12" i="2" l="1"/>
  <c r="S22" i="2"/>
  <c r="W8" i="3"/>
  <c r="W7" i="3"/>
  <c r="W12" i="3"/>
  <c r="W11" i="3"/>
  <c r="AD14" i="3"/>
  <c r="AD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8" i="2"/>
  <c r="R74" i="2"/>
  <c r="R70" i="2"/>
  <c r="R69" i="2"/>
  <c r="R49" i="2"/>
  <c r="R51" i="2" s="1"/>
  <c r="R66" i="2" s="1"/>
  <c r="R67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S16" i="2" l="1"/>
  <c r="S23" i="2"/>
  <c r="R77" i="2"/>
  <c r="R71" i="2"/>
  <c r="R75" i="2" s="1"/>
  <c r="R63" i="2"/>
  <c r="R64" i="2" s="1"/>
  <c r="R12" i="2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107" i="2" s="1"/>
  <c r="S125" i="2" s="1"/>
  <c r="S24" i="2"/>
  <c r="R18" i="2"/>
  <c r="R25" i="2"/>
  <c r="Q74" i="2"/>
  <c r="Q78" i="2" s="1"/>
  <c r="Q70" i="2"/>
  <c r="Q69" i="2"/>
  <c r="Q71" i="2" s="1"/>
  <c r="Q61" i="2"/>
  <c r="Q64" i="2" s="1"/>
  <c r="Q49" i="2"/>
  <c r="Q51" i="2" s="1"/>
  <c r="Q66" i="2" s="1"/>
  <c r="Q67" i="2" s="1"/>
  <c r="Q77" i="2" s="1"/>
  <c r="Q36" i="2"/>
  <c r="Q35" i="2"/>
  <c r="Q31" i="2"/>
  <c r="Q28" i="2"/>
  <c r="Q27" i="2"/>
  <c r="Q13" i="2"/>
  <c r="Q11" i="2"/>
  <c r="Q5" i="2"/>
  <c r="Q22" i="2" s="1"/>
  <c r="R19" i="2" l="1"/>
  <c r="R85" i="2"/>
  <c r="R86" i="2" s="1"/>
  <c r="R107" i="2" s="1"/>
  <c r="R125" i="2" s="1"/>
  <c r="R24" i="2"/>
  <c r="Q75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66" i="2" s="1"/>
  <c r="P67" i="2" s="1"/>
  <c r="P77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Q18" i="2" l="1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P16" i="2"/>
  <c r="P23" i="2"/>
  <c r="AF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S80" i="2" s="1"/>
  <c r="O66" i="2"/>
  <c r="O67" i="2" s="1"/>
  <c r="O77" i="2" s="1"/>
  <c r="O12" i="2"/>
  <c r="O75" i="2"/>
  <c r="O82" i="2" l="1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E34" i="2"/>
  <c r="AE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C3" i="2"/>
  <c r="AD3" i="2"/>
  <c r="AE3" i="2"/>
  <c r="AC4" i="2"/>
  <c r="AD4" i="2"/>
  <c r="AE4" i="2"/>
  <c r="AC6" i="2"/>
  <c r="AD6" i="2"/>
  <c r="AE6" i="2"/>
  <c r="AC7" i="2"/>
  <c r="AD7" i="2"/>
  <c r="AE7" i="2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C8" i="2"/>
  <c r="AD8" i="2"/>
  <c r="AD31" i="2" s="1"/>
  <c r="AE8" i="2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C9" i="2"/>
  <c r="AD9" i="2"/>
  <c r="AE9" i="2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C10" i="2"/>
  <c r="AD10" i="2"/>
  <c r="AE10" i="2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C13" i="2"/>
  <c r="AD13" i="2"/>
  <c r="AD14" i="2"/>
  <c r="AE14" i="2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C15" i="2"/>
  <c r="AD15" i="2"/>
  <c r="AC17" i="2"/>
  <c r="AD17" i="2"/>
  <c r="AE17" i="2"/>
  <c r="AF17" i="2" s="1"/>
  <c r="AC20" i="2"/>
  <c r="AD20" i="2"/>
  <c r="AW27" i="2"/>
  <c r="AD28" i="2" l="1"/>
  <c r="AF3" i="2"/>
  <c r="AF5" i="2" s="1"/>
  <c r="AF22" i="2" s="1"/>
  <c r="N82" i="2"/>
  <c r="N79" i="2"/>
  <c r="R80" i="2"/>
  <c r="AC11" i="2"/>
  <c r="AD11" i="2"/>
  <c r="AD5" i="2"/>
  <c r="AC5" i="2"/>
  <c r="AE11" i="2"/>
  <c r="AF6" i="2"/>
  <c r="AG6" i="2" s="1"/>
  <c r="AH6" i="2" s="1"/>
  <c r="AI6" i="2" s="1"/>
  <c r="AJ6" i="2" s="1"/>
  <c r="AF28" i="2"/>
  <c r="AE5" i="2"/>
  <c r="AE22" i="2" s="1"/>
  <c r="AE28" i="2"/>
  <c r="AG17" i="2"/>
  <c r="AE12" i="2" l="1"/>
  <c r="AE23" i="2" s="1"/>
  <c r="AC12" i="2"/>
  <c r="AD12" i="2"/>
  <c r="AD16" i="2" s="1"/>
  <c r="AC22" i="2"/>
  <c r="AD22" i="2"/>
  <c r="AG3" i="2"/>
  <c r="AH3" i="2" s="1"/>
  <c r="AH5" i="2" s="1"/>
  <c r="AF11" i="2"/>
  <c r="AF12" i="2" s="1"/>
  <c r="AF23" i="2" s="1"/>
  <c r="AH11" i="2"/>
  <c r="AI11" i="2"/>
  <c r="AG11" i="2"/>
  <c r="AF4" i="2"/>
  <c r="AH17" i="2"/>
  <c r="AK6" i="2"/>
  <c r="AJ11" i="2"/>
  <c r="AC23" i="2"/>
  <c r="AG5" i="2" l="1"/>
  <c r="AG28" i="2"/>
  <c r="AD23" i="2"/>
  <c r="AG12" i="2"/>
  <c r="AG23" i="2" s="1"/>
  <c r="AI3" i="2"/>
  <c r="AI28" i="2" s="1"/>
  <c r="AH28" i="2"/>
  <c r="AG4" i="2"/>
  <c r="AG22" i="2"/>
  <c r="AI17" i="2"/>
  <c r="AH22" i="2"/>
  <c r="AH12" i="2"/>
  <c r="AL6" i="2"/>
  <c r="AK11" i="2"/>
  <c r="AH4" i="2"/>
  <c r="AD25" i="2"/>
  <c r="AD18" i="2"/>
  <c r="AJ3" i="2" l="1"/>
  <c r="AJ28" i="2" s="1"/>
  <c r="AI5" i="2"/>
  <c r="AI12" i="2" s="1"/>
  <c r="AH23" i="2"/>
  <c r="AD19" i="2"/>
  <c r="AD24" i="2"/>
  <c r="AL11" i="2"/>
  <c r="AM6" i="2"/>
  <c r="AJ17" i="2"/>
  <c r="AI4" i="2" l="1"/>
  <c r="AI22" i="2"/>
  <c r="AJ5" i="2"/>
  <c r="AJ12" i="2" s="1"/>
  <c r="AK3" i="2"/>
  <c r="AK28" i="2" s="1"/>
  <c r="AM11" i="2"/>
  <c r="AN6" i="2"/>
  <c r="AK17" i="2"/>
  <c r="AI23" i="2"/>
  <c r="AJ4" i="2" l="1"/>
  <c r="AJ22" i="2"/>
  <c r="AL3" i="2"/>
  <c r="AL28" i="2" s="1"/>
  <c r="AK5" i="2"/>
  <c r="AK4" i="2" s="1"/>
  <c r="AJ23" i="2"/>
  <c r="AL17" i="2"/>
  <c r="AN11" i="2"/>
  <c r="AO6" i="2"/>
  <c r="AK12" i="2" l="1"/>
  <c r="AK23" i="2" s="1"/>
  <c r="AK22" i="2"/>
  <c r="AM3" i="2"/>
  <c r="AM28" i="2" s="1"/>
  <c r="AL5" i="2"/>
  <c r="AL4" i="2" s="1"/>
  <c r="AO11" i="2"/>
  <c r="AP6" i="2"/>
  <c r="AM17" i="2"/>
  <c r="AL12" i="2" l="1"/>
  <c r="AL23" i="2" s="1"/>
  <c r="AL22" i="2"/>
  <c r="AN3" i="2"/>
  <c r="AN28" i="2" s="1"/>
  <c r="AM5" i="2"/>
  <c r="AM12" i="2" s="1"/>
  <c r="AP11" i="2"/>
  <c r="AQ6" i="2"/>
  <c r="AN17" i="2"/>
  <c r="AM22" i="2" l="1"/>
  <c r="AM4" i="2"/>
  <c r="AO3" i="2"/>
  <c r="AO28" i="2" s="1"/>
  <c r="AN5" i="2"/>
  <c r="AN4" i="2" s="1"/>
  <c r="AQ11" i="2"/>
  <c r="AR6" i="2"/>
  <c r="AM23" i="2"/>
  <c r="AO17" i="2"/>
  <c r="AN12" i="2" l="1"/>
  <c r="AN23" i="2" s="1"/>
  <c r="AN22" i="2"/>
  <c r="AP3" i="2"/>
  <c r="AP28" i="2" s="1"/>
  <c r="AO5" i="2"/>
  <c r="AO4" i="2" s="1"/>
  <c r="AO22" i="2"/>
  <c r="AR11" i="2"/>
  <c r="AS6" i="2"/>
  <c r="AP17" i="2"/>
  <c r="AO12" i="2" l="1"/>
  <c r="AO23" i="2" s="1"/>
  <c r="AQ3" i="2"/>
  <c r="AP5" i="2"/>
  <c r="AP12" i="2" s="1"/>
  <c r="AQ17" i="2"/>
  <c r="AT6" i="2"/>
  <c r="AT11" i="2" s="1"/>
  <c r="AS11" i="2"/>
  <c r="AQ28" i="2" l="1"/>
  <c r="AQ5" i="2"/>
  <c r="AP4" i="2"/>
  <c r="AP22" i="2"/>
  <c r="AR3" i="2"/>
  <c r="AQ4" i="2"/>
  <c r="AP23" i="2"/>
  <c r="AR17" i="2"/>
  <c r="AR28" i="2" l="1"/>
  <c r="AR5" i="2"/>
  <c r="AQ12" i="2"/>
  <c r="AQ23" i="2" s="1"/>
  <c r="AQ22" i="2"/>
  <c r="AS3" i="2"/>
  <c r="AR12" i="2"/>
  <c r="AS17" i="2"/>
  <c r="AS28" i="2" l="1"/>
  <c r="AS5" i="2"/>
  <c r="AS12" i="2" s="1"/>
  <c r="AR4" i="2"/>
  <c r="AR22" i="2"/>
  <c r="AT3" i="2"/>
  <c r="AT5" i="2" s="1"/>
  <c r="AR23" i="2"/>
  <c r="AT28" i="2"/>
  <c r="AT4" i="2"/>
  <c r="AS22" i="2"/>
  <c r="AS4" i="2"/>
  <c r="AT17" i="2"/>
  <c r="AS23" i="2" l="1"/>
  <c r="AT12" i="2"/>
  <c r="AT22" i="2"/>
  <c r="AT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G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H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I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J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K20" i="2" l="1"/>
  <c r="M24" i="2"/>
  <c r="M19" i="2"/>
  <c r="X3" i="2"/>
  <c r="X27" i="2" s="1"/>
  <c r="AL20" i="2" l="1"/>
  <c r="AM20" i="2" l="1"/>
  <c r="L75" i="2"/>
  <c r="K75" i="2"/>
  <c r="I75" i="2"/>
  <c r="G75" i="2"/>
  <c r="H75" i="2"/>
  <c r="F75" i="2"/>
  <c r="H79" i="2" l="1"/>
  <c r="G79" i="2"/>
  <c r="I79" i="2"/>
  <c r="L79" i="2"/>
  <c r="K79" i="2"/>
  <c r="AN20" i="2"/>
  <c r="AK18" i="1"/>
  <c r="X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E13" i="2" s="1"/>
  <c r="AF13" i="2" s="1"/>
  <c r="L11" i="2"/>
  <c r="AG13" i="2" l="1"/>
  <c r="AO20" i="2"/>
  <c r="L12" i="2"/>
  <c r="L66" i="2"/>
  <c r="L67" i="2" s="1"/>
  <c r="K36" i="2"/>
  <c r="W34" i="2"/>
  <c r="L23" i="2" l="1"/>
  <c r="L16" i="2"/>
  <c r="L25" i="2" s="1"/>
  <c r="AH13" i="2"/>
  <c r="AP20" i="2"/>
  <c r="L77" i="2"/>
  <c r="W36" i="2"/>
  <c r="X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I13" i="2"/>
  <c r="AQ20" i="2"/>
  <c r="X36" i="2"/>
  <c r="V3" i="2"/>
  <c r="V27" i="2" s="1"/>
  <c r="V6" i="2"/>
  <c r="V7" i="2"/>
  <c r="V8" i="2"/>
  <c r="V9" i="2"/>
  <c r="V13" i="2"/>
  <c r="V14" i="2"/>
  <c r="V15" i="2"/>
  <c r="V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C34" i="2"/>
  <c r="AD34" i="2"/>
  <c r="AE36" i="2" s="1"/>
  <c r="H82" i="2"/>
  <c r="I82" i="2"/>
  <c r="G82" i="2"/>
  <c r="J35" i="2"/>
  <c r="K82" i="2"/>
  <c r="L82" i="2"/>
  <c r="AJ13" i="2"/>
  <c r="AR20" i="2"/>
  <c r="N36" i="2"/>
  <c r="V5" i="2"/>
  <c r="V28" i="2"/>
  <c r="V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V22" i="2" l="1"/>
  <c r="V12" i="2"/>
  <c r="AD36" i="2"/>
  <c r="AK13" i="2"/>
  <c r="AS20" i="2"/>
  <c r="AJ17" i="1"/>
  <c r="AK17" i="1"/>
  <c r="V4" i="2"/>
  <c r="V23" i="2"/>
  <c r="AJ18" i="1"/>
  <c r="AL13" i="2" l="1"/>
  <c r="AT20" i="2"/>
  <c r="V16" i="2"/>
  <c r="V18" i="2" s="1"/>
  <c r="W6" i="2"/>
  <c r="W3" i="2"/>
  <c r="AM13" i="2" l="1"/>
  <c r="V25" i="2"/>
  <c r="V24" i="2"/>
  <c r="V19" i="2"/>
  <c r="AN13" i="2" l="1"/>
  <c r="W27" i="2"/>
  <c r="W17" i="2"/>
  <c r="W10" i="2"/>
  <c r="X10" i="2" s="1"/>
  <c r="W9" i="2"/>
  <c r="X9" i="2" s="1"/>
  <c r="W8" i="2"/>
  <c r="X8" i="2" s="1"/>
  <c r="X7" i="2"/>
  <c r="W7" i="2"/>
  <c r="X6" i="2"/>
  <c r="X5" i="2"/>
  <c r="W5" i="2"/>
  <c r="AO13" i="2" l="1"/>
  <c r="X30" i="2"/>
  <c r="X31" i="2"/>
  <c r="K61" i="2"/>
  <c r="K64" i="2" s="1"/>
  <c r="K49" i="2"/>
  <c r="K51" i="2" s="1"/>
  <c r="K28" i="2"/>
  <c r="K27" i="2"/>
  <c r="K15" i="2"/>
  <c r="AE15" i="2" s="1"/>
  <c r="AF15" i="2" s="1"/>
  <c r="K11" i="2"/>
  <c r="K5" i="2"/>
  <c r="K22" i="2" s="1"/>
  <c r="P14" i="3"/>
  <c r="T16" i="3" s="1"/>
  <c r="AG15" i="2" l="1"/>
  <c r="AF16" i="2"/>
  <c r="AF18" i="2" s="1"/>
  <c r="AP13" i="2"/>
  <c r="K66" i="2"/>
  <c r="K67" i="2" s="1"/>
  <c r="K77" i="2" s="1"/>
  <c r="Q15" i="3"/>
  <c r="P16" i="3"/>
  <c r="P15" i="3"/>
  <c r="K12" i="2"/>
  <c r="P4" i="3"/>
  <c r="AQ13" i="2" l="1"/>
  <c r="AF25" i="2"/>
  <c r="AH15" i="2"/>
  <c r="AG16" i="2"/>
  <c r="K16" i="2"/>
  <c r="K23" i="2"/>
  <c r="P3" i="3"/>
  <c r="AG25" i="2" l="1"/>
  <c r="AG18" i="2"/>
  <c r="AI15" i="2"/>
  <c r="AH16" i="2"/>
  <c r="AF24" i="2"/>
  <c r="AF19" i="2"/>
  <c r="AR13" i="2"/>
  <c r="K18" i="2"/>
  <c r="K85" i="2" s="1"/>
  <c r="K25" i="2"/>
  <c r="Z14" i="3"/>
  <c r="Z10" i="3"/>
  <c r="Z6" i="3"/>
  <c r="Z2" i="3"/>
  <c r="AA10" i="3"/>
  <c r="AA6" i="3"/>
  <c r="AA2" i="3"/>
  <c r="AS13" i="2" l="1"/>
  <c r="AH18" i="2"/>
  <c r="AH25" i="2"/>
  <c r="AJ15" i="2"/>
  <c r="AI16" i="2"/>
  <c r="AG24" i="2"/>
  <c r="AG19" i="2"/>
  <c r="K19" i="2"/>
  <c r="K24" i="2"/>
  <c r="X22" i="2"/>
  <c r="W22" i="2"/>
  <c r="X15" i="2"/>
  <c r="W15" i="2"/>
  <c r="X14" i="2"/>
  <c r="W14" i="2"/>
  <c r="AC14" i="2" s="1"/>
  <c r="AC16" i="2" s="1"/>
  <c r="X13" i="2"/>
  <c r="W13" i="2"/>
  <c r="AA4" i="3"/>
  <c r="AA14" i="3"/>
  <c r="AB14" i="3"/>
  <c r="AB10" i="3"/>
  <c r="AB6" i="3"/>
  <c r="AB2" i="3"/>
  <c r="AB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I18" i="2" l="1"/>
  <c r="AI25" i="2"/>
  <c r="AK15" i="2"/>
  <c r="AJ16" i="2"/>
  <c r="AH24" i="2"/>
  <c r="AH19" i="2"/>
  <c r="AT13" i="2"/>
  <c r="AC18" i="2"/>
  <c r="AC25" i="2"/>
  <c r="AW24" i="2"/>
  <c r="AB16" i="3"/>
  <c r="W4" i="2"/>
  <c r="X28" i="2"/>
  <c r="W28" i="2"/>
  <c r="W11" i="2"/>
  <c r="W12" i="2" s="1"/>
  <c r="X4" i="2"/>
  <c r="X17" i="2"/>
  <c r="AB12" i="3"/>
  <c r="AA16" i="3"/>
  <c r="AA12" i="3"/>
  <c r="AA8" i="3"/>
  <c r="AB8" i="3"/>
  <c r="C12" i="1"/>
  <c r="E7" i="3"/>
  <c r="E15" i="3" s="1"/>
  <c r="F3" i="3"/>
  <c r="F7" i="3"/>
  <c r="AJ18" i="2" l="1"/>
  <c r="AJ25" i="2"/>
  <c r="AL15" i="2"/>
  <c r="AK16" i="2"/>
  <c r="AI24" i="2"/>
  <c r="AI19" i="2"/>
  <c r="AC19" i="2"/>
  <c r="AC24" i="2"/>
  <c r="X11" i="2"/>
  <c r="X12" i="2" s="1"/>
  <c r="W23" i="2"/>
  <c r="W16" i="2"/>
  <c r="F15" i="3"/>
  <c r="AK18" i="2" l="1"/>
  <c r="AK25" i="2"/>
  <c r="AM15" i="2"/>
  <c r="AL16" i="2"/>
  <c r="AJ24" i="2"/>
  <c r="AJ19" i="2"/>
  <c r="W18" i="2"/>
  <c r="W25" i="2"/>
  <c r="N11" i="2"/>
  <c r="N12" i="2" s="1"/>
  <c r="X23" i="2"/>
  <c r="X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L25" i="2"/>
  <c r="AL18" i="2"/>
  <c r="AN15" i="2"/>
  <c r="AM16" i="2"/>
  <c r="AK24" i="2"/>
  <c r="AK19" i="2"/>
  <c r="N16" i="2"/>
  <c r="AE16" i="2" s="1"/>
  <c r="AE25" i="2" s="1"/>
  <c r="N23" i="2"/>
  <c r="X18" i="2"/>
  <c r="X25" i="2"/>
  <c r="D12" i="2"/>
  <c r="D16" i="2" s="1"/>
  <c r="E12" i="2"/>
  <c r="E16" i="2" s="1"/>
  <c r="E18" i="2" s="1"/>
  <c r="C12" i="2"/>
  <c r="C16" i="2" s="1"/>
  <c r="AO15" i="2" l="1"/>
  <c r="AN16" i="2"/>
  <c r="AM18" i="2"/>
  <c r="AM25" i="2"/>
  <c r="AL24" i="2"/>
  <c r="AL19" i="2"/>
  <c r="N18" i="2"/>
  <c r="AE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M24" i="2" l="1"/>
  <c r="AM19" i="2"/>
  <c r="AN18" i="2"/>
  <c r="AN25" i="2"/>
  <c r="AP15" i="2"/>
  <c r="AO16" i="2"/>
  <c r="N85" i="2"/>
  <c r="N24" i="2"/>
  <c r="AE19" i="2"/>
  <c r="AE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O18" i="2" l="1"/>
  <c r="AO25" i="2"/>
  <c r="AN24" i="2"/>
  <c r="AN19" i="2"/>
  <c r="AQ15" i="2"/>
  <c r="AP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P25" i="2" l="1"/>
  <c r="AP18" i="2"/>
  <c r="AR15" i="2"/>
  <c r="AQ16" i="2"/>
  <c r="AO24" i="2"/>
  <c r="AO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Q18" i="2" l="1"/>
  <c r="AQ25" i="2"/>
  <c r="AS15" i="2"/>
  <c r="AR16" i="2"/>
  <c r="J69" i="2"/>
  <c r="J71" i="2" s="1"/>
  <c r="J75" i="2" s="1"/>
  <c r="AP24" i="2"/>
  <c r="AP19" i="2"/>
  <c r="J51" i="2"/>
  <c r="F12" i="2"/>
  <c r="I12" i="2"/>
  <c r="H12" i="2"/>
  <c r="G5" i="2"/>
  <c r="G22" i="2" s="1"/>
  <c r="G11" i="2"/>
  <c r="J79" i="2" l="1"/>
  <c r="J82" i="2"/>
  <c r="AT15" i="2"/>
  <c r="AT16" i="2" s="1"/>
  <c r="AS16" i="2"/>
  <c r="AR18" i="2"/>
  <c r="AR25" i="2"/>
  <c r="AQ24" i="2"/>
  <c r="AQ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S18" i="2"/>
  <c r="AS25" i="2"/>
  <c r="AT18" i="2"/>
  <c r="AT25" i="2"/>
  <c r="AR24" i="2"/>
  <c r="AR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U18" i="2" l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AT24" i="2"/>
  <c r="AT19" i="2"/>
  <c r="AS24" i="2"/>
  <c r="AS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W24" i="2"/>
  <c r="M4" i="3"/>
  <c r="L4" i="3"/>
  <c r="I4" i="3"/>
  <c r="I8" i="3" s="1"/>
  <c r="G16" i="3"/>
  <c r="W19" i="2" l="1"/>
  <c r="M8" i="3"/>
  <c r="K4" i="3"/>
  <c r="O8" i="3" s="1"/>
  <c r="G11" i="3"/>
  <c r="G4" i="3"/>
  <c r="X19" i="2" l="1"/>
  <c r="X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K18" i="2"/>
  <c r="O7" i="3"/>
  <c r="K7" i="3"/>
  <c r="L7" i="3"/>
  <c r="J7" i="3"/>
  <c r="J15" i="3" s="1"/>
  <c r="BL18" i="2" l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O15" i="3"/>
  <c r="N15" i="3"/>
  <c r="L15" i="3"/>
  <c r="M15" i="3"/>
  <c r="K15" i="3"/>
  <c r="AW23" i="2" l="1"/>
  <c r="AW25" i="2" s="1"/>
  <c r="AW26" i="2" s="1"/>
  <c r="AC10" i="3"/>
  <c r="AC12" i="3" s="1"/>
  <c r="AW28" i="2" l="1"/>
  <c r="AC2" i="3"/>
  <c r="AC6" i="3"/>
  <c r="AC8" i="3" s="1"/>
  <c r="AC4" i="3" l="1"/>
  <c r="AD4" i="3"/>
  <c r="AC14" i="3"/>
  <c r="AC16" i="3" l="1"/>
  <c r="AD16" i="3"/>
</calcChain>
</file>

<file path=xl/sharedStrings.xml><?xml version="1.0" encoding="utf-8"?>
<sst xmlns="http://schemas.openxmlformats.org/spreadsheetml/2006/main" count="844" uniqueCount="394">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</sst>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7" fillId="0" borderId="0" applyFont="0" applyFill="0" applyBorder="0" applyAlignment="0" applyProtection="0"/>
    <xf numFmtId="0" fontId="42" fillId="2" borderId="0" applyNumberFormat="0" applyBorder="0" applyAlignment="0" applyProtection="0"/>
    <xf numFmtId="0" fontId="43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0" fontId="37" fillId="3" borderId="0" applyNumberFormat="0" applyBorder="0" applyAlignment="0" applyProtection="0"/>
  </cellStyleXfs>
  <cellXfs count="353">
    <xf numFmtId="0" fontId="0" fillId="0" borderId="0" xfId="0"/>
    <xf numFmtId="0" fontId="39" fillId="0" borderId="0" xfId="0" applyFont="1"/>
    <xf numFmtId="0" fontId="39" fillId="0" borderId="0" xfId="0" applyFont="1" applyAlignment="1">
      <alignment horizontal="right"/>
    </xf>
    <xf numFmtId="165" fontId="39" fillId="0" borderId="0" xfId="0" applyNumberFormat="1" applyFont="1"/>
    <xf numFmtId="165" fontId="39" fillId="0" borderId="0" xfId="0" applyNumberFormat="1" applyFont="1" applyAlignment="1">
      <alignment horizontal="right"/>
    </xf>
    <xf numFmtId="165" fontId="36" fillId="0" borderId="0" xfId="0" applyNumberFormat="1" applyFont="1" applyAlignment="1">
      <alignment horizontal="right"/>
    </xf>
    <xf numFmtId="0" fontId="36" fillId="0" borderId="0" xfId="0" applyFont="1"/>
    <xf numFmtId="0" fontId="36" fillId="0" borderId="0" xfId="0" applyFont="1" applyAlignment="1">
      <alignment horizontal="right"/>
    </xf>
    <xf numFmtId="4" fontId="36" fillId="0" borderId="0" xfId="0" applyNumberFormat="1" applyFont="1" applyAlignment="1">
      <alignment horizontal="right"/>
    </xf>
    <xf numFmtId="165" fontId="36" fillId="0" borderId="0" xfId="0" applyNumberFormat="1" applyFont="1"/>
    <xf numFmtId="9" fontId="36" fillId="0" borderId="0" xfId="1" applyFont="1" applyAlignment="1">
      <alignment horizontal="right"/>
    </xf>
    <xf numFmtId="0" fontId="35" fillId="0" borderId="0" xfId="0" applyFont="1"/>
    <xf numFmtId="0" fontId="40" fillId="0" borderId="0" xfId="0" applyFont="1"/>
    <xf numFmtId="9" fontId="39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0" fontId="41" fillId="0" borderId="0" xfId="0" applyFont="1"/>
    <xf numFmtId="165" fontId="32" fillId="0" borderId="0" xfId="0" applyNumberFormat="1" applyFont="1" applyAlignment="1">
      <alignment horizontal="right"/>
    </xf>
    <xf numFmtId="0" fontId="42" fillId="2" borderId="0" xfId="2"/>
    <xf numFmtId="0" fontId="42" fillId="2" borderId="0" xfId="2" applyAlignment="1">
      <alignment horizontal="left" indent="1"/>
    </xf>
    <xf numFmtId="0" fontId="43" fillId="2" borderId="0" xfId="3" applyFill="1" applyAlignment="1">
      <alignment horizontal="left" indent="1"/>
    </xf>
    <xf numFmtId="0" fontId="31" fillId="0" borderId="0" xfId="0" applyFont="1"/>
    <xf numFmtId="9" fontId="36" fillId="0" borderId="0" xfId="1" applyFont="1"/>
    <xf numFmtId="0" fontId="31" fillId="0" borderId="0" xfId="0" applyFont="1" applyAlignment="1">
      <alignment horizontal="right"/>
    </xf>
    <xf numFmtId="0" fontId="39" fillId="0" borderId="1" xfId="0" applyFont="1" applyBorder="1" applyAlignment="1">
      <alignment horizontal="right"/>
    </xf>
    <xf numFmtId="0" fontId="39" fillId="0" borderId="2" xfId="0" applyFont="1" applyBorder="1"/>
    <xf numFmtId="0" fontId="31" fillId="0" borderId="2" xfId="0" applyFont="1" applyBorder="1"/>
    <xf numFmtId="9" fontId="31" fillId="0" borderId="0" xfId="1" applyFont="1"/>
    <xf numFmtId="0" fontId="39" fillId="0" borderId="3" xfId="0" applyFont="1" applyBorder="1"/>
    <xf numFmtId="0" fontId="44" fillId="0" borderId="0" xfId="0" applyFont="1" applyAlignment="1">
      <alignment horizontal="right" vertical="center"/>
    </xf>
    <xf numFmtId="166" fontId="39" fillId="0" borderId="0" xfId="4" applyNumberFormat="1" applyFont="1"/>
    <xf numFmtId="9" fontId="39" fillId="0" borderId="0" xfId="1" applyFont="1"/>
    <xf numFmtId="14" fontId="46" fillId="0" borderId="0" xfId="0" applyNumberFormat="1" applyFont="1" applyAlignment="1">
      <alignment horizontal="right"/>
    </xf>
    <xf numFmtId="4" fontId="36" fillId="0" borderId="0" xfId="0" applyNumberFormat="1" applyFont="1"/>
    <xf numFmtId="14" fontId="46" fillId="0" borderId="0" xfId="0" applyNumberFormat="1" applyFont="1"/>
    <xf numFmtId="165" fontId="31" fillId="0" borderId="0" xfId="0" applyNumberFormat="1" applyFont="1"/>
    <xf numFmtId="168" fontId="31" fillId="0" borderId="0" xfId="0" applyNumberFormat="1" applyFont="1"/>
    <xf numFmtId="0" fontId="39" fillId="5" borderId="7" xfId="0" applyFont="1" applyFill="1" applyBorder="1"/>
    <xf numFmtId="165" fontId="31" fillId="0" borderId="2" xfId="0" applyNumberFormat="1" applyFont="1" applyBorder="1"/>
    <xf numFmtId="0" fontId="39" fillId="5" borderId="8" xfId="0" applyFont="1" applyFill="1" applyBorder="1"/>
    <xf numFmtId="165" fontId="31" fillId="0" borderId="3" xfId="0" applyNumberFormat="1" applyFont="1" applyBorder="1"/>
    <xf numFmtId="0" fontId="31" fillId="0" borderId="2" xfId="5" applyFont="1" applyFill="1" applyBorder="1"/>
    <xf numFmtId="165" fontId="36" fillId="0" borderId="1" xfId="0" applyNumberFormat="1" applyFont="1" applyBorder="1"/>
    <xf numFmtId="0" fontId="45" fillId="0" borderId="0" xfId="0" applyFont="1"/>
    <xf numFmtId="168" fontId="36" fillId="0" borderId="0" xfId="0" applyNumberFormat="1" applyFont="1" applyAlignment="1">
      <alignment horizontal="right"/>
    </xf>
    <xf numFmtId="169" fontId="36" fillId="0" borderId="0" xfId="0" applyNumberFormat="1" applyFont="1"/>
    <xf numFmtId="168" fontId="36" fillId="0" borderId="0" xfId="0" applyNumberFormat="1" applyFont="1"/>
    <xf numFmtId="0" fontId="47" fillId="0" borderId="0" xfId="0" applyFont="1" applyAlignment="1">
      <alignment horizontal="right"/>
    </xf>
    <xf numFmtId="0" fontId="30" fillId="0" borderId="0" xfId="0" applyFont="1"/>
    <xf numFmtId="9" fontId="30" fillId="0" borderId="0" xfId="1" applyFont="1"/>
    <xf numFmtId="167" fontId="36" fillId="0" borderId="0" xfId="0" applyNumberFormat="1" applyFont="1" applyAlignment="1">
      <alignment horizontal="right"/>
    </xf>
    <xf numFmtId="1" fontId="36" fillId="0" borderId="0" xfId="0" applyNumberFormat="1" applyFont="1"/>
    <xf numFmtId="17" fontId="48" fillId="0" borderId="1" xfId="0" applyNumberFormat="1" applyFont="1" applyBorder="1" applyAlignment="1">
      <alignment horizontal="right"/>
    </xf>
    <xf numFmtId="0" fontId="48" fillId="0" borderId="0" xfId="0" applyFont="1"/>
    <xf numFmtId="0" fontId="49" fillId="0" borderId="0" xfId="0" applyFont="1" applyAlignment="1">
      <alignment horizontal="right"/>
    </xf>
    <xf numFmtId="9" fontId="49" fillId="0" borderId="0" xfId="0" applyNumberFormat="1" applyFont="1" applyAlignment="1">
      <alignment horizontal="right"/>
    </xf>
    <xf numFmtId="0" fontId="49" fillId="0" borderId="0" xfId="0" applyFont="1"/>
    <xf numFmtId="166" fontId="48" fillId="0" borderId="0" xfId="4" applyNumberFormat="1" applyFont="1"/>
    <xf numFmtId="0" fontId="50" fillId="0" borderId="0" xfId="0" applyFont="1" applyAlignment="1">
      <alignment horizontal="right"/>
    </xf>
    <xf numFmtId="0" fontId="36" fillId="0" borderId="2" xfId="0" applyFont="1" applyBorder="1"/>
    <xf numFmtId="166" fontId="36" fillId="0" borderId="0" xfId="4" applyNumberFormat="1" applyFont="1"/>
    <xf numFmtId="43" fontId="36" fillId="0" borderId="0" xfId="4" applyFont="1"/>
    <xf numFmtId="164" fontId="36" fillId="0" borderId="0" xfId="0" applyNumberFormat="1" applyFont="1"/>
    <xf numFmtId="0" fontId="39" fillId="8" borderId="0" xfId="0" applyFont="1" applyFill="1" applyAlignment="1">
      <alignment horizontal="right"/>
    </xf>
    <xf numFmtId="0" fontId="47" fillId="8" borderId="0" xfId="0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5" fontId="36" fillId="8" borderId="0" xfId="0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169" fontId="36" fillId="8" borderId="0" xfId="1" applyNumberFormat="1" applyFont="1" applyFill="1" applyAlignment="1">
      <alignment horizontal="right"/>
    </xf>
    <xf numFmtId="169" fontId="36" fillId="8" borderId="0" xfId="0" applyNumberFormat="1" applyFont="1" applyFill="1" applyAlignment="1">
      <alignment horizontal="right"/>
    </xf>
    <xf numFmtId="0" fontId="36" fillId="8" borderId="0" xfId="0" applyFont="1" applyFill="1" applyAlignment="1">
      <alignment horizontal="right"/>
    </xf>
    <xf numFmtId="168" fontId="36" fillId="8" borderId="0" xfId="0" applyNumberFormat="1" applyFont="1" applyFill="1" applyAlignment="1">
      <alignment horizontal="right"/>
    </xf>
    <xf numFmtId="4" fontId="36" fillId="8" borderId="0" xfId="0" applyNumberFormat="1" applyFont="1" applyFill="1" applyAlignment="1">
      <alignment horizontal="right"/>
    </xf>
    <xf numFmtId="9" fontId="36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65" fontId="52" fillId="0" borderId="0" xfId="0" applyNumberFormat="1" applyFont="1" applyAlignment="1">
      <alignment horizontal="right"/>
    </xf>
    <xf numFmtId="0" fontId="52" fillId="0" borderId="0" xfId="0" applyFont="1" applyAlignment="1">
      <alignment horizontal="right"/>
    </xf>
    <xf numFmtId="9" fontId="31" fillId="0" borderId="0" xfId="1" applyFont="1" applyBorder="1"/>
    <xf numFmtId="0" fontId="29" fillId="0" borderId="0" xfId="0" applyFont="1"/>
    <xf numFmtId="9" fontId="36" fillId="0" borderId="0" xfId="0" applyNumberFormat="1" applyFont="1" applyAlignment="1">
      <alignment horizontal="right"/>
    </xf>
    <xf numFmtId="165" fontId="39" fillId="0" borderId="0" xfId="1" applyNumberFormat="1" applyFont="1" applyAlignment="1">
      <alignment horizontal="right"/>
    </xf>
    <xf numFmtId="0" fontId="29" fillId="7" borderId="0" xfId="0" applyFont="1" applyFill="1" applyAlignment="1">
      <alignment horizontal="left"/>
    </xf>
    <xf numFmtId="0" fontId="36" fillId="6" borderId="8" xfId="0" applyFont="1" applyFill="1" applyBorder="1"/>
    <xf numFmtId="0" fontId="29" fillId="6" borderId="7" xfId="0" applyFont="1" applyFill="1" applyBorder="1" applyAlignment="1">
      <alignment horizontal="center" vertical="center"/>
    </xf>
    <xf numFmtId="0" fontId="28" fillId="0" borderId="0" xfId="0" applyFont="1"/>
    <xf numFmtId="0" fontId="28" fillId="6" borderId="7" xfId="0" applyFont="1" applyFill="1" applyBorder="1" applyAlignment="1">
      <alignment horizontal="left" indent="1"/>
    </xf>
    <xf numFmtId="0" fontId="36" fillId="6" borderId="0" xfId="0" applyFont="1" applyFill="1"/>
    <xf numFmtId="0" fontId="36" fillId="6" borderId="2" xfId="0" applyFont="1" applyFill="1" applyBorder="1"/>
    <xf numFmtId="0" fontId="39" fillId="6" borderId="7" xfId="0" applyFont="1" applyFill="1" applyBorder="1"/>
    <xf numFmtId="0" fontId="33" fillId="6" borderId="0" xfId="0" applyFont="1" applyFill="1"/>
    <xf numFmtId="0" fontId="28" fillId="6" borderId="8" xfId="0" applyFont="1" applyFill="1" applyBorder="1" applyAlignment="1">
      <alignment horizontal="left" indent="1"/>
    </xf>
    <xf numFmtId="0" fontId="36" fillId="6" borderId="1" xfId="0" applyFont="1" applyFill="1" applyBorder="1"/>
    <xf numFmtId="0" fontId="33" fillId="6" borderId="1" xfId="0" applyFont="1" applyFill="1" applyBorder="1"/>
    <xf numFmtId="0" fontId="36" fillId="6" borderId="3" xfId="0" applyFont="1" applyFill="1" applyBorder="1"/>
    <xf numFmtId="0" fontId="28" fillId="6" borderId="7" xfId="0" applyFont="1" applyFill="1" applyBorder="1" applyAlignment="1">
      <alignment horizontal="left" indent="3"/>
    </xf>
    <xf numFmtId="0" fontId="28" fillId="6" borderId="7" xfId="0" applyFont="1" applyFill="1" applyBorder="1" applyAlignment="1">
      <alignment horizontal="center" vertical="center"/>
    </xf>
    <xf numFmtId="0" fontId="36" fillId="9" borderId="0" xfId="0" applyFont="1" applyFill="1"/>
    <xf numFmtId="43" fontId="27" fillId="0" borderId="0" xfId="4" applyFont="1" applyAlignment="1">
      <alignment horizontal="right"/>
    </xf>
    <xf numFmtId="0" fontId="26" fillId="6" borderId="7" xfId="0" applyFont="1" applyFill="1" applyBorder="1" applyAlignment="1">
      <alignment horizontal="left"/>
    </xf>
    <xf numFmtId="0" fontId="25" fillId="0" borderId="0" xfId="0" applyFont="1"/>
    <xf numFmtId="2" fontId="31" fillId="0" borderId="0" xfId="0" applyNumberFormat="1" applyFont="1"/>
    <xf numFmtId="0" fontId="36" fillId="10" borderId="0" xfId="0" applyFont="1" applyFill="1"/>
    <xf numFmtId="17" fontId="48" fillId="10" borderId="1" xfId="0" applyNumberFormat="1" applyFont="1" applyFill="1" applyBorder="1" applyAlignment="1">
      <alignment horizontal="right"/>
    </xf>
    <xf numFmtId="0" fontId="39" fillId="10" borderId="0" xfId="0" applyFont="1" applyFill="1"/>
    <xf numFmtId="0" fontId="31" fillId="10" borderId="0" xfId="0" applyFont="1" applyFill="1" applyAlignment="1">
      <alignment horizontal="right"/>
    </xf>
    <xf numFmtId="166" fontId="39" fillId="10" borderId="0" xfId="4" applyNumberFormat="1" applyFont="1" applyFill="1"/>
    <xf numFmtId="0" fontId="39" fillId="11" borderId="0" xfId="0" applyFont="1" applyFill="1" applyAlignment="1">
      <alignment horizontal="right"/>
    </xf>
    <xf numFmtId="0" fontId="47" fillId="11" borderId="0" xfId="0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165" fontId="36" fillId="11" borderId="0" xfId="0" applyNumberFormat="1" applyFont="1" applyFill="1" applyAlignment="1">
      <alignment horizontal="right"/>
    </xf>
    <xf numFmtId="9" fontId="36" fillId="11" borderId="0" xfId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165" fontId="39" fillId="11" borderId="0" xfId="0" applyNumberFormat="1" applyFont="1" applyFill="1"/>
    <xf numFmtId="165" fontId="36" fillId="11" borderId="0" xfId="0" applyNumberFormat="1" applyFont="1" applyFill="1"/>
    <xf numFmtId="4" fontId="36" fillId="11" borderId="0" xfId="0" applyNumberFormat="1" applyFont="1" applyFill="1"/>
    <xf numFmtId="0" fontId="36" fillId="11" borderId="0" xfId="0" applyFont="1" applyFill="1"/>
    <xf numFmtId="9" fontId="24" fillId="0" borderId="0" xfId="1" applyFont="1" applyAlignment="1">
      <alignment horizontal="right"/>
    </xf>
    <xf numFmtId="165" fontId="31" fillId="0" borderId="0" xfId="0" applyNumberFormat="1" applyFont="1" applyAlignment="1">
      <alignment horizontal="right"/>
    </xf>
    <xf numFmtId="165" fontId="39" fillId="0" borderId="0" xfId="4" applyNumberFormat="1" applyFont="1"/>
    <xf numFmtId="9" fontId="24" fillId="0" borderId="0" xfId="1" applyFont="1"/>
    <xf numFmtId="9" fontId="36" fillId="6" borderId="6" xfId="0" applyNumberFormat="1" applyFont="1" applyFill="1" applyBorder="1"/>
    <xf numFmtId="9" fontId="36" fillId="6" borderId="2" xfId="0" applyNumberFormat="1" applyFont="1" applyFill="1" applyBorder="1"/>
    <xf numFmtId="170" fontId="36" fillId="6" borderId="2" xfId="0" applyNumberFormat="1" applyFont="1" applyFill="1" applyBorder="1"/>
    <xf numFmtId="2" fontId="39" fillId="6" borderId="2" xfId="0" applyNumberFormat="1" applyFont="1" applyFill="1" applyBorder="1"/>
    <xf numFmtId="0" fontId="31" fillId="6" borderId="2" xfId="0" applyFont="1" applyFill="1" applyBorder="1"/>
    <xf numFmtId="9" fontId="31" fillId="6" borderId="3" xfId="1" applyFont="1" applyFill="1" applyBorder="1"/>
    <xf numFmtId="0" fontId="31" fillId="5" borderId="4" xfId="0" applyFont="1" applyFill="1" applyBorder="1"/>
    <xf numFmtId="0" fontId="31" fillId="5" borderId="7" xfId="0" applyFont="1" applyFill="1" applyBorder="1"/>
    <xf numFmtId="0" fontId="30" fillId="5" borderId="7" xfId="0" applyFont="1" applyFill="1" applyBorder="1"/>
    <xf numFmtId="0" fontId="30" fillId="5" borderId="8" xfId="0" applyFont="1" applyFill="1" applyBorder="1"/>
    <xf numFmtId="0" fontId="49" fillId="11" borderId="0" xfId="0" applyFont="1" applyFill="1"/>
    <xf numFmtId="9" fontId="31" fillId="0" borderId="0" xfId="1" applyFont="1" applyAlignment="1">
      <alignment horizontal="right"/>
    </xf>
    <xf numFmtId="9" fontId="23" fillId="0" borderId="0" xfId="1" applyFont="1"/>
    <xf numFmtId="0" fontId="23" fillId="0" borderId="0" xfId="0" applyFont="1"/>
    <xf numFmtId="0" fontId="22" fillId="0" borderId="0" xfId="0" applyFont="1"/>
    <xf numFmtId="169" fontId="31" fillId="0" borderId="0" xfId="0" applyNumberFormat="1" applyFont="1"/>
    <xf numFmtId="0" fontId="36" fillId="5" borderId="7" xfId="0" applyFont="1" applyFill="1" applyBorder="1" applyAlignment="1">
      <alignment horizontal="center"/>
    </xf>
    <xf numFmtId="0" fontId="36" fillId="5" borderId="8" xfId="0" applyFont="1" applyFill="1" applyBorder="1" applyAlignment="1">
      <alignment horizontal="center"/>
    </xf>
    <xf numFmtId="0" fontId="53" fillId="6" borderId="0" xfId="0" applyFont="1" applyFill="1"/>
    <xf numFmtId="0" fontId="44" fillId="6" borderId="0" xfId="0" applyFont="1" applyFill="1"/>
    <xf numFmtId="0" fontId="49" fillId="6" borderId="0" xfId="0" applyFont="1" applyFill="1"/>
    <xf numFmtId="0" fontId="49" fillId="6" borderId="0" xfId="0" quotePrefix="1" applyFont="1" applyFill="1"/>
    <xf numFmtId="0" fontId="21" fillId="6" borderId="7" xfId="0" applyFont="1" applyFill="1" applyBorder="1" applyAlignment="1">
      <alignment horizontal="center"/>
    </xf>
    <xf numFmtId="0" fontId="28" fillId="6" borderId="7" xfId="0" applyFont="1" applyFill="1" applyBorder="1" applyAlignment="1">
      <alignment horizontal="center"/>
    </xf>
    <xf numFmtId="0" fontId="36" fillId="6" borderId="7" xfId="0" applyFont="1" applyFill="1" applyBorder="1" applyAlignment="1">
      <alignment horizontal="center"/>
    </xf>
    <xf numFmtId="43" fontId="53" fillId="6" borderId="0" xfId="4" applyFont="1" applyFill="1" applyBorder="1" applyAlignment="1">
      <alignment horizontal="left" indent="1"/>
    </xf>
    <xf numFmtId="17" fontId="54" fillId="5" borderId="7" xfId="0" applyNumberFormat="1" applyFont="1" applyFill="1" applyBorder="1" applyAlignment="1">
      <alignment horizontal="center"/>
    </xf>
    <xf numFmtId="165" fontId="55" fillId="0" borderId="0" xfId="0" applyNumberFormat="1" applyFont="1" applyAlignment="1">
      <alignment horizontal="right"/>
    </xf>
    <xf numFmtId="0" fontId="20" fillId="6" borderId="7" xfId="0" applyFont="1" applyFill="1" applyBorder="1" applyAlignment="1">
      <alignment horizontal="center"/>
    </xf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0" borderId="0" xfId="3" applyFont="1" applyAlignment="1">
      <alignment horizontal="right"/>
    </xf>
    <xf numFmtId="0" fontId="39" fillId="12" borderId="0" xfId="0" applyFont="1" applyFill="1" applyAlignment="1">
      <alignment horizontal="right"/>
    </xf>
    <xf numFmtId="0" fontId="47" fillId="12" borderId="0" xfId="0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5" fontId="36" fillId="12" borderId="0" xfId="0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9" fontId="36" fillId="12" borderId="0" xfId="1" applyNumberFormat="1" applyFont="1" applyFill="1" applyAlignment="1">
      <alignment horizontal="right"/>
    </xf>
    <xf numFmtId="169" fontId="36" fillId="12" borderId="0" xfId="0" applyNumberFormat="1" applyFont="1" applyFill="1" applyAlignment="1">
      <alignment horizontal="right"/>
    </xf>
    <xf numFmtId="168" fontId="36" fillId="12" borderId="0" xfId="0" applyNumberFormat="1" applyFont="1" applyFill="1" applyAlignment="1">
      <alignment horizontal="right"/>
    </xf>
    <xf numFmtId="4" fontId="36" fillId="12" borderId="0" xfId="0" applyNumberFormat="1" applyFont="1" applyFill="1" applyAlignment="1">
      <alignment horizontal="right"/>
    </xf>
    <xf numFmtId="0" fontId="36" fillId="12" borderId="0" xfId="0" applyFont="1" applyFill="1" applyAlignment="1">
      <alignment horizontal="right"/>
    </xf>
    <xf numFmtId="9" fontId="36" fillId="12" borderId="0" xfId="1" applyFont="1" applyFill="1" applyAlignment="1">
      <alignment horizontal="right"/>
    </xf>
    <xf numFmtId="9" fontId="39" fillId="12" borderId="0" xfId="1" applyFont="1" applyFill="1" applyAlignment="1">
      <alignment horizontal="right"/>
    </xf>
    <xf numFmtId="171" fontId="39" fillId="12" borderId="0" xfId="4" applyNumberFormat="1" applyFont="1" applyFill="1" applyAlignment="1">
      <alignment horizontal="right"/>
    </xf>
    <xf numFmtId="9" fontId="36" fillId="12" borderId="0" xfId="0" applyNumberFormat="1" applyFont="1" applyFill="1" applyAlignment="1">
      <alignment horizontal="right"/>
    </xf>
    <xf numFmtId="0" fontId="20" fillId="0" borderId="0" xfId="0" applyFont="1"/>
    <xf numFmtId="9" fontId="31" fillId="0" borderId="0" xfId="0" applyNumberFormat="1" applyFont="1"/>
    <xf numFmtId="14" fontId="50" fillId="0" borderId="0" xfId="0" applyNumberFormat="1" applyFont="1" applyAlignment="1">
      <alignment horizontal="right"/>
    </xf>
    <xf numFmtId="0" fontId="50" fillId="10" borderId="0" xfId="0" applyFont="1" applyFill="1" applyAlignment="1">
      <alignment horizontal="right"/>
    </xf>
    <xf numFmtId="0" fontId="48" fillId="10" borderId="0" xfId="0" applyFont="1" applyFill="1"/>
    <xf numFmtId="0" fontId="49" fillId="10" borderId="0" xfId="0" applyFont="1" applyFill="1" applyAlignment="1">
      <alignment horizontal="right"/>
    </xf>
    <xf numFmtId="9" fontId="49" fillId="10" borderId="0" xfId="0" applyNumberFormat="1" applyFont="1" applyFill="1" applyAlignment="1">
      <alignment horizontal="right"/>
    </xf>
    <xf numFmtId="0" fontId="49" fillId="10" borderId="0" xfId="0" applyFont="1" applyFill="1"/>
    <xf numFmtId="17" fontId="39" fillId="5" borderId="7" xfId="0" applyNumberFormat="1" applyFont="1" applyFill="1" applyBorder="1" applyAlignment="1">
      <alignment horizontal="center"/>
    </xf>
    <xf numFmtId="0" fontId="20" fillId="6" borderId="0" xfId="0" applyFont="1" applyFill="1"/>
    <xf numFmtId="0" fontId="20" fillId="6" borderId="0" xfId="0" applyFont="1" applyFill="1" applyAlignment="1">
      <alignment horizontal="left" indent="1"/>
    </xf>
    <xf numFmtId="0" fontId="20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57" fillId="0" borderId="0" xfId="0" applyFont="1"/>
    <xf numFmtId="165" fontId="49" fillId="0" borderId="0" xfId="0" applyNumberFormat="1" applyFont="1" applyAlignment="1">
      <alignment horizontal="right"/>
    </xf>
    <xf numFmtId="0" fontId="17" fillId="0" borderId="0" xfId="0" applyFont="1"/>
    <xf numFmtId="9" fontId="17" fillId="0" borderId="0" xfId="1" applyFont="1" applyAlignment="1">
      <alignment horizontal="right"/>
    </xf>
    <xf numFmtId="9" fontId="17" fillId="11" borderId="0" xfId="1" applyFont="1" applyFill="1" applyAlignment="1">
      <alignment horizontal="right"/>
    </xf>
    <xf numFmtId="9" fontId="17" fillId="8" borderId="0" xfId="1" applyFont="1" applyFill="1" applyAlignment="1">
      <alignment horizontal="right"/>
    </xf>
    <xf numFmtId="9" fontId="17" fillId="12" borderId="0" xfId="1" applyFont="1" applyFill="1" applyAlignment="1">
      <alignment horizontal="right"/>
    </xf>
    <xf numFmtId="172" fontId="36" fillId="0" borderId="0" xfId="0" applyNumberFormat="1" applyFont="1" applyAlignment="1">
      <alignment horizontal="right"/>
    </xf>
    <xf numFmtId="0" fontId="58" fillId="0" borderId="0" xfId="3" applyFont="1" applyAlignment="1">
      <alignment horizontal="right"/>
    </xf>
    <xf numFmtId="168" fontId="16" fillId="0" borderId="0" xfId="0" applyNumberFormat="1" applyFont="1" applyAlignment="1">
      <alignment horizontal="right"/>
    </xf>
    <xf numFmtId="9" fontId="48" fillId="8" borderId="0" xfId="1" applyFont="1" applyFill="1" applyAlignment="1">
      <alignment horizontal="right"/>
    </xf>
    <xf numFmtId="9" fontId="49" fillId="8" borderId="0" xfId="1" applyFont="1" applyFill="1" applyAlignment="1">
      <alignment horizontal="right"/>
    </xf>
    <xf numFmtId="171" fontId="39" fillId="8" borderId="0" xfId="4" applyNumberFormat="1" applyFont="1" applyFill="1" applyAlignment="1">
      <alignment horizontal="right"/>
    </xf>
    <xf numFmtId="9" fontId="36" fillId="8" borderId="0" xfId="0" applyNumberFormat="1" applyFont="1" applyFill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14" fontId="50" fillId="10" borderId="0" xfId="0" applyNumberFormat="1" applyFont="1" applyFill="1" applyAlignment="1">
      <alignment horizontal="right"/>
    </xf>
    <xf numFmtId="166" fontId="48" fillId="10" borderId="0" xfId="4" applyNumberFormat="1" applyFont="1" applyFill="1"/>
    <xf numFmtId="0" fontId="15" fillId="0" borderId="0" xfId="0" applyFont="1"/>
    <xf numFmtId="0" fontId="15" fillId="0" borderId="0" xfId="0" applyFont="1" applyAlignment="1">
      <alignment horizontal="left" indent="1"/>
    </xf>
    <xf numFmtId="0" fontId="15" fillId="6" borderId="7" xfId="0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 indent="2"/>
    </xf>
    <xf numFmtId="3" fontId="39" fillId="0" borderId="0" xfId="0" applyNumberFormat="1" applyFont="1"/>
    <xf numFmtId="0" fontId="14" fillId="0" borderId="0" xfId="0" applyFont="1"/>
    <xf numFmtId="0" fontId="12" fillId="0" borderId="0" xfId="0" applyFont="1"/>
    <xf numFmtId="165" fontId="12" fillId="0" borderId="0" xfId="0" applyNumberFormat="1" applyFont="1"/>
    <xf numFmtId="165" fontId="0" fillId="0" borderId="0" xfId="0" applyNumberFormat="1"/>
    <xf numFmtId="165" fontId="14" fillId="0" borderId="0" xfId="0" applyNumberFormat="1" applyFont="1"/>
    <xf numFmtId="165" fontId="35" fillId="0" borderId="0" xfId="0" applyNumberFormat="1" applyFont="1"/>
    <xf numFmtId="165" fontId="40" fillId="0" borderId="0" xfId="0" applyNumberFormat="1" applyFont="1"/>
    <xf numFmtId="165" fontId="13" fillId="0" borderId="0" xfId="0" applyNumberFormat="1" applyFont="1"/>
    <xf numFmtId="165" fontId="45" fillId="0" borderId="0" xfId="0" applyNumberFormat="1" applyFont="1"/>
    <xf numFmtId="0" fontId="12" fillId="0" borderId="0" xfId="0" applyFont="1" applyAlignment="1">
      <alignment horizontal="right"/>
    </xf>
    <xf numFmtId="165" fontId="12" fillId="0" borderId="0" xfId="0" applyNumberFormat="1" applyFont="1" applyAlignment="1">
      <alignment horizontal="right"/>
    </xf>
    <xf numFmtId="165" fontId="39" fillId="13" borderId="0" xfId="0" applyNumberFormat="1" applyFont="1" applyFill="1"/>
    <xf numFmtId="169" fontId="36" fillId="0" borderId="0" xfId="1" applyNumberFormat="1" applyFont="1" applyFill="1" applyAlignment="1">
      <alignment horizontal="right"/>
    </xf>
    <xf numFmtId="169" fontId="36" fillId="0" borderId="0" xfId="0" applyNumberFormat="1" applyFont="1" applyAlignment="1">
      <alignment horizontal="right"/>
    </xf>
    <xf numFmtId="9" fontId="36" fillId="0" borderId="0" xfId="1" applyFont="1" applyFill="1" applyAlignment="1">
      <alignment horizontal="right"/>
    </xf>
    <xf numFmtId="9" fontId="39" fillId="0" borderId="0" xfId="1" applyFont="1" applyFill="1" applyAlignment="1">
      <alignment horizontal="right"/>
    </xf>
    <xf numFmtId="9" fontId="17" fillId="0" borderId="0" xfId="1" applyFont="1" applyFill="1" applyAlignment="1">
      <alignment horizontal="right"/>
    </xf>
    <xf numFmtId="171" fontId="39" fillId="0" borderId="0" xfId="4" applyNumberFormat="1" applyFont="1" applyFill="1" applyAlignment="1">
      <alignment horizontal="right"/>
    </xf>
    <xf numFmtId="165" fontId="28" fillId="0" borderId="0" xfId="0" applyNumberFormat="1" applyFont="1"/>
    <xf numFmtId="169" fontId="36" fillId="11" borderId="0" xfId="0" applyNumberFormat="1" applyFont="1" applyFill="1"/>
    <xf numFmtId="168" fontId="36" fillId="11" borderId="0" xfId="0" applyNumberFormat="1" applyFont="1" applyFill="1"/>
    <xf numFmtId="0" fontId="39" fillId="11" borderId="0" xfId="0" applyFont="1" applyFill="1"/>
    <xf numFmtId="0" fontId="19" fillId="11" borderId="0" xfId="0" applyFont="1" applyFill="1"/>
    <xf numFmtId="0" fontId="12" fillId="11" borderId="0" xfId="0" applyFont="1" applyFill="1"/>
    <xf numFmtId="0" fontId="56" fillId="0" borderId="0" xfId="3" applyFont="1" applyFill="1" applyAlignment="1">
      <alignment horizontal="right"/>
    </xf>
    <xf numFmtId="165" fontId="10" fillId="0" borderId="0" xfId="0" applyNumberFormat="1" applyFont="1" applyAlignment="1">
      <alignment horizontal="right"/>
    </xf>
    <xf numFmtId="17" fontId="36" fillId="6" borderId="2" xfId="0" applyNumberFormat="1" applyFont="1" applyFill="1" applyBorder="1" applyAlignment="1">
      <alignment horizontal="center"/>
    </xf>
    <xf numFmtId="0" fontId="10" fillId="0" borderId="0" xfId="0" applyFont="1"/>
    <xf numFmtId="0" fontId="39" fillId="14" borderId="0" xfId="0" applyFont="1" applyFill="1" applyAlignment="1">
      <alignment horizontal="right"/>
    </xf>
    <xf numFmtId="0" fontId="47" fillId="14" borderId="0" xfId="0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5" fontId="36" fillId="14" borderId="0" xfId="0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9" fontId="36" fillId="14" borderId="0" xfId="1" applyNumberFormat="1" applyFont="1" applyFill="1" applyAlignment="1">
      <alignment horizontal="right"/>
    </xf>
    <xf numFmtId="169" fontId="36" fillId="14" borderId="0" xfId="0" applyNumberFormat="1" applyFont="1" applyFill="1" applyAlignment="1">
      <alignment horizontal="right"/>
    </xf>
    <xf numFmtId="168" fontId="36" fillId="14" borderId="0" xfId="0" applyNumberFormat="1" applyFont="1" applyFill="1" applyAlignment="1">
      <alignment horizontal="right"/>
    </xf>
    <xf numFmtId="4" fontId="36" fillId="14" borderId="0" xfId="0" applyNumberFormat="1" applyFont="1" applyFill="1" applyAlignment="1">
      <alignment horizontal="right"/>
    </xf>
    <xf numFmtId="0" fontId="36" fillId="14" borderId="0" xfId="0" applyFont="1" applyFill="1" applyAlignment="1">
      <alignment horizontal="right"/>
    </xf>
    <xf numFmtId="9" fontId="36" fillId="14" borderId="0" xfId="1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9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171" fontId="39" fillId="14" borderId="0" xfId="4" applyNumberFormat="1" applyFont="1" applyFill="1" applyAlignment="1">
      <alignment horizontal="right"/>
    </xf>
    <xf numFmtId="9" fontId="36" fillId="14" borderId="0" xfId="0" applyNumberFormat="1" applyFont="1" applyFill="1" applyAlignment="1">
      <alignment horizontal="right"/>
    </xf>
    <xf numFmtId="9" fontId="10" fillId="0" borderId="0" xfId="1" applyFont="1" applyFill="1"/>
    <xf numFmtId="165" fontId="10" fillId="0" borderId="0" xfId="0" applyNumberFormat="1" applyFont="1"/>
    <xf numFmtId="165" fontId="39" fillId="0" borderId="0" xfId="4" applyNumberFormat="1" applyFont="1" applyFill="1"/>
    <xf numFmtId="14" fontId="59" fillId="0" borderId="0" xfId="0" applyNumberFormat="1" applyFont="1" applyAlignment="1">
      <alignment horizontal="right"/>
    </xf>
    <xf numFmtId="0" fontId="10" fillId="6" borderId="8" xfId="0" applyFont="1" applyFill="1" applyBorder="1" applyAlignment="1">
      <alignment horizontal="center"/>
    </xf>
    <xf numFmtId="0" fontId="10" fillId="0" borderId="0" xfId="0" applyFont="1" applyAlignment="1">
      <alignment horizontal="left" indent="1"/>
    </xf>
    <xf numFmtId="3" fontId="9" fillId="0" borderId="0" xfId="0" applyNumberFormat="1" applyFont="1"/>
    <xf numFmtId="3" fontId="39" fillId="0" borderId="0" xfId="0" applyNumberFormat="1" applyFont="1" applyAlignment="1">
      <alignment horizontal="right"/>
    </xf>
    <xf numFmtId="3" fontId="36" fillId="0" borderId="0" xfId="0" applyNumberFormat="1" applyFont="1" applyAlignment="1">
      <alignment horizontal="right"/>
    </xf>
    <xf numFmtId="3" fontId="36" fillId="0" borderId="0" xfId="0" applyNumberFormat="1" applyFont="1"/>
    <xf numFmtId="3" fontId="36" fillId="12" borderId="0" xfId="0" applyNumberFormat="1" applyFont="1" applyFill="1" applyAlignment="1">
      <alignment horizontal="right"/>
    </xf>
    <xf numFmtId="3" fontId="36" fillId="8" borderId="0" xfId="0" applyNumberFormat="1" applyFont="1" applyFill="1" applyAlignment="1">
      <alignment horizontal="right"/>
    </xf>
    <xf numFmtId="3" fontId="36" fillId="14" borderId="0" xfId="0" applyNumberFormat="1" applyFont="1" applyFill="1" applyAlignment="1">
      <alignment horizontal="right"/>
    </xf>
    <xf numFmtId="3" fontId="36" fillId="11" borderId="0" xfId="0" applyNumberFormat="1" applyFont="1" applyFill="1"/>
    <xf numFmtId="0" fontId="8" fillId="0" borderId="0" xfId="0" applyFont="1"/>
    <xf numFmtId="9" fontId="8" fillId="0" borderId="0" xfId="1" applyFont="1" applyFill="1" applyAlignment="1">
      <alignment horizontal="right"/>
    </xf>
    <xf numFmtId="0" fontId="7" fillId="6" borderId="0" xfId="0" applyFont="1" applyFill="1"/>
    <xf numFmtId="0" fontId="7" fillId="6" borderId="0" xfId="0" applyFont="1" applyFill="1" applyAlignment="1">
      <alignment horizontal="left" indent="1"/>
    </xf>
    <xf numFmtId="165" fontId="48" fillId="0" borderId="0" xfId="1" applyNumberFormat="1" applyFont="1" applyFill="1" applyAlignment="1">
      <alignment horizontal="right"/>
    </xf>
    <xf numFmtId="168" fontId="49" fillId="0" borderId="0" xfId="0" applyNumberFormat="1" applyFont="1" applyAlignment="1">
      <alignment horizontal="right"/>
    </xf>
    <xf numFmtId="9" fontId="48" fillId="0" borderId="0" xfId="1" applyFont="1" applyFill="1" applyAlignment="1">
      <alignment horizontal="right"/>
    </xf>
    <xf numFmtId="3" fontId="49" fillId="0" borderId="0" xfId="0" applyNumberFormat="1" applyFont="1"/>
    <xf numFmtId="165" fontId="49" fillId="0" borderId="0" xfId="1" applyNumberFormat="1" applyFont="1" applyFill="1" applyAlignment="1">
      <alignment horizontal="right"/>
    </xf>
    <xf numFmtId="9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8" fillId="14" borderId="0" xfId="0" applyFont="1" applyFill="1" applyAlignment="1">
      <alignment horizontal="right"/>
    </xf>
    <xf numFmtId="165" fontId="48" fillId="14" borderId="0" xfId="1" applyNumberFormat="1" applyFont="1" applyFill="1" applyAlignment="1">
      <alignment horizontal="right"/>
    </xf>
    <xf numFmtId="165" fontId="49" fillId="14" borderId="0" xfId="0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169" fontId="49" fillId="14" borderId="0" xfId="1" applyNumberFormat="1" applyFont="1" applyFill="1" applyAlignment="1">
      <alignment horizontal="right"/>
    </xf>
    <xf numFmtId="169" fontId="49" fillId="14" borderId="0" xfId="0" applyNumberFormat="1" applyFont="1" applyFill="1" applyAlignment="1">
      <alignment horizontal="right"/>
    </xf>
    <xf numFmtId="0" fontId="49" fillId="14" borderId="0" xfId="0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8" fontId="49" fillId="14" borderId="0" xfId="0" applyNumberFormat="1" applyFont="1" applyFill="1" applyAlignment="1">
      <alignment horizontal="right"/>
    </xf>
    <xf numFmtId="4" fontId="49" fillId="14" borderId="0" xfId="0" applyNumberFormat="1" applyFont="1" applyFill="1" applyAlignment="1">
      <alignment horizontal="right"/>
    </xf>
    <xf numFmtId="0" fontId="60" fillId="0" borderId="0" xfId="0" applyFont="1"/>
    <xf numFmtId="0" fontId="61" fillId="0" borderId="0" xfId="0" applyFont="1"/>
    <xf numFmtId="0" fontId="60" fillId="0" borderId="0" xfId="0" applyFont="1" applyAlignment="1">
      <alignment horizontal="right"/>
    </xf>
    <xf numFmtId="165" fontId="60" fillId="0" borderId="0" xfId="0" applyNumberFormat="1" applyFont="1" applyAlignment="1">
      <alignment horizontal="right"/>
    </xf>
    <xf numFmtId="0" fontId="60" fillId="11" borderId="0" xfId="0" applyFont="1" applyFill="1"/>
    <xf numFmtId="0" fontId="5" fillId="0" borderId="0" xfId="0" applyFont="1"/>
    <xf numFmtId="0" fontId="49" fillId="0" borderId="0" xfId="0" applyFont="1" applyAlignment="1">
      <alignment horizontal="left" indent="1"/>
    </xf>
    <xf numFmtId="0" fontId="4" fillId="6" borderId="0" xfId="0" applyFont="1" applyFill="1"/>
    <xf numFmtId="0" fontId="56" fillId="0" borderId="2" xfId="3" applyFont="1" applyBorder="1"/>
    <xf numFmtId="0" fontId="62" fillId="0" borderId="0" xfId="0" applyFont="1"/>
    <xf numFmtId="0" fontId="62" fillId="6" borderId="7" xfId="0" applyFont="1" applyFill="1" applyBorder="1"/>
    <xf numFmtId="0" fontId="62" fillId="6" borderId="0" xfId="0" applyFont="1" applyFill="1"/>
    <xf numFmtId="0" fontId="62" fillId="6" borderId="2" xfId="0" applyFont="1" applyFill="1" applyBorder="1"/>
    <xf numFmtId="0" fontId="62" fillId="6" borderId="8" xfId="0" applyFont="1" applyFill="1" applyBorder="1"/>
    <xf numFmtId="0" fontId="62" fillId="6" borderId="1" xfId="0" applyFont="1" applyFill="1" applyBorder="1"/>
    <xf numFmtId="0" fontId="62" fillId="6" borderId="3" xfId="0" applyFont="1" applyFill="1" applyBorder="1"/>
    <xf numFmtId="0" fontId="62" fillId="6" borderId="7" xfId="0" applyFont="1" applyFill="1" applyBorder="1" applyAlignment="1">
      <alignment horizontal="left" indent="1"/>
    </xf>
    <xf numFmtId="0" fontId="3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 applyAlignment="1">
      <alignment horizontal="left" indent="1"/>
    </xf>
    <xf numFmtId="0" fontId="67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1"/>
    </xf>
    <xf numFmtId="0" fontId="62" fillId="6" borderId="8" xfId="0" applyFont="1" applyFill="1" applyBorder="1" applyAlignment="1">
      <alignment horizontal="left" indent="2"/>
    </xf>
    <xf numFmtId="0" fontId="64" fillId="6" borderId="7" xfId="0" applyFont="1" applyFill="1" applyBorder="1"/>
    <xf numFmtId="0" fontId="43" fillId="0" borderId="0" xfId="3" applyAlignment="1">
      <alignment horizontal="right"/>
    </xf>
    <xf numFmtId="166" fontId="39" fillId="0" borderId="0" xfId="0" applyNumberFormat="1" applyFont="1"/>
    <xf numFmtId="165" fontId="36" fillId="0" borderId="0" xfId="1" applyNumberFormat="1" applyFont="1"/>
    <xf numFmtId="165" fontId="36" fillId="0" borderId="0" xfId="4" applyNumberFormat="1" applyFont="1"/>
    <xf numFmtId="165" fontId="2" fillId="0" borderId="0" xfId="1" applyNumberFormat="1" applyFont="1"/>
    <xf numFmtId="9" fontId="36" fillId="11" borderId="0" xfId="1" applyFont="1" applyFill="1"/>
    <xf numFmtId="166" fontId="36" fillId="11" borderId="0" xfId="4" applyNumberFormat="1" applyFont="1" applyFill="1"/>
    <xf numFmtId="0" fontId="17" fillId="11" borderId="0" xfId="0" applyFont="1" applyFill="1"/>
    <xf numFmtId="0" fontId="14" fillId="11" borderId="0" xfId="0" applyFont="1" applyFill="1"/>
    <xf numFmtId="165" fontId="14" fillId="11" borderId="0" xfId="0" applyNumberFormat="1" applyFont="1" applyFill="1"/>
    <xf numFmtId="165" fontId="2" fillId="0" borderId="0" xfId="0" applyNumberFormat="1" applyFont="1"/>
    <xf numFmtId="0" fontId="29" fillId="6" borderId="0" xfId="0" applyFont="1" applyFill="1" applyAlignment="1">
      <alignment horizontal="center"/>
    </xf>
    <xf numFmtId="0" fontId="36" fillId="6" borderId="2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36" fillId="6" borderId="0" xfId="0" applyFont="1" applyFill="1" applyAlignment="1">
      <alignment horizontal="center"/>
    </xf>
    <xf numFmtId="3" fontId="36" fillId="6" borderId="0" xfId="0" applyNumberFormat="1" applyFont="1" applyFill="1" applyAlignment="1">
      <alignment horizontal="center"/>
    </xf>
    <xf numFmtId="3" fontId="36" fillId="6" borderId="2" xfId="0" applyNumberFormat="1" applyFont="1" applyFill="1" applyBorder="1" applyAlignment="1">
      <alignment horizontal="center"/>
    </xf>
    <xf numFmtId="0" fontId="43" fillId="6" borderId="1" xfId="3" applyFill="1" applyBorder="1" applyAlignment="1">
      <alignment horizontal="center"/>
    </xf>
    <xf numFmtId="0" fontId="43" fillId="6" borderId="3" xfId="3" applyFill="1" applyBorder="1" applyAlignment="1">
      <alignment horizontal="center"/>
    </xf>
    <xf numFmtId="0" fontId="51" fillId="6" borderId="9" xfId="0" applyFont="1" applyFill="1" applyBorder="1" applyAlignment="1">
      <alignment horizontal="center"/>
    </xf>
    <xf numFmtId="0" fontId="51" fillId="6" borderId="11" xfId="0" applyFont="1" applyFill="1" applyBorder="1" applyAlignment="1">
      <alignment horizontal="center"/>
    </xf>
    <xf numFmtId="0" fontId="51" fillId="6" borderId="10" xfId="0" applyFont="1" applyFill="1" applyBorder="1" applyAlignment="1">
      <alignment horizontal="center"/>
    </xf>
    <xf numFmtId="0" fontId="51" fillId="0" borderId="9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8" fillId="6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172" fontId="36" fillId="6" borderId="0" xfId="0" applyNumberFormat="1" applyFont="1" applyFill="1" applyAlignment="1">
      <alignment horizontal="center"/>
    </xf>
    <xf numFmtId="172" fontId="36" fillId="6" borderId="2" xfId="0" applyNumberFormat="1" applyFont="1" applyFill="1" applyBorder="1" applyAlignment="1">
      <alignment horizontal="center"/>
    </xf>
    <xf numFmtId="172" fontId="36" fillId="6" borderId="1" xfId="0" applyNumberFormat="1" applyFont="1" applyFill="1" applyBorder="1" applyAlignment="1">
      <alignment horizontal="center"/>
    </xf>
    <xf numFmtId="172" fontId="36" fillId="6" borderId="3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3" xfId="0" applyFont="1" applyFill="1" applyBorder="1" applyAlignment="1">
      <alignment horizontal="center"/>
    </xf>
    <xf numFmtId="0" fontId="63" fillId="15" borderId="4" xfId="0" applyFont="1" applyFill="1" applyBorder="1" applyAlignment="1">
      <alignment horizontal="center"/>
    </xf>
    <xf numFmtId="0" fontId="63" fillId="15" borderId="5" xfId="0" applyFont="1" applyFill="1" applyBorder="1" applyAlignment="1">
      <alignment horizontal="center"/>
    </xf>
    <xf numFmtId="0" fontId="63" fillId="15" borderId="6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2" xfId="5" applyFont="1" applyFill="1" applyBorder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Metrics!$D$1:$X$1</c:f>
              <c:strCache>
                <c:ptCount val="21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</c:strCache>
            </c:strRef>
          </c:cat>
          <c:val>
            <c:numRef>
              <c:f>Metrics!$D$2:$X$2</c:f>
              <c:numCache>
                <c:formatCode>General</c:formatCode>
                <c:ptCount val="21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Metrics!$D$1:$X$1</c:f>
              <c:strCache>
                <c:ptCount val="21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</c:strCache>
            </c:strRef>
          </c:cat>
          <c:val>
            <c:numRef>
              <c:f>Metrics!$D$6:$W$6</c:f>
              <c:numCache>
                <c:formatCode>General</c:formatCode>
                <c:ptCount val="20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Metrics!$D$1:$X$1</c:f>
              <c:strCache>
                <c:ptCount val="21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</c:strCache>
            </c:strRef>
          </c:cat>
          <c:val>
            <c:numRef>
              <c:f>Metrics!$D$10:$W$10</c:f>
              <c:numCache>
                <c:formatCode>General</c:formatCode>
                <c:ptCount val="20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19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48018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</xdr:colOff>
      <xdr:row>0</xdr:row>
      <xdr:rowOff>0</xdr:rowOff>
    </xdr:from>
    <xdr:to>
      <xdr:col>31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0</xdr:rowOff>
    </xdr:from>
    <xdr:to>
      <xdr:col>30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tabSelected="1" zoomScaleNormal="100" workbookViewId="0">
      <selection activeCell="D9" sqref="D9:D11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33" t="s">
        <v>125</v>
      </c>
      <c r="M1" s="334"/>
      <c r="N1" s="334"/>
      <c r="O1" s="334"/>
      <c r="P1" s="334"/>
      <c r="Q1" s="334"/>
      <c r="R1" s="334"/>
      <c r="S1" s="334"/>
      <c r="T1" s="334"/>
      <c r="U1" s="335"/>
      <c r="W1" s="336" t="s">
        <v>127</v>
      </c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8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4" t="s">
        <v>82</v>
      </c>
      <c r="C5" s="325"/>
      <c r="D5" s="326"/>
      <c r="F5" s="324" t="s">
        <v>193</v>
      </c>
      <c r="G5" s="325"/>
      <c r="H5" s="326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32.86</v>
      </c>
      <c r="D6" s="42"/>
      <c r="F6" s="150" t="s">
        <v>194</v>
      </c>
      <c r="G6" s="327" t="s">
        <v>283</v>
      </c>
      <c r="H6" s="323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Model'!S20</f>
        <v>635.02</v>
      </c>
      <c r="D7" s="352" t="s">
        <v>392</v>
      </c>
      <c r="F7" s="150" t="s">
        <v>282</v>
      </c>
      <c r="G7" s="328">
        <v>2021</v>
      </c>
      <c r="H7" s="323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20866.7572</v>
      </c>
      <c r="D8" s="39"/>
      <c r="F8" s="150" t="s">
        <v>195</v>
      </c>
      <c r="G8" s="328">
        <v>2004</v>
      </c>
      <c r="H8" s="323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Model'!S69</f>
        <v>3469.4790000000003</v>
      </c>
      <c r="D9" s="352" t="s">
        <v>392</v>
      </c>
      <c r="F9" s="150" t="s">
        <v>62</v>
      </c>
      <c r="G9" s="328">
        <f>+Metrics!X2</f>
        <v>77.7</v>
      </c>
      <c r="H9" s="323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Model'!S70</f>
        <v>1005.338</v>
      </c>
      <c r="D10" s="352" t="s">
        <v>392</v>
      </c>
      <c r="F10" s="150" t="s">
        <v>317</v>
      </c>
      <c r="G10" s="329">
        <v>2128</v>
      </c>
      <c r="H10" s="330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2464.1410000000005</v>
      </c>
      <c r="D11" s="352" t="s">
        <v>392</v>
      </c>
      <c r="F11" s="150" t="s">
        <v>198</v>
      </c>
      <c r="G11" s="351" t="s">
        <v>392</v>
      </c>
      <c r="H11" s="232">
        <v>39934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18402.6162</v>
      </c>
      <c r="D12" s="41"/>
      <c r="F12" s="151" t="s">
        <v>196</v>
      </c>
      <c r="G12" s="331" t="s">
        <v>197</v>
      </c>
      <c r="H12" s="332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4" t="s">
        <v>130</v>
      </c>
      <c r="C15" s="325"/>
      <c r="D15" s="326"/>
      <c r="F15" s="324" t="s">
        <v>203</v>
      </c>
      <c r="G15" s="325"/>
      <c r="H15" s="326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22" t="s">
        <v>131</v>
      </c>
      <c r="D16" s="323"/>
      <c r="F16" s="150" t="s">
        <v>204</v>
      </c>
      <c r="G16" s="342">
        <f>C6/'Financial Model'!S67</f>
        <v>332.87216169220289</v>
      </c>
      <c r="H16" s="343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39" t="s">
        <v>165</v>
      </c>
      <c r="D17" s="340"/>
      <c r="F17" s="150" t="s">
        <v>213</v>
      </c>
      <c r="G17" s="342">
        <f>C8/SUM('Financial Model'!P3:S3)</f>
        <v>7.0849329933485681</v>
      </c>
      <c r="H17" s="343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22" t="s">
        <v>134</v>
      </c>
      <c r="D18" s="323"/>
      <c r="F18" s="150" t="s">
        <v>214</v>
      </c>
      <c r="G18" s="342">
        <f>C6/SUM('Financial Model'!P19:S19)</f>
        <v>-17.644777764175899</v>
      </c>
      <c r="H18" s="343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3" t="s">
        <v>381</v>
      </c>
      <c r="C19" s="341" t="s">
        <v>382</v>
      </c>
      <c r="D19" s="323"/>
      <c r="F19" s="150" t="s">
        <v>218</v>
      </c>
      <c r="G19" s="342">
        <f>C12/SUM('Financial Model'!P3:S3)</f>
        <v>6.2482781310797471</v>
      </c>
      <c r="H19" s="343"/>
      <c r="K19" s="27"/>
      <c r="L19" s="57"/>
      <c r="M19" s="57"/>
    </row>
    <row r="20" spans="2:38" x14ac:dyDescent="0.25">
      <c r="B20" s="83"/>
      <c r="C20" s="346"/>
      <c r="D20" s="347"/>
      <c r="F20" s="151" t="s">
        <v>319</v>
      </c>
      <c r="G20" s="344">
        <f>C12/SUM('Financial Model'!P34:S34)</f>
        <v>5.013213988583483</v>
      </c>
      <c r="H20" s="345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24" t="s">
        <v>159</v>
      </c>
      <c r="C23" s="325"/>
      <c r="D23" s="325"/>
      <c r="E23" s="325"/>
      <c r="F23" s="325"/>
      <c r="G23" s="326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24" t="s">
        <v>181</v>
      </c>
      <c r="L31" s="325"/>
      <c r="M31" s="325"/>
      <c r="N31" s="326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24" t="s">
        <v>187</v>
      </c>
      <c r="C33" s="325"/>
      <c r="D33" s="325"/>
      <c r="E33" s="325"/>
      <c r="F33" s="325"/>
      <c r="G33" s="326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1" t="s">
        <v>348</v>
      </c>
    </row>
    <row r="53" spans="2:25" x14ac:dyDescent="0.25">
      <c r="B53" s="201" t="s">
        <v>225</v>
      </c>
      <c r="P53" s="255" t="s">
        <v>307</v>
      </c>
      <c r="Y53" s="291" t="s">
        <v>349</v>
      </c>
    </row>
    <row r="54" spans="2:25" x14ac:dyDescent="0.25">
      <c r="P54" s="233" t="s">
        <v>305</v>
      </c>
      <c r="Y54" s="291" t="s">
        <v>350</v>
      </c>
    </row>
    <row r="55" spans="2:25" x14ac:dyDescent="0.25">
      <c r="B55" s="200" t="s">
        <v>226</v>
      </c>
      <c r="P55" s="233" t="s">
        <v>308</v>
      </c>
      <c r="Y55" s="291" t="s">
        <v>351</v>
      </c>
    </row>
    <row r="56" spans="2:25" x14ac:dyDescent="0.25">
      <c r="Y56" s="291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1" t="s">
        <v>353</v>
      </c>
    </row>
    <row r="59" spans="2:25" x14ac:dyDescent="0.25">
      <c r="B59" s="201" t="s">
        <v>229</v>
      </c>
      <c r="P59" s="233" t="s">
        <v>312</v>
      </c>
      <c r="Y59" s="291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1" t="s">
        <v>355</v>
      </c>
    </row>
    <row r="62" spans="2:25" x14ac:dyDescent="0.25">
      <c r="B62" s="201" t="s">
        <v>232</v>
      </c>
      <c r="P62" s="255" t="s">
        <v>315</v>
      </c>
      <c r="Y62" s="291" t="s">
        <v>356</v>
      </c>
    </row>
    <row r="63" spans="2:25" x14ac:dyDescent="0.25">
      <c r="I63" s="19" t="s">
        <v>58</v>
      </c>
      <c r="P63" s="255" t="s">
        <v>316</v>
      </c>
      <c r="Y63" s="291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1" t="s">
        <v>358</v>
      </c>
    </row>
    <row r="66" spans="2:25" x14ac:dyDescent="0.25">
      <c r="I66" s="20" t="s">
        <v>61</v>
      </c>
      <c r="Y66" s="291" t="s">
        <v>359</v>
      </c>
    </row>
    <row r="67" spans="2:25" ht="15.75" x14ac:dyDescent="0.25">
      <c r="B67" s="200" t="s">
        <v>235</v>
      </c>
      <c r="I67" s="21" t="s">
        <v>63</v>
      </c>
      <c r="Y67" s="291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1" t="s">
        <v>361</v>
      </c>
    </row>
    <row r="71" spans="2:25" x14ac:dyDescent="0.25">
      <c r="B71" s="200" t="s">
        <v>240</v>
      </c>
      <c r="Y71" s="291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1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1" t="s">
        <v>330</v>
      </c>
    </row>
    <row r="76" spans="2:25" x14ac:dyDescent="0.25">
      <c r="B76" s="200" t="s">
        <v>244</v>
      </c>
      <c r="I76" s="85" t="s">
        <v>144</v>
      </c>
      <c r="Y76" s="291" t="s">
        <v>332</v>
      </c>
    </row>
    <row r="77" spans="2:25" x14ac:dyDescent="0.25">
      <c r="B77" s="201" t="s">
        <v>243</v>
      </c>
      <c r="I77" s="85" t="s">
        <v>145</v>
      </c>
      <c r="Y77" s="292" t="s">
        <v>334</v>
      </c>
    </row>
    <row r="78" spans="2:25" x14ac:dyDescent="0.25">
      <c r="I78" s="85" t="s">
        <v>146</v>
      </c>
      <c r="Y78" s="292" t="s">
        <v>335</v>
      </c>
    </row>
    <row r="79" spans="2:25" x14ac:dyDescent="0.25">
      <c r="B79" s="200" t="s">
        <v>245</v>
      </c>
      <c r="I79" s="85" t="s">
        <v>160</v>
      </c>
      <c r="Y79" s="292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1" t="s">
        <v>331</v>
      </c>
    </row>
    <row r="82" spans="2:25" x14ac:dyDescent="0.25">
      <c r="B82" s="200" t="s">
        <v>247</v>
      </c>
      <c r="Y82" s="291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1" t="s">
        <v>337</v>
      </c>
    </row>
    <row r="86" spans="2:25" x14ac:dyDescent="0.25">
      <c r="B86" s="204" t="s">
        <v>251</v>
      </c>
      <c r="Y86" s="291" t="s">
        <v>338</v>
      </c>
    </row>
    <row r="87" spans="2:25" x14ac:dyDescent="0.25">
      <c r="Y87" s="292" t="s">
        <v>339</v>
      </c>
    </row>
    <row r="89" spans="2:25" x14ac:dyDescent="0.25">
      <c r="Y89" s="291" t="s">
        <v>340</v>
      </c>
    </row>
    <row r="90" spans="2:25" x14ac:dyDescent="0.25">
      <c r="Y90" s="292" t="s">
        <v>341</v>
      </c>
    </row>
    <row r="91" spans="2:25" x14ac:dyDescent="0.25">
      <c r="Y91" s="292" t="s">
        <v>342</v>
      </c>
    </row>
    <row r="92" spans="2:25" x14ac:dyDescent="0.25">
      <c r="Y92" s="292" t="s">
        <v>343</v>
      </c>
    </row>
    <row r="93" spans="2:25" x14ac:dyDescent="0.25">
      <c r="Y93" s="292" t="s">
        <v>344</v>
      </c>
    </row>
    <row r="94" spans="2:25" x14ac:dyDescent="0.25">
      <c r="Y94" s="292"/>
    </row>
    <row r="95" spans="2:25" x14ac:dyDescent="0.25">
      <c r="Y95" s="291" t="s">
        <v>346</v>
      </c>
    </row>
    <row r="96" spans="2:25" x14ac:dyDescent="0.25">
      <c r="Y96" s="292" t="s">
        <v>345</v>
      </c>
    </row>
    <row r="97" spans="25:25" x14ac:dyDescent="0.25">
      <c r="Y97" s="292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8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G128"/>
  <sheetViews>
    <sheetView zoomScaleNormal="100" workbookViewId="0">
      <pane xSplit="2" ySplit="2" topLeftCell="C43" activePane="bottomRight" state="frozen"/>
      <selection pane="topRight" activeCell="C1" sqref="C1"/>
      <selection pane="bottomLeft" activeCell="A2" sqref="A2"/>
      <selection pane="bottomRight" activeCell="P43" sqref="P43:S4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4"/>
    <col min="16" max="19" width="9" style="6"/>
    <col min="20" max="20" width="9" style="116"/>
    <col min="21" max="21" width="9" style="6"/>
    <col min="22" max="24" width="9" style="7"/>
    <col min="25" max="28" width="9" style="6"/>
    <col min="29" max="29" width="10.5" style="6" bestFit="1" customWidth="1"/>
    <col min="30" max="30" width="9.125" style="6" bestFit="1" customWidth="1"/>
    <col min="31" max="31" width="9" style="6"/>
    <col min="32" max="32" width="9" style="116" bestFit="1" customWidth="1"/>
    <col min="33" max="47" width="9" style="6"/>
    <col min="48" max="48" width="15.875" style="6" bestFit="1" customWidth="1"/>
    <col min="49" max="49" width="10" style="6" bestFit="1" customWidth="1"/>
    <col min="50" max="50" width="9" style="6"/>
    <col min="51" max="51" width="10.125" style="6" bestFit="1" customWidth="1"/>
    <col min="52" max="16384" width="9" style="6"/>
  </cols>
  <sheetData>
    <row r="1" spans="2:50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1" t="s">
        <v>14</v>
      </c>
      <c r="R1" s="190" t="s">
        <v>391</v>
      </c>
      <c r="S1" s="152" t="s">
        <v>392</v>
      </c>
      <c r="T1" s="107" t="s">
        <v>393</v>
      </c>
      <c r="U1" s="2"/>
      <c r="V1" s="64" t="s">
        <v>8</v>
      </c>
      <c r="W1" s="153" t="s">
        <v>13</v>
      </c>
      <c r="X1" s="64" t="s">
        <v>14</v>
      </c>
      <c r="Y1" s="234" t="s">
        <v>15</v>
      </c>
      <c r="Z1" s="276" t="s">
        <v>108</v>
      </c>
      <c r="AC1" s="2" t="s">
        <v>89</v>
      </c>
      <c r="AD1" s="2" t="s">
        <v>90</v>
      </c>
      <c r="AE1" s="2" t="s">
        <v>91</v>
      </c>
      <c r="AF1" s="107" t="s">
        <v>95</v>
      </c>
      <c r="AG1" s="2" t="s">
        <v>96</v>
      </c>
      <c r="AH1" s="2" t="s">
        <v>97</v>
      </c>
      <c r="AI1" s="2" t="s">
        <v>98</v>
      </c>
      <c r="AJ1" s="2" t="s">
        <v>99</v>
      </c>
      <c r="AK1" s="2" t="s">
        <v>100</v>
      </c>
      <c r="AL1" s="2" t="s">
        <v>101</v>
      </c>
      <c r="AM1" s="2" t="s">
        <v>102</v>
      </c>
      <c r="AN1" s="2" t="s">
        <v>103</v>
      </c>
      <c r="AO1" s="2" t="s">
        <v>104</v>
      </c>
      <c r="AP1" s="2" t="s">
        <v>105</v>
      </c>
      <c r="AQ1" s="2" t="s">
        <v>106</v>
      </c>
      <c r="AR1" s="2" t="s">
        <v>107</v>
      </c>
      <c r="AS1" s="2" t="s">
        <v>112</v>
      </c>
      <c r="AT1" s="2" t="s">
        <v>113</v>
      </c>
    </row>
    <row r="2" spans="2:50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227"/>
      <c r="V2" s="65" t="s">
        <v>285</v>
      </c>
      <c r="W2" s="154" t="s">
        <v>286</v>
      </c>
      <c r="X2" s="65" t="s">
        <v>285</v>
      </c>
      <c r="Y2" s="235" t="s">
        <v>287</v>
      </c>
      <c r="Z2" s="235" t="s">
        <v>287</v>
      </c>
      <c r="AC2" s="33">
        <v>44196</v>
      </c>
      <c r="AD2" s="33">
        <v>44561</v>
      </c>
      <c r="AE2" s="253">
        <v>44926</v>
      </c>
      <c r="AF2" s="10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</row>
    <row r="3" spans="2:50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113">
        <f>+S3*1.08</f>
        <v>865.404</v>
      </c>
      <c r="V3" s="66">
        <f>G3*1.67</f>
        <v>646.24991999999997</v>
      </c>
      <c r="W3" s="155">
        <f>H3*1.23</f>
        <v>558.54300000000001</v>
      </c>
      <c r="X3" s="66">
        <f>I3*1.25</f>
        <v>636.67000000000007</v>
      </c>
      <c r="Y3" s="236">
        <v>621.24839999999995</v>
      </c>
      <c r="Z3" s="277">
        <v>607.95420000000001</v>
      </c>
      <c r="AC3" s="3">
        <f>SUM(C3:F3)</f>
        <v>923.88499999999999</v>
      </c>
      <c r="AD3" s="3">
        <f>SUM(G3:J3)</f>
        <v>1919.181</v>
      </c>
      <c r="AE3" s="3">
        <f>SUM(K3:N3)</f>
        <v>2225.0519999999997</v>
      </c>
      <c r="AF3" s="113">
        <f>AE3*1.3</f>
        <v>2892.5675999999999</v>
      </c>
      <c r="AG3" s="3">
        <f t="shared" ref="AG3:AR3" si="0">AF3*1.15</f>
        <v>3326.4527399999997</v>
      </c>
      <c r="AH3" s="3">
        <f t="shared" si="0"/>
        <v>3825.4206509999995</v>
      </c>
      <c r="AI3" s="3">
        <f t="shared" si="0"/>
        <v>4399.2337486499991</v>
      </c>
      <c r="AJ3" s="3">
        <f>AI3*1.05</f>
        <v>4619.1954360824993</v>
      </c>
      <c r="AK3" s="3">
        <f t="shared" si="0"/>
        <v>5312.0747514948735</v>
      </c>
      <c r="AL3" s="3">
        <f t="shared" si="0"/>
        <v>6108.8859642191037</v>
      </c>
      <c r="AM3" s="3">
        <f t="shared" si="0"/>
        <v>7025.2188588519684</v>
      </c>
      <c r="AN3" s="3">
        <f t="shared" si="0"/>
        <v>8079.0016876797627</v>
      </c>
      <c r="AO3" s="3">
        <f t="shared" si="0"/>
        <v>9290.8519408317261</v>
      </c>
      <c r="AP3" s="3">
        <f t="shared" si="0"/>
        <v>10684.479731956484</v>
      </c>
      <c r="AQ3" s="3">
        <f t="shared" si="0"/>
        <v>12287.151691749956</v>
      </c>
      <c r="AR3" s="3">
        <f t="shared" si="0"/>
        <v>14130.224445512447</v>
      </c>
      <c r="AS3" s="3">
        <f t="shared" ref="AS3:AT3" si="1">AR3*1.15</f>
        <v>16249.758112339314</v>
      </c>
      <c r="AT3" s="3">
        <f t="shared" si="1"/>
        <v>18687.22182919021</v>
      </c>
    </row>
    <row r="4" spans="2:50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V4" s="67">
        <f>V3-V5</f>
        <v>174.48747839999999</v>
      </c>
      <c r="W4" s="156">
        <f>W3-W5</f>
        <v>145.22118</v>
      </c>
      <c r="X4" s="67">
        <f>X3-X5</f>
        <v>165.5342</v>
      </c>
      <c r="Y4" s="237">
        <v>107.47144999999999</v>
      </c>
      <c r="Z4" s="278">
        <v>151.98855</v>
      </c>
      <c r="AC4" s="36">
        <f>SUM(C4:F4)</f>
        <v>239.89799999999997</v>
      </c>
      <c r="AD4" s="36">
        <f>SUM(G4:J4)</f>
        <v>496.87</v>
      </c>
      <c r="AE4" s="224">
        <f>SUM(K4:N4)</f>
        <v>547.65800000000002</v>
      </c>
      <c r="AF4" s="114">
        <f>AF3-AF5</f>
        <v>665.29054799999994</v>
      </c>
      <c r="AG4" s="9">
        <f t="shared" ref="AG4:AR4" si="2">AG3-AG5</f>
        <v>765.08413019999989</v>
      </c>
      <c r="AH4" s="9">
        <f t="shared" si="2"/>
        <v>879.84674972999983</v>
      </c>
      <c r="AI4" s="9">
        <f t="shared" si="2"/>
        <v>1011.8237621894996</v>
      </c>
      <c r="AJ4" s="9">
        <f t="shared" si="2"/>
        <v>1062.4149502989749</v>
      </c>
      <c r="AK4" s="9">
        <f t="shared" si="2"/>
        <v>1221.777192843821</v>
      </c>
      <c r="AL4" s="9">
        <f t="shared" si="2"/>
        <v>1405.0437717703935</v>
      </c>
      <c r="AM4" s="9">
        <f t="shared" si="2"/>
        <v>1615.8003375359522</v>
      </c>
      <c r="AN4" s="9">
        <f t="shared" si="2"/>
        <v>1858.1703881663452</v>
      </c>
      <c r="AO4" s="9">
        <f t="shared" si="2"/>
        <v>2136.895946391297</v>
      </c>
      <c r="AP4" s="9">
        <f t="shared" si="2"/>
        <v>2457.4303383499919</v>
      </c>
      <c r="AQ4" s="9">
        <f t="shared" si="2"/>
        <v>2826.0448891024898</v>
      </c>
      <c r="AR4" s="9">
        <f t="shared" si="2"/>
        <v>3249.9516224678628</v>
      </c>
      <c r="AS4" s="9">
        <f t="shared" ref="AS4" si="3">AS3-AS5</f>
        <v>3737.4443658380424</v>
      </c>
      <c r="AT4" s="9">
        <f t="shared" ref="AT4" si="4">AT3-AT5</f>
        <v>4298.0610207137488</v>
      </c>
    </row>
    <row r="5" spans="2:50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S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227"/>
      <c r="U5" s="1"/>
      <c r="V5" s="68">
        <f>V3*0.73</f>
        <v>471.76244159999999</v>
      </c>
      <c r="W5" s="157">
        <f>W3*0.74</f>
        <v>413.32182</v>
      </c>
      <c r="X5" s="68">
        <f>X3*0.74</f>
        <v>471.13580000000007</v>
      </c>
      <c r="Y5" s="238">
        <v>472.14878399999998</v>
      </c>
      <c r="Z5" s="279">
        <v>455.96564999999998</v>
      </c>
      <c r="AA5" s="1"/>
      <c r="AB5" s="1"/>
      <c r="AC5" s="3">
        <f>AC3-AC4</f>
        <v>683.98700000000008</v>
      </c>
      <c r="AD5" s="3">
        <f>AD3-AD4</f>
        <v>1422.3110000000001</v>
      </c>
      <c r="AE5" s="3">
        <f>AE3-AE4</f>
        <v>1677.3939999999998</v>
      </c>
      <c r="AF5" s="113">
        <f>AF3*0.77</f>
        <v>2227.2770519999999</v>
      </c>
      <c r="AG5" s="3">
        <f>AG3*0.77</f>
        <v>2561.3686097999998</v>
      </c>
      <c r="AH5" s="3">
        <f t="shared" ref="AH5:AT5" si="7">AH3*0.77</f>
        <v>2945.5739012699996</v>
      </c>
      <c r="AI5" s="3">
        <f t="shared" si="7"/>
        <v>3387.4099864604996</v>
      </c>
      <c r="AJ5" s="3">
        <f t="shared" si="7"/>
        <v>3556.7804857835245</v>
      </c>
      <c r="AK5" s="3">
        <f t="shared" si="7"/>
        <v>4090.2975586510524</v>
      </c>
      <c r="AL5" s="3">
        <f t="shared" si="7"/>
        <v>4703.8421924487102</v>
      </c>
      <c r="AM5" s="3">
        <f t="shared" si="7"/>
        <v>5409.4185213160163</v>
      </c>
      <c r="AN5" s="3">
        <f t="shared" si="7"/>
        <v>6220.8312995134174</v>
      </c>
      <c r="AO5" s="3">
        <f t="shared" si="7"/>
        <v>7153.9559944404291</v>
      </c>
      <c r="AP5" s="3">
        <f t="shared" si="7"/>
        <v>8227.0493936064922</v>
      </c>
      <c r="AQ5" s="3">
        <f t="shared" si="7"/>
        <v>9461.1068026474659</v>
      </c>
      <c r="AR5" s="3">
        <f t="shared" si="7"/>
        <v>10880.272823044585</v>
      </c>
      <c r="AS5" s="3">
        <f t="shared" si="7"/>
        <v>12512.313746501271</v>
      </c>
      <c r="AT5" s="3">
        <f t="shared" si="7"/>
        <v>14389.160808476461</v>
      </c>
    </row>
    <row r="6" spans="2:50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2">
        <v>182.44</v>
      </c>
      <c r="P6" s="272">
        <v>165.84299999999999</v>
      </c>
      <c r="Q6" s="272">
        <v>170.71899999999999</v>
      </c>
      <c r="R6" s="272">
        <v>221.75</v>
      </c>
      <c r="S6" s="272">
        <v>202.405</v>
      </c>
      <c r="T6" s="316"/>
      <c r="U6" s="23"/>
      <c r="V6" s="69">
        <f>G6*1.025</f>
        <v>121.91144999999999</v>
      </c>
      <c r="W6" s="158">
        <f>H6*1.23</f>
        <v>159.54821999999999</v>
      </c>
      <c r="X6" s="69">
        <f>I6*1.15</f>
        <v>149.44479999999999</v>
      </c>
      <c r="Y6" s="239">
        <v>183.67455000000001</v>
      </c>
      <c r="Z6" s="280"/>
      <c r="AC6" s="36">
        <f>SUM(C6:F6)</f>
        <v>328.74</v>
      </c>
      <c r="AD6" s="36">
        <f>SUM(G6:J6)</f>
        <v>538.32100000000003</v>
      </c>
      <c r="AE6" s="36">
        <f>SUM(K6:N6)</f>
        <v>623.85500000000002</v>
      </c>
      <c r="AF6" s="225">
        <f>AE6*1.015</f>
        <v>633.21282499999995</v>
      </c>
      <c r="AG6" s="46">
        <f t="shared" ref="AG6:AR6" si="8">AF6*1.015</f>
        <v>642.71101737499987</v>
      </c>
      <c r="AH6" s="46">
        <f t="shared" si="8"/>
        <v>652.3516826356248</v>
      </c>
      <c r="AI6" s="46">
        <f t="shared" si="8"/>
        <v>662.13695787515906</v>
      </c>
      <c r="AJ6" s="46">
        <f t="shared" si="8"/>
        <v>672.06901224328635</v>
      </c>
      <c r="AK6" s="46">
        <f t="shared" si="8"/>
        <v>682.15004742693554</v>
      </c>
      <c r="AL6" s="46">
        <f t="shared" si="8"/>
        <v>692.38229813833948</v>
      </c>
      <c r="AM6" s="46">
        <f t="shared" si="8"/>
        <v>702.76803261041448</v>
      </c>
      <c r="AN6" s="46">
        <f t="shared" si="8"/>
        <v>713.30955309957062</v>
      </c>
      <c r="AO6" s="46">
        <f t="shared" si="8"/>
        <v>724.00919639606411</v>
      </c>
      <c r="AP6" s="46">
        <f t="shared" si="8"/>
        <v>734.869334342005</v>
      </c>
      <c r="AQ6" s="46">
        <f t="shared" si="8"/>
        <v>745.89237435713505</v>
      </c>
      <c r="AR6" s="46">
        <f t="shared" si="8"/>
        <v>757.08075997249205</v>
      </c>
      <c r="AS6" s="46">
        <f t="shared" ref="AS6:AT6" si="9">AR6*1.015</f>
        <v>768.43697137207937</v>
      </c>
      <c r="AT6" s="46">
        <f t="shared" si="9"/>
        <v>779.96352594266045</v>
      </c>
    </row>
    <row r="7" spans="2:50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2">
        <v>211.04400000000001</v>
      </c>
      <c r="P7" s="272">
        <v>225.03899999999999</v>
      </c>
      <c r="Q7" s="272">
        <v>218.96799999999999</v>
      </c>
      <c r="R7" s="272">
        <v>223.31</v>
      </c>
      <c r="S7" s="315">
        <v>226.934</v>
      </c>
      <c r="T7" s="316"/>
      <c r="U7" s="23"/>
      <c r="V7" s="69">
        <f>J7*1.11</f>
        <v>150.94779000000003</v>
      </c>
      <c r="W7" s="158">
        <f>H7*1.5</f>
        <v>163.47900000000001</v>
      </c>
      <c r="X7" s="69">
        <f>I7*1.5</f>
        <v>176.0805</v>
      </c>
      <c r="Y7" s="239">
        <v>203.98349999999999</v>
      </c>
      <c r="Z7" s="280"/>
      <c r="AC7" s="36">
        <f>SUM(C7:F7)</f>
        <v>264.226</v>
      </c>
      <c r="AD7" s="36">
        <f>SUM(G7:J7)</f>
        <v>456.49800000000005</v>
      </c>
      <c r="AE7" s="36">
        <f>SUM(K7:N7)</f>
        <v>689.08100000000002</v>
      </c>
      <c r="AF7" s="225">
        <f>AE7*1.05</f>
        <v>723.53505000000007</v>
      </c>
      <c r="AG7" s="46">
        <f t="shared" ref="AG7:AR7" si="10">AF7*1.05</f>
        <v>759.71180250000009</v>
      </c>
      <c r="AH7" s="46">
        <f t="shared" si="10"/>
        <v>797.69739262500013</v>
      </c>
      <c r="AI7" s="46">
        <f t="shared" si="10"/>
        <v>837.58226225625015</v>
      </c>
      <c r="AJ7" s="46">
        <f t="shared" si="10"/>
        <v>879.46137536906269</v>
      </c>
      <c r="AK7" s="46">
        <f t="shared" si="10"/>
        <v>923.43444413751581</v>
      </c>
      <c r="AL7" s="46">
        <f t="shared" si="10"/>
        <v>969.60616634439168</v>
      </c>
      <c r="AM7" s="46">
        <f t="shared" si="10"/>
        <v>1018.0864746616113</v>
      </c>
      <c r="AN7" s="46">
        <f t="shared" si="10"/>
        <v>1068.9907983946919</v>
      </c>
      <c r="AO7" s="46">
        <f t="shared" si="10"/>
        <v>1122.4403383144265</v>
      </c>
      <c r="AP7" s="46">
        <f t="shared" si="10"/>
        <v>1178.5623552301479</v>
      </c>
      <c r="AQ7" s="46">
        <f t="shared" si="10"/>
        <v>1237.4904729916552</v>
      </c>
      <c r="AR7" s="46">
        <f t="shared" si="10"/>
        <v>1299.3649966412381</v>
      </c>
      <c r="AS7" s="46">
        <f t="shared" ref="AS7:AT7" si="11">AR7*1.05</f>
        <v>1364.3332464733001</v>
      </c>
      <c r="AT7" s="46">
        <f t="shared" si="11"/>
        <v>1432.5499087969652</v>
      </c>
    </row>
    <row r="8" spans="2:50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>
        <v>341.12900000000002</v>
      </c>
      <c r="S8" s="314">
        <v>362.065</v>
      </c>
      <c r="T8" s="317"/>
      <c r="U8" s="61"/>
      <c r="V8" s="70">
        <f>J8*1.1</f>
        <v>190.92700000000002</v>
      </c>
      <c r="W8" s="159">
        <f>K8*1.012</f>
        <v>179.89514400000002</v>
      </c>
      <c r="X8" s="70">
        <f>W8*1.012</f>
        <v>182.05388572800001</v>
      </c>
      <c r="Y8" s="240">
        <v>254.39508000000001</v>
      </c>
      <c r="Z8" s="281">
        <v>255.85921000000002</v>
      </c>
      <c r="AC8" s="36">
        <f>SUM(C8:F8)</f>
        <v>201.43299999999999</v>
      </c>
      <c r="AD8" s="36">
        <f>SUM(G8:J8)</f>
        <v>533.20699999999999</v>
      </c>
      <c r="AE8" s="36">
        <f>SUM(K8:N8)</f>
        <v>873.47699999999998</v>
      </c>
      <c r="AF8" s="225">
        <f>AE8*1</f>
        <v>873.47699999999998</v>
      </c>
      <c r="AG8" s="46">
        <f t="shared" ref="AG8:AR8" si="12">AF8*1</f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si="12"/>
        <v>873.47699999999998</v>
      </c>
      <c r="AQ8" s="46">
        <f t="shared" si="12"/>
        <v>873.47699999999998</v>
      </c>
      <c r="AR8" s="46">
        <f t="shared" si="12"/>
        <v>873.47699999999998</v>
      </c>
      <c r="AS8" s="46">
        <f t="shared" ref="AS8:AT8" si="13">AR8*1</f>
        <v>873.47699999999998</v>
      </c>
      <c r="AT8" s="46">
        <f t="shared" si="13"/>
        <v>873.47699999999998</v>
      </c>
    </row>
    <row r="9" spans="2:50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183">
        <v>98.775999999999996</v>
      </c>
      <c r="S9" s="313">
        <v>97.823999999999998</v>
      </c>
      <c r="T9" s="316"/>
      <c r="U9" s="23"/>
      <c r="V9" s="67">
        <f>G9*1.01</f>
        <v>95.318749999999994</v>
      </c>
      <c r="W9" s="156">
        <f>K9*1.01</f>
        <v>58.349719999999998</v>
      </c>
      <c r="X9" s="67">
        <f>W9*1.01</f>
        <v>58.933217200000001</v>
      </c>
      <c r="Y9" s="237">
        <v>81.976650000000006</v>
      </c>
      <c r="Z9" s="278"/>
      <c r="AC9" s="36">
        <f>SUM(C9:F9)</f>
        <v>97.340999999999994</v>
      </c>
      <c r="AD9" s="36">
        <f>SUM(G9:J9)</f>
        <v>303.02</v>
      </c>
      <c r="AE9" s="36">
        <f>SUM(K9:N9)</f>
        <v>297.31700000000001</v>
      </c>
      <c r="AF9" s="225">
        <f>AE9*1</f>
        <v>297.31700000000001</v>
      </c>
      <c r="AG9" s="46">
        <f t="shared" ref="AG9:AR9" si="14">AF9*1</f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si="14"/>
        <v>297.31700000000001</v>
      </c>
      <c r="AQ9" s="46">
        <f t="shared" si="14"/>
        <v>297.31700000000001</v>
      </c>
      <c r="AR9" s="46">
        <f t="shared" si="14"/>
        <v>297.31700000000001</v>
      </c>
      <c r="AS9" s="46">
        <f t="shared" ref="AS9:AT9" si="15">AR9*1</f>
        <v>297.31700000000001</v>
      </c>
      <c r="AT9" s="46">
        <f t="shared" si="15"/>
        <v>297.31700000000001</v>
      </c>
    </row>
    <row r="10" spans="2:50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183">
        <v>48.503</v>
      </c>
      <c r="S10" s="313">
        <v>35.533999999999999</v>
      </c>
      <c r="T10" s="316"/>
      <c r="U10" s="23"/>
      <c r="V10" s="71">
        <v>25</v>
      </c>
      <c r="W10" s="159">
        <f>K10*1.05</f>
        <v>30.557100000000002</v>
      </c>
      <c r="X10" s="70">
        <f>W10*1.05</f>
        <v>32.084955000000001</v>
      </c>
      <c r="Y10" s="240">
        <v>33.710249999999995</v>
      </c>
      <c r="Z10" s="282"/>
      <c r="AC10" s="36">
        <f>SUM(C10:F10)</f>
        <v>58.384</v>
      </c>
      <c r="AD10" s="36">
        <f>SUM(G10:J10)</f>
        <v>86.363</v>
      </c>
      <c r="AE10" s="36">
        <f>SUM(K10:N10)</f>
        <v>117.44799999999999</v>
      </c>
      <c r="AF10" s="225">
        <f>AE10*0.95</f>
        <v>111.57559999999999</v>
      </c>
      <c r="AG10" s="46">
        <f t="shared" ref="AG10:AR10" si="16">AF10*0.95</f>
        <v>105.99681999999999</v>
      </c>
      <c r="AH10" s="46">
        <f t="shared" si="16"/>
        <v>100.69697899999998</v>
      </c>
      <c r="AI10" s="46">
        <f t="shared" si="16"/>
        <v>95.662130049999988</v>
      </c>
      <c r="AJ10" s="46">
        <f t="shared" si="16"/>
        <v>90.879023547499983</v>
      </c>
      <c r="AK10" s="46">
        <f t="shared" si="16"/>
        <v>86.335072370124976</v>
      </c>
      <c r="AL10" s="46">
        <f t="shared" si="16"/>
        <v>82.018318751618722</v>
      </c>
      <c r="AM10" s="46">
        <f t="shared" si="16"/>
        <v>77.917402814037786</v>
      </c>
      <c r="AN10" s="46">
        <f t="shared" si="16"/>
        <v>74.021532673335898</v>
      </c>
      <c r="AO10" s="46">
        <f t="shared" si="16"/>
        <v>70.320456039669097</v>
      </c>
      <c r="AP10" s="46">
        <f t="shared" si="16"/>
        <v>66.804433237685643</v>
      </c>
      <c r="AQ10" s="46">
        <f t="shared" si="16"/>
        <v>63.464211575801357</v>
      </c>
      <c r="AR10" s="46">
        <f t="shared" si="16"/>
        <v>60.291000997011288</v>
      </c>
      <c r="AS10" s="46">
        <f t="shared" ref="AS10:AT10" si="17">AR10*0.95</f>
        <v>57.276450947160718</v>
      </c>
      <c r="AT10" s="46">
        <f t="shared" si="17"/>
        <v>54.412628399802678</v>
      </c>
    </row>
    <row r="11" spans="2:50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S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R11" s="5">
        <f t="shared" si="22"/>
        <v>933.46800000000007</v>
      </c>
      <c r="S11" s="5">
        <f t="shared" si="22"/>
        <v>924.76199999999994</v>
      </c>
      <c r="V11" s="67">
        <f>V10+V9+V8+V7+V6</f>
        <v>584.10499000000004</v>
      </c>
      <c r="W11" s="156">
        <f>W10+W9+W8+W7+W6</f>
        <v>591.82918400000005</v>
      </c>
      <c r="X11" s="67">
        <f>X10+X9+X8+X7+X6</f>
        <v>598.59735792800006</v>
      </c>
      <c r="Y11" s="237">
        <v>757.74002999999993</v>
      </c>
      <c r="Z11" s="278"/>
      <c r="AC11" s="9">
        <f>SUM(AC6:AC10)</f>
        <v>950.12400000000002</v>
      </c>
      <c r="AD11" s="9">
        <f>SUM(AD6:AD10)</f>
        <v>1917.4090000000001</v>
      </c>
      <c r="AE11" s="9">
        <f>SUM(AE6:AE10)</f>
        <v>2601.1779999999999</v>
      </c>
      <c r="AF11" s="114">
        <f t="shared" ref="AF11:AR11" si="23">SUM(AF6:AF10)</f>
        <v>2639.117475</v>
      </c>
      <c r="AG11" s="9">
        <f t="shared" si="23"/>
        <v>2679.2136398749999</v>
      </c>
      <c r="AH11" s="9">
        <f t="shared" si="23"/>
        <v>2721.5400542606249</v>
      </c>
      <c r="AI11" s="9">
        <f t="shared" si="23"/>
        <v>2766.1753501814092</v>
      </c>
      <c r="AJ11" s="9">
        <f t="shared" si="23"/>
        <v>2813.2034111598487</v>
      </c>
      <c r="AK11" s="9">
        <f t="shared" si="23"/>
        <v>2862.7135639345765</v>
      </c>
      <c r="AL11" s="9">
        <f t="shared" si="23"/>
        <v>2914.8007832343496</v>
      </c>
      <c r="AM11" s="9">
        <f t="shared" si="23"/>
        <v>2969.5659100860635</v>
      </c>
      <c r="AN11" s="9">
        <f t="shared" si="23"/>
        <v>3027.1158841675983</v>
      </c>
      <c r="AO11" s="9">
        <f t="shared" si="23"/>
        <v>3087.5639907501595</v>
      </c>
      <c r="AP11" s="9">
        <f t="shared" si="23"/>
        <v>3151.0301228098388</v>
      </c>
      <c r="AQ11" s="9">
        <f t="shared" si="23"/>
        <v>3217.6410589245916</v>
      </c>
      <c r="AR11" s="9">
        <f t="shared" si="23"/>
        <v>3287.5307576107416</v>
      </c>
      <c r="AS11" s="9">
        <f t="shared" ref="AS11" si="24">SUM(AS6:AS10)</f>
        <v>3360.8406687925399</v>
      </c>
      <c r="AT11" s="9">
        <f t="shared" ref="AT11" si="25">SUM(AT6:AT10)</f>
        <v>3437.720063139428</v>
      </c>
    </row>
    <row r="12" spans="2:50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S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R12" s="4">
        <f t="shared" si="30"/>
        <v>-355.1930000000001</v>
      </c>
      <c r="S12" s="4">
        <f t="shared" si="30"/>
        <v>-302.32799999999997</v>
      </c>
      <c r="V12" s="66">
        <f>V5-V11</f>
        <v>-112.34254840000006</v>
      </c>
      <c r="W12" s="155">
        <f>W5-W11</f>
        <v>-178.50736400000005</v>
      </c>
      <c r="X12" s="66">
        <f>X5-X11</f>
        <v>-127.46155792799999</v>
      </c>
      <c r="Y12" s="236">
        <v>-285.59124599999996</v>
      </c>
      <c r="Z12" s="283"/>
      <c r="AC12" s="4">
        <f>AC5-AC11</f>
        <v>-266.13699999999994</v>
      </c>
      <c r="AD12" s="4">
        <f>AD5-AD11</f>
        <v>-495.09799999999996</v>
      </c>
      <c r="AE12" s="4">
        <f>AE5-AE11</f>
        <v>-923.78400000000011</v>
      </c>
      <c r="AF12" s="109">
        <f t="shared" ref="AF12:AR12" si="31">AF5-AF11</f>
        <v>-411.8404230000001</v>
      </c>
      <c r="AG12" s="4">
        <f t="shared" si="31"/>
        <v>-117.84503007500007</v>
      </c>
      <c r="AH12" s="4">
        <f t="shared" si="31"/>
        <v>224.03384700937477</v>
      </c>
      <c r="AI12" s="4">
        <f t="shared" si="31"/>
        <v>621.23463627909041</v>
      </c>
      <c r="AJ12" s="4">
        <f t="shared" si="31"/>
        <v>743.5770746236758</v>
      </c>
      <c r="AK12" s="4">
        <f t="shared" si="31"/>
        <v>1227.5839947164759</v>
      </c>
      <c r="AL12" s="4">
        <f t="shared" si="31"/>
        <v>1789.0414092143606</v>
      </c>
      <c r="AM12" s="4">
        <f t="shared" si="31"/>
        <v>2439.8526112299528</v>
      </c>
      <c r="AN12" s="4">
        <f t="shared" si="31"/>
        <v>3193.7154153458191</v>
      </c>
      <c r="AO12" s="4">
        <f t="shared" si="31"/>
        <v>4066.3920036902696</v>
      </c>
      <c r="AP12" s="4">
        <f t="shared" si="31"/>
        <v>5076.0192707966535</v>
      </c>
      <c r="AQ12" s="4">
        <f t="shared" si="31"/>
        <v>6243.4657437228743</v>
      </c>
      <c r="AR12" s="4">
        <f t="shared" si="31"/>
        <v>7592.742065433843</v>
      </c>
      <c r="AS12" s="4">
        <f t="shared" ref="AS12" si="32">AS5-AS11</f>
        <v>9151.4730777087316</v>
      </c>
      <c r="AT12" s="4">
        <f t="shared" ref="AT12" si="33">AT5-AT11</f>
        <v>10951.440745337033</v>
      </c>
    </row>
    <row r="13" spans="2:50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V13" s="67">
        <f t="shared" ref="V13:X15" si="34">G13</f>
        <v>5.0000000000000001E-3</v>
      </c>
      <c r="W13" s="156">
        <f t="shared" si="34"/>
        <v>2.5999999999999999E-2</v>
      </c>
      <c r="X13" s="67">
        <f t="shared" si="34"/>
        <v>2.8000000000000001E-2</v>
      </c>
      <c r="Y13" s="237">
        <v>3.3000000000000002E-2</v>
      </c>
      <c r="Z13" s="278"/>
      <c r="AC13" s="36">
        <f>SUM(C13:F13)</f>
        <v>1.8220000000000003</v>
      </c>
      <c r="AD13" s="36">
        <f>SUM(G13:J13)</f>
        <v>9.1999999999999998E-2</v>
      </c>
      <c r="AE13" s="36">
        <f>SUM(K13:N13)</f>
        <v>18.942999999999998</v>
      </c>
      <c r="AF13" s="225">
        <f>AE13*1.008</f>
        <v>19.094543999999999</v>
      </c>
      <c r="AG13" s="46">
        <f t="shared" ref="AG13:AR13" si="35">AF13*1.008</f>
        <v>19.247300352</v>
      </c>
      <c r="AH13" s="46">
        <f t="shared" si="35"/>
        <v>19.401278754816001</v>
      </c>
      <c r="AI13" s="46">
        <f t="shared" si="35"/>
        <v>19.556488984854528</v>
      </c>
      <c r="AJ13" s="46">
        <f t="shared" si="35"/>
        <v>19.712940896733365</v>
      </c>
      <c r="AK13" s="46">
        <f t="shared" si="35"/>
        <v>19.870644423907233</v>
      </c>
      <c r="AL13" s="46">
        <f t="shared" si="35"/>
        <v>20.029609579298491</v>
      </c>
      <c r="AM13" s="46">
        <f t="shared" si="35"/>
        <v>20.18984645593288</v>
      </c>
      <c r="AN13" s="46">
        <f t="shared" si="35"/>
        <v>20.351365227580342</v>
      </c>
      <c r="AO13" s="46">
        <f t="shared" si="35"/>
        <v>20.514176149400985</v>
      </c>
      <c r="AP13" s="46">
        <f t="shared" si="35"/>
        <v>20.678289558596195</v>
      </c>
      <c r="AQ13" s="46">
        <f t="shared" si="35"/>
        <v>20.843715875064966</v>
      </c>
      <c r="AR13" s="46">
        <f t="shared" si="35"/>
        <v>21.010465602065487</v>
      </c>
      <c r="AS13" s="46">
        <f t="shared" ref="AS13:AT13" si="36">AR13*1.008</f>
        <v>21.17854932688201</v>
      </c>
      <c r="AT13" s="46">
        <f t="shared" si="36"/>
        <v>21.347977721497067</v>
      </c>
      <c r="AX13" s="34"/>
    </row>
    <row r="14" spans="2:50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R14" s="6">
        <v>0.89800000000000002</v>
      </c>
      <c r="S14" s="6">
        <v>0</v>
      </c>
      <c r="V14" s="72">
        <f t="shared" si="34"/>
        <v>0</v>
      </c>
      <c r="W14" s="160">
        <f t="shared" si="34"/>
        <v>0</v>
      </c>
      <c r="X14" s="72">
        <f t="shared" si="34"/>
        <v>0</v>
      </c>
      <c r="Y14" s="241">
        <v>1.4E-2</v>
      </c>
      <c r="Z14" s="284"/>
      <c r="AC14" s="45">
        <f>W14</f>
        <v>0</v>
      </c>
      <c r="AD14" s="45">
        <f>SUM(G14:J14)</f>
        <v>1.4E-2</v>
      </c>
      <c r="AE14" s="36">
        <f t="shared" ref="AE14:AE18" si="37">SUM(K14:N14)</f>
        <v>2.0019999999999998</v>
      </c>
      <c r="AF14" s="226">
        <f>AE14</f>
        <v>2.0019999999999998</v>
      </c>
      <c r="AG14" s="47">
        <f t="shared" ref="AG14:AR14" si="38">AF14</f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si="38"/>
        <v>2.0019999999999998</v>
      </c>
      <c r="AP14" s="47">
        <f t="shared" si="38"/>
        <v>2.0019999999999998</v>
      </c>
      <c r="AQ14" s="47">
        <f t="shared" si="38"/>
        <v>2.0019999999999998</v>
      </c>
      <c r="AR14" s="47">
        <f t="shared" si="38"/>
        <v>2.0019999999999998</v>
      </c>
      <c r="AS14" s="47">
        <f t="shared" ref="AS14:AT14" si="39">AR14</f>
        <v>2.0019999999999998</v>
      </c>
      <c r="AT14" s="47">
        <f t="shared" si="39"/>
        <v>2.0019999999999998</v>
      </c>
    </row>
    <row r="15" spans="2:50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V15" s="72">
        <f t="shared" si="34"/>
        <v>1.05</v>
      </c>
      <c r="W15" s="160">
        <f t="shared" si="34"/>
        <v>0</v>
      </c>
      <c r="X15" s="72">
        <f t="shared" si="34"/>
        <v>0.77</v>
      </c>
      <c r="Y15" s="241">
        <v>6.9980000000000002</v>
      </c>
      <c r="Z15" s="284"/>
      <c r="AC15" s="36">
        <f>SUM(C15:F15)</f>
        <v>3.157</v>
      </c>
      <c r="AD15" s="36">
        <f>SUM(G15:J15)</f>
        <v>8.8179999999999996</v>
      </c>
      <c r="AE15" s="36">
        <f t="shared" si="37"/>
        <v>27.736000000000001</v>
      </c>
      <c r="AF15" s="114">
        <f>AE15</f>
        <v>27.736000000000001</v>
      </c>
      <c r="AG15" s="9">
        <f t="shared" ref="AG15:AR15" si="40">AF15</f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si="40"/>
        <v>27.736000000000001</v>
      </c>
      <c r="AP15" s="9">
        <f t="shared" si="40"/>
        <v>27.736000000000001</v>
      </c>
      <c r="AQ15" s="9">
        <f t="shared" si="40"/>
        <v>27.736000000000001</v>
      </c>
      <c r="AR15" s="9">
        <f t="shared" si="40"/>
        <v>27.736000000000001</v>
      </c>
      <c r="AS15" s="9">
        <f t="shared" ref="AS15:AT15" si="41">AR15</f>
        <v>27.736000000000001</v>
      </c>
      <c r="AT15" s="9">
        <f t="shared" si="41"/>
        <v>27.736000000000001</v>
      </c>
    </row>
    <row r="16" spans="2:50" ht="15" x14ac:dyDescent="0.25">
      <c r="B16" s="6" t="s">
        <v>26</v>
      </c>
      <c r="C16" s="5">
        <f t="shared" ref="C16:S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5">
        <f t="shared" si="42"/>
        <v>-288.28300000000002</v>
      </c>
      <c r="O16" s="5">
        <f t="shared" si="42"/>
        <v>-269.21699999999987</v>
      </c>
      <c r="P16" s="5">
        <f t="shared" si="42"/>
        <v>-286.07700000000006</v>
      </c>
      <c r="Q16" s="5">
        <f t="shared" si="42"/>
        <v>-278.12600000000003</v>
      </c>
      <c r="R16" s="5">
        <f t="shared" si="42"/>
        <v>-325.0630000000001</v>
      </c>
      <c r="S16" s="5">
        <f t="shared" si="42"/>
        <v>-270.86699999999996</v>
      </c>
      <c r="V16" s="67">
        <f>V12+V13+V14-V15</f>
        <v>-113.38754840000006</v>
      </c>
      <c r="W16" s="156">
        <f>W12+W13+W14-W15</f>
        <v>-178.48136400000004</v>
      </c>
      <c r="X16" s="67">
        <f>X12+X13+X14-X15</f>
        <v>-128.20355792799998</v>
      </c>
      <c r="Y16" s="237">
        <v>-292.54224599999992</v>
      </c>
      <c r="Z16" s="278"/>
      <c r="AC16" s="5">
        <f>AC12+AC13+AC14-AC15</f>
        <v>-267.47199999999992</v>
      </c>
      <c r="AD16" s="5">
        <f>AD12+AD13+AD14-AD15</f>
        <v>-503.80999999999995</v>
      </c>
      <c r="AE16" s="36">
        <f t="shared" si="37"/>
        <v>-930.57500000000016</v>
      </c>
      <c r="AF16" s="110">
        <f>AF12+AF13+AF14-AF15</f>
        <v>-418.4798790000001</v>
      </c>
      <c r="AG16" s="5">
        <f t="shared" ref="AG16:AR16" si="44">AG12+AG13+AG14-AG15</f>
        <v>-124.33172972300008</v>
      </c>
      <c r="AH16" s="5">
        <f t="shared" si="44"/>
        <v>217.70112576419078</v>
      </c>
      <c r="AI16" s="5">
        <f t="shared" si="44"/>
        <v>615.05712526394495</v>
      </c>
      <c r="AJ16" s="5">
        <f t="shared" si="44"/>
        <v>737.55601552040912</v>
      </c>
      <c r="AK16" s="5">
        <f t="shared" si="44"/>
        <v>1221.7206391403829</v>
      </c>
      <c r="AL16" s="5">
        <f t="shared" si="44"/>
        <v>1783.3370187936589</v>
      </c>
      <c r="AM16" s="5">
        <f t="shared" si="44"/>
        <v>2434.308457685886</v>
      </c>
      <c r="AN16" s="5">
        <f t="shared" si="44"/>
        <v>3188.3327805733993</v>
      </c>
      <c r="AO16" s="5">
        <f t="shared" si="44"/>
        <v>4061.1721798396707</v>
      </c>
      <c r="AP16" s="5">
        <f t="shared" si="44"/>
        <v>5070.9635603552506</v>
      </c>
      <c r="AQ16" s="5">
        <f t="shared" si="44"/>
        <v>6238.5754595979397</v>
      </c>
      <c r="AR16" s="5">
        <f t="shared" si="44"/>
        <v>7588.0185310359093</v>
      </c>
      <c r="AS16" s="5">
        <f t="shared" ref="AS16" si="45">AS12+AS13+AS14-AS15</f>
        <v>9146.9176270356129</v>
      </c>
      <c r="AT16" s="5">
        <f t="shared" ref="AT16" si="46">AT12+AT13+AT14-AT15</f>
        <v>10947.054723058531</v>
      </c>
    </row>
    <row r="17" spans="2:85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V17" s="67">
        <f>J17*1.005</f>
        <v>0.65927999999999998</v>
      </c>
      <c r="W17" s="156">
        <f>K17*1.005</f>
        <v>0.27738000000000002</v>
      </c>
      <c r="X17" s="67">
        <f>W17*1.005</f>
        <v>0.27876689999999998</v>
      </c>
      <c r="Y17" s="237">
        <v>0.35375999999999996</v>
      </c>
      <c r="Z17" s="278"/>
      <c r="AC17" s="36">
        <f>SUM(C17:F17)</f>
        <v>-6.6559999999999997</v>
      </c>
      <c r="AD17" s="36">
        <f>SUM(G17:J17)</f>
        <v>-0.31999999999999995</v>
      </c>
      <c r="AE17" s="36">
        <f t="shared" si="37"/>
        <v>4.1079999999999997</v>
      </c>
      <c r="AF17" s="114">
        <f>AE17</f>
        <v>4.1079999999999997</v>
      </c>
      <c r="AG17" s="9">
        <f t="shared" ref="AG17:AR17" si="47">AF17</f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si="47"/>
        <v>4.1079999999999997</v>
      </c>
      <c r="AP17" s="9">
        <f t="shared" si="47"/>
        <v>4.1079999999999997</v>
      </c>
      <c r="AQ17" s="9">
        <f t="shared" si="47"/>
        <v>4.1079999999999997</v>
      </c>
      <c r="AR17" s="9">
        <f t="shared" si="47"/>
        <v>4.1079999999999997</v>
      </c>
      <c r="AS17" s="9">
        <f t="shared" ref="AS17:AT17" si="48">AR17</f>
        <v>4.1079999999999997</v>
      </c>
      <c r="AT17" s="9">
        <f t="shared" si="48"/>
        <v>4.1079999999999997</v>
      </c>
    </row>
    <row r="18" spans="2:85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S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4">
        <f t="shared" si="50"/>
        <v>-291.48500000000001</v>
      </c>
      <c r="O18" s="4">
        <f t="shared" si="50"/>
        <v>-269.94799999999987</v>
      </c>
      <c r="P18" s="4">
        <f t="shared" si="50"/>
        <v>-284.84100000000007</v>
      </c>
      <c r="Q18" s="4">
        <f t="shared" si="50"/>
        <v>-278.80800000000005</v>
      </c>
      <c r="R18" s="4">
        <f t="shared" si="50"/>
        <v>-325.34000000000009</v>
      </c>
      <c r="S18" s="4">
        <f t="shared" si="50"/>
        <v>-271.91999999999996</v>
      </c>
      <c r="V18" s="66">
        <f>+V16-V17</f>
        <v>-114.04682840000005</v>
      </c>
      <c r="W18" s="155">
        <f>+W16-W17</f>
        <v>-178.75874400000004</v>
      </c>
      <c r="X18" s="66">
        <f>+X16-X17</f>
        <v>-128.48232482799997</v>
      </c>
      <c r="Y18" s="236">
        <v>-292.89600599999994</v>
      </c>
      <c r="Z18" s="283"/>
      <c r="AC18" s="3">
        <f>AC16-AC17</f>
        <v>-260.81599999999992</v>
      </c>
      <c r="AD18" s="3">
        <f>AD16-AD17</f>
        <v>-503.48999999999995</v>
      </c>
      <c r="AE18" s="3">
        <f t="shared" si="37"/>
        <v>-934.68300000000011</v>
      </c>
      <c r="AF18" s="113">
        <f>AF16-AF17</f>
        <v>-422.5878790000001</v>
      </c>
      <c r="AG18" s="3">
        <f t="shared" ref="AG18:AR18" si="51">AG16-AG17</f>
        <v>-128.43972972300008</v>
      </c>
      <c r="AH18" s="3">
        <f t="shared" si="51"/>
        <v>213.59312576419077</v>
      </c>
      <c r="AI18" s="217">
        <f t="shared" si="51"/>
        <v>610.94912526394501</v>
      </c>
      <c r="AJ18" s="3">
        <f t="shared" si="51"/>
        <v>733.44801552040917</v>
      </c>
      <c r="AK18" s="3">
        <f t="shared" si="51"/>
        <v>1217.612639140383</v>
      </c>
      <c r="AL18" s="3">
        <f t="shared" si="51"/>
        <v>1779.229018793659</v>
      </c>
      <c r="AM18" s="3">
        <f t="shared" si="51"/>
        <v>2430.2004576858858</v>
      </c>
      <c r="AN18" s="3">
        <f t="shared" si="51"/>
        <v>3184.2247805733991</v>
      </c>
      <c r="AO18" s="3">
        <f t="shared" si="51"/>
        <v>4057.0641798396705</v>
      </c>
      <c r="AP18" s="3">
        <f t="shared" si="51"/>
        <v>5066.8555603552504</v>
      </c>
      <c r="AQ18" s="3">
        <f t="shared" si="51"/>
        <v>6234.4674595979395</v>
      </c>
      <c r="AR18" s="3">
        <f t="shared" si="51"/>
        <v>7583.9105310359091</v>
      </c>
      <c r="AS18" s="3">
        <f t="shared" ref="AS18" si="52">AS16-AS17</f>
        <v>9142.8096270356127</v>
      </c>
      <c r="AT18" s="3">
        <f t="shared" ref="AT18" si="53">AT16-AT17</f>
        <v>10942.946723058531</v>
      </c>
      <c r="AU18" s="3">
        <f>AT18*(1+$AW$21)</f>
        <v>10833.517255827945</v>
      </c>
      <c r="AV18" s="3">
        <f t="shared" ref="AV18:CG18" si="54">AU18*(1+$AW$21)</f>
        <v>10725.182083269665</v>
      </c>
      <c r="AW18" s="3">
        <f t="shared" si="54"/>
        <v>10617.930262436968</v>
      </c>
      <c r="AX18" s="3">
        <f t="shared" si="54"/>
        <v>10511.750959812598</v>
      </c>
      <c r="AY18" s="3">
        <f t="shared" si="54"/>
        <v>10406.633450214473</v>
      </c>
      <c r="AZ18" s="3">
        <f t="shared" si="54"/>
        <v>10302.567115712329</v>
      </c>
      <c r="BA18" s="3">
        <f t="shared" si="54"/>
        <v>10199.541444555205</v>
      </c>
      <c r="BB18" s="3">
        <f t="shared" si="54"/>
        <v>10097.546030109654</v>
      </c>
      <c r="BC18" s="3">
        <f t="shared" si="54"/>
        <v>9996.5705698085567</v>
      </c>
      <c r="BD18" s="3">
        <f t="shared" si="54"/>
        <v>9896.6048641104717</v>
      </c>
      <c r="BE18" s="3">
        <f t="shared" si="54"/>
        <v>9797.6388154693668</v>
      </c>
      <c r="BF18" s="3">
        <f t="shared" si="54"/>
        <v>9699.6624273146736</v>
      </c>
      <c r="BG18" s="3">
        <f t="shared" si="54"/>
        <v>9602.6658030415274</v>
      </c>
      <c r="BH18" s="3">
        <f t="shared" si="54"/>
        <v>9506.6391450111114</v>
      </c>
      <c r="BI18" s="3">
        <f t="shared" si="54"/>
        <v>9411.5727535610004</v>
      </c>
      <c r="BJ18" s="3">
        <f t="shared" si="54"/>
        <v>9317.4570260253895</v>
      </c>
      <c r="BK18" s="3">
        <f t="shared" si="54"/>
        <v>9224.2824557651347</v>
      </c>
      <c r="BL18" s="3">
        <f t="shared" si="54"/>
        <v>9132.0396312074827</v>
      </c>
      <c r="BM18" s="3">
        <f t="shared" si="54"/>
        <v>9040.7192348954086</v>
      </c>
      <c r="BN18" s="3">
        <f t="shared" si="54"/>
        <v>8950.3120425464549</v>
      </c>
      <c r="BO18" s="3">
        <f t="shared" si="54"/>
        <v>8860.8089221209902</v>
      </c>
      <c r="BP18" s="3">
        <f t="shared" si="54"/>
        <v>8772.2008328997799</v>
      </c>
      <c r="BQ18" s="3">
        <f t="shared" si="54"/>
        <v>8684.4788245707823</v>
      </c>
      <c r="BR18" s="3">
        <f t="shared" si="54"/>
        <v>8597.6340363250747</v>
      </c>
      <c r="BS18" s="3">
        <f t="shared" si="54"/>
        <v>8511.6576959618233</v>
      </c>
      <c r="BT18" s="3">
        <f t="shared" si="54"/>
        <v>8426.5411190022041</v>
      </c>
      <c r="BU18" s="3">
        <f t="shared" si="54"/>
        <v>8342.2757078121813</v>
      </c>
      <c r="BV18" s="3">
        <f t="shared" si="54"/>
        <v>8258.852950734059</v>
      </c>
      <c r="BW18" s="3">
        <f t="shared" si="54"/>
        <v>8176.2644212267187</v>
      </c>
      <c r="BX18" s="3">
        <f t="shared" si="54"/>
        <v>8094.5017770144514</v>
      </c>
      <c r="BY18" s="3">
        <f t="shared" si="54"/>
        <v>8013.5567592443067</v>
      </c>
      <c r="BZ18" s="3">
        <f t="shared" si="54"/>
        <v>7933.4211916518634</v>
      </c>
      <c r="CA18" s="3">
        <f t="shared" si="54"/>
        <v>7854.0869797353444</v>
      </c>
      <c r="CB18" s="3">
        <f t="shared" si="54"/>
        <v>7775.5461099379909</v>
      </c>
      <c r="CC18" s="3">
        <f t="shared" si="54"/>
        <v>7697.7906488386107</v>
      </c>
      <c r="CD18" s="3">
        <f t="shared" si="54"/>
        <v>7620.8127423502247</v>
      </c>
      <c r="CE18" s="3">
        <f t="shared" si="54"/>
        <v>7544.6046149267222</v>
      </c>
      <c r="CF18" s="3">
        <f t="shared" si="54"/>
        <v>7469.158568777455</v>
      </c>
      <c r="CG18" s="3">
        <f t="shared" si="54"/>
        <v>7394.4669830896801</v>
      </c>
    </row>
    <row r="19" spans="2:85" ht="15" x14ac:dyDescent="0.25">
      <c r="B19" s="6" t="s">
        <v>31</v>
      </c>
      <c r="C19" s="8">
        <f t="shared" ref="C19:S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8">
        <f t="shared" si="55"/>
        <v>-0.4843077863752141</v>
      </c>
      <c r="O19" s="8">
        <f t="shared" si="55"/>
        <v>-0.44499099131770714</v>
      </c>
      <c r="P19" s="8">
        <f t="shared" si="55"/>
        <v>-0.46490307480630477</v>
      </c>
      <c r="Q19" s="8">
        <f t="shared" si="55"/>
        <v>-0.45016226689271016</v>
      </c>
      <c r="R19" s="8">
        <f t="shared" si="55"/>
        <v>-0.51903506126987631</v>
      </c>
      <c r="S19" s="8">
        <f t="shared" si="55"/>
        <v>-0.42820698560675247</v>
      </c>
      <c r="V19" s="73">
        <f>V18/V20</f>
        <v>-0.1961134384000964</v>
      </c>
      <c r="W19" s="161">
        <f>W18/W20</f>
        <v>-0.30739120431272415</v>
      </c>
      <c r="X19" s="73">
        <f>X18/X20</f>
        <v>-0.21632643153378855</v>
      </c>
      <c r="Y19" s="242">
        <v>-0.48997372942174272</v>
      </c>
      <c r="Z19" s="285"/>
      <c r="AC19" s="8">
        <f>AC18/AC20</f>
        <v>-1.4321087303581006</v>
      </c>
      <c r="AD19" s="8">
        <f>AD18/AD20</f>
        <v>-0.99708838467978411</v>
      </c>
      <c r="AE19" s="8">
        <f>AE18/AE20</f>
        <v>-1.5529933090640833</v>
      </c>
      <c r="AF19" s="115">
        <f>AF18/AF20</f>
        <v>-0.69660749179492865</v>
      </c>
      <c r="AG19" s="34">
        <f t="shared" ref="AG19:AT19" si="57">AG18/AG20</f>
        <v>-0.21172419374848567</v>
      </c>
      <c r="AH19" s="34">
        <f t="shared" si="57"/>
        <v>0.3520937987036577</v>
      </c>
      <c r="AI19" s="34">
        <f t="shared" si="57"/>
        <v>1.0071082463877823</v>
      </c>
      <c r="AJ19" s="34">
        <f t="shared" si="57"/>
        <v>1.2090393687170569</v>
      </c>
      <c r="AK19" s="34">
        <f t="shared" si="57"/>
        <v>2.0071519527170008</v>
      </c>
      <c r="AL19" s="34">
        <f t="shared" si="57"/>
        <v>2.9329385098397545</v>
      </c>
      <c r="AM19" s="34">
        <f t="shared" si="57"/>
        <v>4.0060208290722228</v>
      </c>
      <c r="AN19" s="34">
        <f t="shared" si="57"/>
        <v>5.2489788466140368</v>
      </c>
      <c r="AO19" s="34">
        <f t="shared" si="57"/>
        <v>6.6877954688548025</v>
      </c>
      <c r="AP19" s="34">
        <f t="shared" si="57"/>
        <v>8.352368154852492</v>
      </c>
      <c r="AQ19" s="34">
        <f t="shared" si="57"/>
        <v>10.277097274973238</v>
      </c>
      <c r="AR19" s="34">
        <f t="shared" si="57"/>
        <v>12.501562764941653</v>
      </c>
      <c r="AS19" s="34">
        <f t="shared" si="57"/>
        <v>15.071302322534915</v>
      </c>
      <c r="AT19" s="34">
        <f t="shared" si="57"/>
        <v>18.0387063813426</v>
      </c>
    </row>
    <row r="20" spans="2:85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9">
        <v>619.35</v>
      </c>
      <c r="R20" s="9">
        <v>626.81700000000001</v>
      </c>
      <c r="S20" s="6">
        <v>635.02</v>
      </c>
      <c r="V20" s="67">
        <v>581.53499999999997</v>
      </c>
      <c r="W20" s="156">
        <v>581.53499999999997</v>
      </c>
      <c r="X20" s="67">
        <f>L20</f>
        <v>593.928</v>
      </c>
      <c r="Y20" s="237">
        <v>597.779</v>
      </c>
      <c r="Z20" s="278"/>
      <c r="AC20" s="9">
        <f>AVERAGE(C20:F20)</f>
        <v>182.12025000000003</v>
      </c>
      <c r="AD20" s="9">
        <f>AVERAGE(G20:J20)</f>
        <v>504.96024999999997</v>
      </c>
      <c r="AE20" s="36">
        <f>N20</f>
        <v>601.85900000000004</v>
      </c>
      <c r="AF20" s="115">
        <f>O20</f>
        <v>606.63699999999994</v>
      </c>
      <c r="AG20" s="34">
        <f t="shared" ref="AG20:AR20" si="58">AF20</f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si="58"/>
        <v>606.63699999999994</v>
      </c>
      <c r="AP20" s="34">
        <f t="shared" si="58"/>
        <v>606.63699999999994</v>
      </c>
      <c r="AQ20" s="34">
        <f t="shared" si="58"/>
        <v>606.63699999999994</v>
      </c>
      <c r="AR20" s="34">
        <f t="shared" si="58"/>
        <v>606.63699999999994</v>
      </c>
      <c r="AS20" s="34">
        <f t="shared" ref="AS20:AT20" si="59">AR20</f>
        <v>606.63699999999994</v>
      </c>
      <c r="AT20" s="34">
        <f t="shared" si="59"/>
        <v>606.63699999999994</v>
      </c>
    </row>
    <row r="21" spans="2:85" ht="15" x14ac:dyDescent="0.25">
      <c r="B21" s="1"/>
      <c r="C21" s="7"/>
      <c r="D21" s="7"/>
      <c r="E21" s="7"/>
      <c r="O21" s="55"/>
      <c r="V21" s="71"/>
      <c r="W21" s="162"/>
      <c r="X21" s="71"/>
      <c r="Y21" s="243"/>
      <c r="Z21" s="282"/>
      <c r="AV21" s="127" t="s">
        <v>118</v>
      </c>
      <c r="AW21" s="121">
        <v>-0.01</v>
      </c>
    </row>
    <row r="22" spans="2:85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0">
        <f t="shared" ref="N22:O22" si="62">N5/N3</f>
        <v>0.75400515367769483</v>
      </c>
      <c r="O22" s="220">
        <f t="shared" si="62"/>
        <v>0.76830336433994972</v>
      </c>
      <c r="P22" s="220">
        <f t="shared" ref="P22:Q22" si="63">P5/P3</f>
        <v>0.76199016989685153</v>
      </c>
      <c r="Q22" s="220">
        <f t="shared" si="63"/>
        <v>0.77064600932384586</v>
      </c>
      <c r="R22" s="220">
        <f t="shared" ref="R22:S22" si="64">R5/R3</f>
        <v>0.77109604914533048</v>
      </c>
      <c r="S22" s="220">
        <f t="shared" si="64"/>
        <v>0.77678023212280045</v>
      </c>
      <c r="V22" s="74">
        <f>V5/V3</f>
        <v>0.73</v>
      </c>
      <c r="W22" s="163">
        <f>W5/W3</f>
        <v>0.74</v>
      </c>
      <c r="X22" s="74">
        <f t="shared" ref="X22" si="65">X5/X3</f>
        <v>0.74</v>
      </c>
      <c r="Y22" s="244">
        <v>0.76</v>
      </c>
      <c r="Z22" s="246">
        <v>0.75</v>
      </c>
      <c r="AC22" s="10">
        <f>AC5/AC3</f>
        <v>0.74033781260654741</v>
      </c>
      <c r="AD22" s="10">
        <f>AD5/AD3</f>
        <v>0.74110310596030293</v>
      </c>
      <c r="AE22" s="220">
        <f t="shared" ref="AE22:AR22" si="66">AE5/AE3</f>
        <v>0.75386732534790202</v>
      </c>
      <c r="AF22" s="111">
        <f t="shared" si="66"/>
        <v>0.77</v>
      </c>
      <c r="AG22" s="10">
        <f t="shared" si="66"/>
        <v>0.77</v>
      </c>
      <c r="AH22" s="10">
        <f t="shared" si="66"/>
        <v>0.77</v>
      </c>
      <c r="AI22" s="10">
        <f t="shared" si="66"/>
        <v>0.77</v>
      </c>
      <c r="AJ22" s="10">
        <f t="shared" si="66"/>
        <v>0.77</v>
      </c>
      <c r="AK22" s="10">
        <f t="shared" si="66"/>
        <v>0.77</v>
      </c>
      <c r="AL22" s="10">
        <f t="shared" si="66"/>
        <v>0.77</v>
      </c>
      <c r="AM22" s="10">
        <f t="shared" si="66"/>
        <v>0.77000000000000013</v>
      </c>
      <c r="AN22" s="10">
        <f t="shared" si="66"/>
        <v>0.77</v>
      </c>
      <c r="AO22" s="10">
        <f t="shared" si="66"/>
        <v>0.77</v>
      </c>
      <c r="AP22" s="10">
        <f t="shared" si="66"/>
        <v>0.76999999999999991</v>
      </c>
      <c r="AQ22" s="10">
        <f t="shared" si="66"/>
        <v>0.77</v>
      </c>
      <c r="AR22" s="10">
        <f t="shared" si="66"/>
        <v>0.77</v>
      </c>
      <c r="AS22" s="10">
        <f t="shared" ref="AS22:AT22" si="67">AS5/AS3</f>
        <v>0.77</v>
      </c>
      <c r="AT22" s="10">
        <f t="shared" si="67"/>
        <v>0.77</v>
      </c>
      <c r="AV22" s="128" t="s">
        <v>114</v>
      </c>
      <c r="AW22" s="122">
        <v>0.09</v>
      </c>
      <c r="AY22" s="62"/>
    </row>
    <row r="23" spans="2:85" ht="15" x14ac:dyDescent="0.25">
      <c r="B23" s="6" t="s">
        <v>24</v>
      </c>
      <c r="C23" s="10">
        <f t="shared" ref="C23:J23" si="68">C12/C3</f>
        <v>-0.45160611499659598</v>
      </c>
      <c r="D23" s="10">
        <f t="shared" si="68"/>
        <v>-0.36451554952293502</v>
      </c>
      <c r="E23" s="10">
        <f t="shared" si="68"/>
        <v>-0.20450629976896878</v>
      </c>
      <c r="F23" s="10">
        <f t="shared" si="68"/>
        <v>-0.22130647819901991</v>
      </c>
      <c r="G23" s="10">
        <f t="shared" si="68"/>
        <v>-0.3490035557760689</v>
      </c>
      <c r="H23" s="10">
        <f t="shared" si="68"/>
        <v>-0.31478969390002193</v>
      </c>
      <c r="I23" s="10">
        <f t="shared" si="68"/>
        <v>-0.15205286883314742</v>
      </c>
      <c r="J23" s="10">
        <f t="shared" si="68"/>
        <v>-0.24553025920892319</v>
      </c>
      <c r="K23" s="10">
        <f t="shared" ref="K23:L23" si="69">K12/K3</f>
        <v>-0.28225917555023522</v>
      </c>
      <c r="L23" s="10">
        <f t="shared" si="69"/>
        <v>-0.2879989580637578</v>
      </c>
      <c r="M23" s="10">
        <f t="shared" ref="M23:N23" si="70">M12/M3</f>
        <v>-0.5794918747476856</v>
      </c>
      <c r="N23" s="220">
        <f t="shared" si="70"/>
        <v>-0.52141090562414072</v>
      </c>
      <c r="O23" s="220">
        <f t="shared" ref="O23:P23" si="71">O12/O3</f>
        <v>-0.44228222124563565</v>
      </c>
      <c r="P23" s="220">
        <f t="shared" si="71"/>
        <v>-0.46122896854425754</v>
      </c>
      <c r="Q23" s="220">
        <f t="shared" ref="Q23:R23" si="72">Q12/Q3</f>
        <v>-0.42067790669143679</v>
      </c>
      <c r="R23" s="220">
        <f t="shared" si="72"/>
        <v>-0.4736291885073321</v>
      </c>
      <c r="S23" s="220">
        <f t="shared" ref="S23" si="73">S12/S3</f>
        <v>-0.37729689254960685</v>
      </c>
      <c r="V23" s="74">
        <f>V12/V3</f>
        <v>-0.17383762059111754</v>
      </c>
      <c r="W23" s="163">
        <f>W12/W3</f>
        <v>-0.31959466683854248</v>
      </c>
      <c r="X23" s="74">
        <f t="shared" ref="X23" si="74">X12/X3</f>
        <v>-0.20020035171753023</v>
      </c>
      <c r="Y23" s="244">
        <v>-0.45970540286300937</v>
      </c>
      <c r="Z23" s="246"/>
      <c r="AC23" s="10">
        <f>AC12/AC3</f>
        <v>-0.28806290826239189</v>
      </c>
      <c r="AD23" s="10">
        <f>AD12/AD3</f>
        <v>-0.25797358352338834</v>
      </c>
      <c r="AE23" s="220">
        <f t="shared" ref="AE23:AR23" si="75">AE12/AE3</f>
        <v>-0.41517411727905695</v>
      </c>
      <c r="AF23" s="111">
        <f t="shared" si="75"/>
        <v>-0.14237884120668437</v>
      </c>
      <c r="AG23" s="10">
        <f t="shared" si="75"/>
        <v>-3.542663590494903E-2</v>
      </c>
      <c r="AH23" s="10">
        <f t="shared" si="75"/>
        <v>5.8564499815415151E-2</v>
      </c>
      <c r="AI23" s="10">
        <f t="shared" si="75"/>
        <v>0.14121428225306959</v>
      </c>
      <c r="AJ23" s="10">
        <f t="shared" si="75"/>
        <v>0.16097545230826979</v>
      </c>
      <c r="AK23" s="10">
        <f t="shared" si="75"/>
        <v>0.23109313256012087</v>
      </c>
      <c r="AL23" s="10">
        <f t="shared" si="75"/>
        <v>0.29285886488847773</v>
      </c>
      <c r="AM23" s="10">
        <f t="shared" si="75"/>
        <v>0.34729916038924136</v>
      </c>
      <c r="AN23" s="10">
        <f t="shared" si="75"/>
        <v>0.39531065084639605</v>
      </c>
      <c r="AO23" s="10">
        <f t="shared" si="75"/>
        <v>0.4376769783424449</v>
      </c>
      <c r="AP23" s="10">
        <f t="shared" si="75"/>
        <v>0.47508342924875019</v>
      </c>
      <c r="AQ23" s="10">
        <f t="shared" si="75"/>
        <v>0.50812962192978917</v>
      </c>
      <c r="AR23" s="10">
        <f t="shared" si="75"/>
        <v>0.53734051392546611</v>
      </c>
      <c r="AS23" s="10">
        <f t="shared" ref="AS23:AT23" si="76">AS12/AS3</f>
        <v>0.56317595710914159</v>
      </c>
      <c r="AT23" s="10">
        <f t="shared" si="76"/>
        <v>0.5860389974196395</v>
      </c>
      <c r="AV23" s="128" t="s">
        <v>115</v>
      </c>
      <c r="AW23" s="123">
        <f>NPV(AW22,AE18:CG18)</f>
        <v>43285.78270966134</v>
      </c>
      <c r="AY23" s="63"/>
    </row>
    <row r="24" spans="2:85" ht="15" x14ac:dyDescent="0.25">
      <c r="B24" s="6" t="s">
        <v>29</v>
      </c>
      <c r="C24" s="10">
        <f t="shared" ref="C24:J24" si="77">C18/C3</f>
        <v>-0.4634338057807762</v>
      </c>
      <c r="D24" s="10">
        <f t="shared" si="77"/>
        <v>-0.36060820791249149</v>
      </c>
      <c r="E24" s="10">
        <f t="shared" si="77"/>
        <v>-0.1985360083202998</v>
      </c>
      <c r="F24" s="10">
        <f t="shared" si="77"/>
        <v>-0.19527497588779671</v>
      </c>
      <c r="G24" s="10">
        <f t="shared" si="77"/>
        <v>-0.35170914992144231</v>
      </c>
      <c r="H24" s="10">
        <f t="shared" si="77"/>
        <v>-0.3147764809513322</v>
      </c>
      <c r="I24" s="10">
        <f t="shared" si="77"/>
        <v>-0.15155025366359329</v>
      </c>
      <c r="J24" s="10">
        <f t="shared" si="77"/>
        <v>-0.2589047574674429</v>
      </c>
      <c r="K24" s="10">
        <f t="shared" ref="K24:L24" si="78">K18/K3</f>
        <v>-0.30161188828113661</v>
      </c>
      <c r="L24" s="10">
        <f t="shared" si="78"/>
        <v>-0.30326095597650232</v>
      </c>
      <c r="M24" s="10">
        <f t="shared" ref="M24:N24" si="79">M18/M3</f>
        <v>-0.5831522463478378</v>
      </c>
      <c r="N24" s="220">
        <f t="shared" si="79"/>
        <v>-0.50342484680589428</v>
      </c>
      <c r="O24" s="220">
        <f t="shared" ref="O24:P24" si="80">O18/O3</f>
        <v>-0.41191801557655194</v>
      </c>
      <c r="P24" s="220">
        <f t="shared" si="80"/>
        <v>-0.41841249416098936</v>
      </c>
      <c r="Q24" s="220">
        <f t="shared" ref="Q24:R24" si="81">Q18/Q3</f>
        <v>-0.39091170388026225</v>
      </c>
      <c r="R24" s="220">
        <f t="shared" si="81"/>
        <v>-0.43382195085200276</v>
      </c>
      <c r="S24" s="220">
        <f t="shared" ref="S24" si="82">S18/S3</f>
        <v>-0.33934855859228752</v>
      </c>
      <c r="V24" s="74">
        <f>V18/V3</f>
        <v>-0.17647480466999524</v>
      </c>
      <c r="W24" s="163">
        <f>W18/W3</f>
        <v>-0.32004473066532035</v>
      </c>
      <c r="X24" s="74">
        <f t="shared" ref="X24" si="83">X18/X3</f>
        <v>-0.20180364211915114</v>
      </c>
      <c r="Y24" s="244">
        <v>-0.47146359813562494</v>
      </c>
      <c r="Z24" s="246"/>
      <c r="AC24" s="10">
        <f>AC18/AC3</f>
        <v>-0.28230353344842696</v>
      </c>
      <c r="AD24" s="10">
        <f>AD18/AD3</f>
        <v>-0.26234628208595223</v>
      </c>
      <c r="AE24" s="220">
        <f t="shared" ref="AE24:AR24" si="84">AE18/AE3</f>
        <v>-0.42007242976793363</v>
      </c>
      <c r="AF24" s="111">
        <f t="shared" si="84"/>
        <v>-0.14609438306644937</v>
      </c>
      <c r="AG24" s="10">
        <f t="shared" si="84"/>
        <v>-3.8611620173807155E-2</v>
      </c>
      <c r="AH24" s="10">
        <f t="shared" si="84"/>
        <v>5.5835199642255189E-2</v>
      </c>
      <c r="AI24" s="10">
        <f t="shared" si="84"/>
        <v>0.13887625895110212</v>
      </c>
      <c r="AJ24" s="10">
        <f t="shared" si="84"/>
        <v>0.1587826333978283</v>
      </c>
      <c r="AK24" s="10">
        <f t="shared" si="84"/>
        <v>0.22921602125379242</v>
      </c>
      <c r="AL24" s="10">
        <f t="shared" si="84"/>
        <v>0.29125261614227843</v>
      </c>
      <c r="AM24" s="10">
        <f t="shared" si="84"/>
        <v>0.3459252311582815</v>
      </c>
      <c r="AN24" s="10">
        <f t="shared" si="84"/>
        <v>0.39413592219311544</v>
      </c>
      <c r="AO24" s="10">
        <f t="shared" si="84"/>
        <v>0.43667299895390199</v>
      </c>
      <c r="AP24" s="10">
        <f t="shared" si="84"/>
        <v>0.47422576367482472</v>
      </c>
      <c r="AQ24" s="10">
        <f t="shared" si="84"/>
        <v>0.50739728913609727</v>
      </c>
      <c r="AR24" s="10">
        <f t="shared" si="84"/>
        <v>0.536715503726089</v>
      </c>
      <c r="AS24" s="10">
        <f t="shared" ref="AS24:AT24" si="85">AS18/AS3</f>
        <v>0.56264281374705427</v>
      </c>
      <c r="AT24" s="10">
        <f t="shared" si="85"/>
        <v>0.58558446103343176</v>
      </c>
      <c r="AV24" s="128" t="s">
        <v>7</v>
      </c>
      <c r="AW24" s="123">
        <f>Main!C11</f>
        <v>2464.1410000000005</v>
      </c>
    </row>
    <row r="25" spans="2:85" ht="15" x14ac:dyDescent="0.25">
      <c r="B25" s="6" t="s">
        <v>30</v>
      </c>
      <c r="C25" s="10">
        <f t="shared" ref="C25:J25" si="86">C17/C16</f>
        <v>-1.3355414284951119E-5</v>
      </c>
      <c r="D25" s="10">
        <f t="shared" si="86"/>
        <v>-6.9196490354009248E-5</v>
      </c>
      <c r="E25" s="10">
        <f t="shared" si="86"/>
        <v>-3.8003800380038001E-4</v>
      </c>
      <c r="F25" s="10">
        <f t="shared" si="86"/>
        <v>9.9393019726858919E-2</v>
      </c>
      <c r="G25" s="10">
        <f t="shared" si="86"/>
        <v>-1.4694969177302145E-5</v>
      </c>
      <c r="H25" s="10">
        <f t="shared" si="86"/>
        <v>-1.3993842709207952E-4</v>
      </c>
      <c r="I25" s="10">
        <f t="shared" si="86"/>
        <v>1.2764107024095776E-2</v>
      </c>
      <c r="J25" s="10">
        <f t="shared" si="86"/>
        <v>-4.4747307317139712E-3</v>
      </c>
      <c r="K25" s="10">
        <f t="shared" ref="K25:L25" si="87">K17/K16</f>
        <v>-1.7065479502875161E-3</v>
      </c>
      <c r="L25" s="10">
        <f t="shared" si="87"/>
        <v>-1.5529685160771344E-3</v>
      </c>
      <c r="M25" s="10">
        <f t="shared" ref="M25:N25" si="88">M17/M16</f>
        <v>-1.1673022715967497E-3</v>
      </c>
      <c r="N25" s="220">
        <f t="shared" si="88"/>
        <v>-1.1107141246622243E-2</v>
      </c>
      <c r="O25" s="220">
        <f t="shared" ref="O25:P25" si="89">O17/O16</f>
        <v>-2.7152817244081922E-3</v>
      </c>
      <c r="P25" s="220">
        <f t="shared" si="89"/>
        <v>4.3205151060728393E-3</v>
      </c>
      <c r="Q25" s="220">
        <f t="shared" ref="Q25:R25" si="90">Q17/Q16</f>
        <v>-2.4521260148278119E-3</v>
      </c>
      <c r="R25" s="220">
        <f t="shared" si="90"/>
        <v>-8.5214250776003407E-4</v>
      </c>
      <c r="S25" s="220">
        <f t="shared" ref="S25" si="91">S17/S16</f>
        <v>-3.8875167517637811E-3</v>
      </c>
      <c r="V25" s="74">
        <f>V17/V16</f>
        <v>-5.8143950486894873E-3</v>
      </c>
      <c r="W25" s="163">
        <f>W17/W16</f>
        <v>-1.554111834331342E-3</v>
      </c>
      <c r="X25" s="74">
        <f t="shared" ref="X25" si="92">X17/X16</f>
        <v>-2.1744084525061108E-3</v>
      </c>
      <c r="Y25" s="244">
        <v>-1.209261242904384E-3</v>
      </c>
      <c r="Z25" s="246"/>
      <c r="AC25" s="10">
        <f>AC17/AC16</f>
        <v>2.4884847759765513E-2</v>
      </c>
      <c r="AD25" s="10">
        <f>AD17/AD16</f>
        <v>6.3516008018896014E-4</v>
      </c>
      <c r="AE25" s="220">
        <f t="shared" ref="AE25:AR25" si="93">AE17/AE16</f>
        <v>-4.4144749214195516E-3</v>
      </c>
      <c r="AF25" s="111">
        <f t="shared" si="93"/>
        <v>-9.816481523117624E-3</v>
      </c>
      <c r="AG25" s="10">
        <f t="shared" si="93"/>
        <v>-3.3040640624499108E-2</v>
      </c>
      <c r="AH25" s="10">
        <f t="shared" si="93"/>
        <v>1.8869907013938449E-2</v>
      </c>
      <c r="AI25" s="10">
        <f t="shared" si="93"/>
        <v>6.6790544020396431E-3</v>
      </c>
      <c r="AJ25" s="10">
        <f t="shared" si="93"/>
        <v>5.5697464511918499E-3</v>
      </c>
      <c r="AK25" s="10">
        <f t="shared" si="93"/>
        <v>3.3624708205719084E-3</v>
      </c>
      <c r="AL25" s="10">
        <f t="shared" si="93"/>
        <v>2.3035466413291092E-3</v>
      </c>
      <c r="AM25" s="10">
        <f t="shared" si="93"/>
        <v>1.6875429188235112E-3</v>
      </c>
      <c r="AN25" s="10">
        <f t="shared" si="93"/>
        <v>1.2884476880927105E-3</v>
      </c>
      <c r="AO25" s="10">
        <f t="shared" si="93"/>
        <v>1.0115306167989601E-3</v>
      </c>
      <c r="AP25" s="10">
        <f t="shared" si="93"/>
        <v>8.1010244919058549E-4</v>
      </c>
      <c r="AQ25" s="10">
        <f t="shared" si="93"/>
        <v>6.5848365970790871E-4</v>
      </c>
      <c r="AR25" s="10">
        <f t="shared" si="93"/>
        <v>5.4137980596618012E-4</v>
      </c>
      <c r="AS25" s="10">
        <f t="shared" ref="AS25:AT25" si="94">AS17/AS16</f>
        <v>4.491130419561179E-4</v>
      </c>
      <c r="AT25" s="10">
        <f t="shared" si="94"/>
        <v>3.7526075313636993E-4</v>
      </c>
      <c r="AV25" s="128" t="s">
        <v>116</v>
      </c>
      <c r="AW25" s="123">
        <f>AW23+AW24</f>
        <v>45749.923709661343</v>
      </c>
    </row>
    <row r="26" spans="2:85" x14ac:dyDescent="0.25">
      <c r="B26" s="1"/>
      <c r="O26" s="55"/>
      <c r="V26" s="71"/>
      <c r="W26" s="162"/>
      <c r="X26" s="71"/>
      <c r="Y26" s="243"/>
      <c r="Z26" s="282"/>
      <c r="AC26" s="7"/>
      <c r="AD26" s="7"/>
      <c r="AV26" s="38" t="s">
        <v>117</v>
      </c>
      <c r="AW26" s="124">
        <f>AW25/Main!C7</f>
        <v>72.044854822936827</v>
      </c>
      <c r="AX26" s="62"/>
      <c r="AZ26" s="321"/>
    </row>
    <row r="27" spans="2:85" ht="15" x14ac:dyDescent="0.25">
      <c r="B27" s="15" t="s">
        <v>56</v>
      </c>
      <c r="C27" s="16" t="s">
        <v>33</v>
      </c>
      <c r="D27" s="10">
        <f t="shared" ref="D27:L27" si="95">D3/C3-1</f>
        <v>0.24027975490499487</v>
      </c>
      <c r="E27" s="10">
        <f t="shared" si="95"/>
        <v>0.25710607209868663</v>
      </c>
      <c r="F27" s="10">
        <f t="shared" si="95"/>
        <v>0.23061441603086785</v>
      </c>
      <c r="G27" s="10">
        <f t="shared" si="95"/>
        <v>0.24827343722279016</v>
      </c>
      <c r="H27" s="10">
        <f t="shared" si="95"/>
        <v>0.17345778549574131</v>
      </c>
      <c r="I27" s="10">
        <f t="shared" si="95"/>
        <v>0.12163840563752482</v>
      </c>
      <c r="J27" s="10">
        <f t="shared" si="95"/>
        <v>0.11668721629729695</v>
      </c>
      <c r="K27" s="10">
        <f t="shared" si="95"/>
        <v>-5.5620119943245783E-2</v>
      </c>
      <c r="L27" s="10">
        <f t="shared" si="95"/>
        <v>0.10066947912438984</v>
      </c>
      <c r="M27" s="10">
        <f t="shared" ref="M27" si="96">M3/L3-1</f>
        <v>-0.12432193800141067</v>
      </c>
      <c r="N27" s="10">
        <f t="shared" ref="N27:P27" si="97">N3/M3-1</f>
        <v>0.11840094879922436</v>
      </c>
      <c r="O27" s="10">
        <f t="shared" si="97"/>
        <v>0.1318471029561108</v>
      </c>
      <c r="P27" s="10">
        <f t="shared" si="97"/>
        <v>3.8791840621108742E-2</v>
      </c>
      <c r="Q27" s="10">
        <f t="shared" ref="Q27" si="98">Q3/P3-1</f>
        <v>4.7680113284153558E-2</v>
      </c>
      <c r="R27" s="10">
        <f t="shared" ref="R27" si="99">R3/Q3-1</f>
        <v>5.1476041922254412E-2</v>
      </c>
      <c r="S27" s="10">
        <f t="shared" ref="S27" si="100">S3/R3-1</f>
        <v>6.848690360149301E-2</v>
      </c>
      <c r="V27" s="74">
        <f>V3/J3-1</f>
        <v>0.13622563817648281</v>
      </c>
      <c r="W27" s="163">
        <f>W3/K3-1</f>
        <v>3.9857838081372554E-2</v>
      </c>
      <c r="X27" s="74">
        <f>X3/L3-1</f>
        <v>7.6898615882423638E-2</v>
      </c>
      <c r="Y27" s="244">
        <v>-2.4222281558735514E-2</v>
      </c>
      <c r="Z27" s="246">
        <v>0.05</v>
      </c>
      <c r="AC27" s="197" t="s">
        <v>33</v>
      </c>
      <c r="AD27" s="197" t="s">
        <v>33</v>
      </c>
      <c r="AV27" s="129" t="s">
        <v>121</v>
      </c>
      <c r="AW27" s="125">
        <f>Main!C6</f>
        <v>32.86</v>
      </c>
    </row>
    <row r="28" spans="2:85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01">G3/C3-1</f>
        <v>1.3950980998947826</v>
      </c>
      <c r="H28" s="13">
        <f t="shared" si="101"/>
        <v>1.2660585252904308</v>
      </c>
      <c r="I28" s="13">
        <f t="shared" si="101"/>
        <v>1.0218646045872801</v>
      </c>
      <c r="J28" s="13">
        <f t="shared" si="101"/>
        <v>0.83468544461612404</v>
      </c>
      <c r="K28" s="13">
        <f t="shared" si="101"/>
        <v>0.38802923178698423</v>
      </c>
      <c r="L28" s="13">
        <f t="shared" si="101"/>
        <v>0.3019312926668134</v>
      </c>
      <c r="M28" s="13">
        <f t="shared" ref="M28" si="102">M3/I3-1</f>
        <v>1.6435123376317362E-2</v>
      </c>
      <c r="N28" s="13">
        <f t="shared" ref="N28:O28" si="103">N3/J3-1</f>
        <v>1.7995003243847618E-2</v>
      </c>
      <c r="O28" s="270">
        <f t="shared" si="103"/>
        <v>0.22007543741412761</v>
      </c>
      <c r="P28" s="270">
        <f t="shared" ref="P28" si="104">P3/L3-1</f>
        <v>0.15148501286351479</v>
      </c>
      <c r="Q28" s="270">
        <f t="shared" ref="Q28" si="105">Q3/M3-1</f>
        <v>0.37766149578815833</v>
      </c>
      <c r="R28" s="270">
        <f t="shared" ref="R28" si="106">R3/N3-1</f>
        <v>0.29522248550959906</v>
      </c>
      <c r="S28" s="270">
        <f t="shared" ref="S28" si="107">S3/O3-1</f>
        <v>0.22271661905808227</v>
      </c>
      <c r="T28" s="227"/>
      <c r="V28" s="75">
        <f>V3/G3-1</f>
        <v>0.66999999999999993</v>
      </c>
      <c r="W28" s="164">
        <f>W3/H3-1</f>
        <v>0.22999999999999998</v>
      </c>
      <c r="X28" s="75">
        <f>X3/I3-1</f>
        <v>0.25000000000000022</v>
      </c>
      <c r="Y28" s="245">
        <v>9.2268390154878199E-2</v>
      </c>
      <c r="Z28" s="247">
        <v>0.13184829111543861</v>
      </c>
      <c r="AC28" s="13"/>
      <c r="AD28" s="13">
        <f>AD3/AC3-1</f>
        <v>1.0772942519902369</v>
      </c>
      <c r="AE28" s="221">
        <f t="shared" ref="AE28:AR28" si="108">AE3/AD3-1</f>
        <v>0.15937579623808262</v>
      </c>
      <c r="AF28" s="112">
        <f>AF3/AE3-1</f>
        <v>0.30000000000000004</v>
      </c>
      <c r="AG28" s="13">
        <f t="shared" si="108"/>
        <v>0.14999999999999991</v>
      </c>
      <c r="AH28" s="13">
        <f t="shared" si="108"/>
        <v>0.14999999999999991</v>
      </c>
      <c r="AI28" s="13">
        <f t="shared" si="108"/>
        <v>0.14999999999999991</v>
      </c>
      <c r="AJ28" s="13">
        <f t="shared" si="108"/>
        <v>5.0000000000000044E-2</v>
      </c>
      <c r="AK28" s="13">
        <f t="shared" si="108"/>
        <v>0.14999999999999991</v>
      </c>
      <c r="AL28" s="13">
        <f t="shared" si="108"/>
        <v>0.14999999999999991</v>
      </c>
      <c r="AM28" s="13">
        <f t="shared" si="108"/>
        <v>0.14999999999999991</v>
      </c>
      <c r="AN28" s="13">
        <f t="shared" si="108"/>
        <v>0.14999999999999991</v>
      </c>
      <c r="AO28" s="13">
        <f t="shared" si="108"/>
        <v>0.14999999999999991</v>
      </c>
      <c r="AP28" s="13">
        <f t="shared" si="108"/>
        <v>0.14999999999999991</v>
      </c>
      <c r="AQ28" s="13">
        <f t="shared" si="108"/>
        <v>0.14999999999999991</v>
      </c>
      <c r="AR28" s="13">
        <f t="shared" si="108"/>
        <v>0.14999999999999991</v>
      </c>
      <c r="AS28" s="13">
        <f t="shared" ref="AS28:AT28" si="109">AS3/AR3-1</f>
        <v>0.14999999999999991</v>
      </c>
      <c r="AT28" s="13">
        <f t="shared" si="109"/>
        <v>0.14999999999999991</v>
      </c>
      <c r="AV28" s="130" t="s">
        <v>120</v>
      </c>
      <c r="AW28" s="126">
        <f>AW26/AW27-1</f>
        <v>1.1924788442768359</v>
      </c>
    </row>
    <row r="29" spans="2:85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0"/>
      <c r="T29" s="227"/>
      <c r="V29" s="75"/>
      <c r="W29" s="164"/>
      <c r="X29" s="192"/>
      <c r="Y29" s="245"/>
      <c r="Z29" s="247"/>
      <c r="AC29" s="13"/>
      <c r="AD29" s="13"/>
      <c r="AE29" s="221"/>
      <c r="AF29" s="112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2:85" s="184" customFormat="1" ht="15" x14ac:dyDescent="0.25">
      <c r="B30" s="184" t="s">
        <v>216</v>
      </c>
      <c r="C30" s="2" t="s">
        <v>33</v>
      </c>
      <c r="D30" s="185">
        <f t="shared" ref="D30:K30" si="110">D8/C8-1</f>
        <v>-0.18539132546702008</v>
      </c>
      <c r="E30" s="185">
        <f t="shared" si="110"/>
        <v>0.28470272553355347</v>
      </c>
      <c r="F30" s="185">
        <f t="shared" si="110"/>
        <v>0.16165777055774733</v>
      </c>
      <c r="G30" s="185">
        <f t="shared" si="110"/>
        <v>0.60893668736577489</v>
      </c>
      <c r="H30" s="185">
        <f t="shared" si="110"/>
        <v>0.29079922188651119</v>
      </c>
      <c r="I30" s="185">
        <f t="shared" si="110"/>
        <v>0.10819411934459877</v>
      </c>
      <c r="J30" s="185">
        <f t="shared" si="110"/>
        <v>0.25552461210170341</v>
      </c>
      <c r="K30" s="185">
        <f t="shared" si="110"/>
        <v>2.4151639108140888E-2</v>
      </c>
      <c r="L30" s="185">
        <f>L8/K8-1</f>
        <v>0.19123884744771091</v>
      </c>
      <c r="M30" s="185">
        <f t="shared" ref="M30" si="111">M8/L8-1</f>
        <v>0.11236464438011495</v>
      </c>
      <c r="N30" s="185">
        <f t="shared" ref="N30" si="112">N8/M8-1</f>
        <v>5.4578414016497545E-2</v>
      </c>
      <c r="O30" s="185">
        <f t="shared" ref="O30" si="113">O8/N8-1</f>
        <v>0.10921592386687973</v>
      </c>
      <c r="P30" s="185">
        <f t="shared" ref="P30" si="114">P8/O8-1</f>
        <v>0.14437988364539089</v>
      </c>
      <c r="Q30" s="185">
        <f t="shared" ref="Q30:R30" si="115">Q8/P8-1</f>
        <v>1.9960738173088188E-2</v>
      </c>
      <c r="R30" s="185">
        <f t="shared" si="115"/>
        <v>6.068162667553878E-2</v>
      </c>
      <c r="S30" s="185">
        <f t="shared" ref="S30" si="116">S8/R8-1</f>
        <v>6.1372677198361814E-2</v>
      </c>
      <c r="T30" s="318"/>
      <c r="V30" s="187"/>
      <c r="W30" s="188"/>
      <c r="X30" s="193">
        <f>X8/L8-1</f>
        <v>-0.14026981054699483</v>
      </c>
      <c r="Y30" s="246">
        <v>8.0000000000000071E-2</v>
      </c>
      <c r="Z30" s="246">
        <v>0.03</v>
      </c>
      <c r="AC30" s="185"/>
      <c r="AD30" s="185"/>
      <c r="AE30" s="222"/>
      <c r="AF30" s="186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</row>
    <row r="31" spans="2:85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17">G8/C8-1</f>
        <v>0.95599991904308945</v>
      </c>
      <c r="H31" s="13">
        <f t="shared" si="117"/>
        <v>2.0994061964272404</v>
      </c>
      <c r="I31" s="13">
        <f t="shared" si="117"/>
        <v>1.6735708207627447</v>
      </c>
      <c r="J31" s="13">
        <f t="shared" si="117"/>
        <v>1.8896066059566814</v>
      </c>
      <c r="K31" s="13">
        <f t="shared" si="117"/>
        <v>0.83934853689830713</v>
      </c>
      <c r="L31" s="13">
        <f>L8/H8-1</f>
        <v>0.69747811588161723</v>
      </c>
      <c r="M31" s="13">
        <f t="shared" ref="M31" si="118">M8/I8-1</f>
        <v>0.70386632427935902</v>
      </c>
      <c r="N31" s="13">
        <f t="shared" ref="N31:O31" si="119">N8/J8-1</f>
        <v>0.43116321945036606</v>
      </c>
      <c r="O31" s="13">
        <f t="shared" si="119"/>
        <v>0.55003319044565191</v>
      </c>
      <c r="P31" s="13">
        <f t="shared" ref="P31" si="120">P8/L8-1</f>
        <v>0.48906057414867043</v>
      </c>
      <c r="Q31" s="13">
        <f t="shared" ref="Q31" si="121">Q8/M8-1</f>
        <v>0.36536461318355684</v>
      </c>
      <c r="R31" s="13">
        <f t="shared" ref="R31" si="122">R8/N8-1</f>
        <v>0.37326645384389323</v>
      </c>
      <c r="S31" s="13">
        <f t="shared" ref="S31" si="123">S8/O8-1</f>
        <v>0.3140340498735199</v>
      </c>
      <c r="T31" s="227"/>
      <c r="V31" s="75"/>
      <c r="W31" s="164"/>
      <c r="X31" s="192">
        <f>X8/I8-1</f>
        <v>0.31689309362363915</v>
      </c>
      <c r="Y31" s="247">
        <v>0.46566272973440115</v>
      </c>
      <c r="AC31" s="13"/>
      <c r="AD31" s="13">
        <f>AD8/AC8-1</f>
        <v>1.6470687523891319</v>
      </c>
      <c r="AE31" s="221"/>
      <c r="AF31" s="112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2:85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0"/>
      <c r="T32" s="227"/>
      <c r="V32" s="13"/>
      <c r="W32" s="164"/>
      <c r="X32" s="75"/>
      <c r="Y32" s="245"/>
      <c r="AC32" s="13"/>
      <c r="AD32" s="13"/>
      <c r="AE32" s="221"/>
      <c r="AF32" s="112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V32" s="49"/>
      <c r="AW32" s="78"/>
    </row>
    <row r="33" spans="2:49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0"/>
      <c r="T33" s="227"/>
      <c r="V33" s="13"/>
      <c r="W33" s="164"/>
      <c r="X33" s="75"/>
      <c r="Y33" s="245"/>
      <c r="AC33" s="13"/>
      <c r="AD33" s="13"/>
      <c r="AE33" s="221"/>
      <c r="AF33" s="112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V33" s="78"/>
    </row>
    <row r="34" spans="2:49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R34" s="3">
        <v>1126.8219999999999</v>
      </c>
      <c r="S34" s="1">
        <v>923.8</v>
      </c>
      <c r="T34" s="227"/>
      <c r="V34" s="13"/>
      <c r="W34" s="165">
        <f>K34*(1+W35)</f>
        <v>634.36203</v>
      </c>
      <c r="X34" s="194">
        <f>W34*(1+X35)</f>
        <v>637.53384014999995</v>
      </c>
      <c r="Y34" s="248">
        <v>757.83600000000013</v>
      </c>
      <c r="AC34" s="3">
        <f>SUM(C34:F34)</f>
        <v>1882.5429999999999</v>
      </c>
      <c r="AD34" s="3">
        <f>SUM(D34:G34)</f>
        <v>2285.2439999999997</v>
      </c>
      <c r="AE34" s="3">
        <f>SUM(K34:N34)</f>
        <v>2872.2080000000001</v>
      </c>
      <c r="AF34" s="112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V34" s="78"/>
    </row>
    <row r="35" spans="2:49" s="1" customFormat="1" ht="15" x14ac:dyDescent="0.25">
      <c r="B35" s="79" t="s">
        <v>128</v>
      </c>
      <c r="C35" s="2" t="s">
        <v>33</v>
      </c>
      <c r="D35" s="117">
        <f t="shared" ref="D35:L35" si="124">D34/C34-1</f>
        <v>0.98004215148892526</v>
      </c>
      <c r="E35" s="117">
        <f t="shared" si="124"/>
        <v>4.6825896299054204E-3</v>
      </c>
      <c r="F35" s="117">
        <f t="shared" si="124"/>
        <v>0.29371682931004939</v>
      </c>
      <c r="G35" s="117">
        <f t="shared" si="124"/>
        <v>1.5515848241739683E-2</v>
      </c>
      <c r="H35" s="117">
        <f t="shared" si="124"/>
        <v>2.0241400509292795E-2</v>
      </c>
      <c r="I35" s="117">
        <f t="shared" si="124"/>
        <v>-4.1544449119432669E-2</v>
      </c>
      <c r="J35" s="117">
        <f t="shared" si="124"/>
        <v>0.20739441201693865</v>
      </c>
      <c r="K35" s="117">
        <f t="shared" si="124"/>
        <v>-0.18037542396210438</v>
      </c>
      <c r="L35" s="117">
        <f t="shared" si="124"/>
        <v>1.3776801868169875E-2</v>
      </c>
      <c r="M35" s="117">
        <f t="shared" ref="M35" si="125">M34/L34-1</f>
        <v>9.6574162918696915E-2</v>
      </c>
      <c r="N35" s="265">
        <f>N34/M34-1</f>
        <v>0.28174433518597675</v>
      </c>
      <c r="O35" s="265">
        <f t="shared" ref="O35" si="126">O34/N34-1</f>
        <v>-0.13964865465866139</v>
      </c>
      <c r="P35" s="265">
        <f t="shared" ref="P35" si="127">P34/O34-1</f>
        <v>8.9170328250194331E-3</v>
      </c>
      <c r="Q35" s="265">
        <f t="shared" ref="Q35" si="128">Q34/P34-1</f>
        <v>7.5317023184321652E-2</v>
      </c>
      <c r="R35" s="265">
        <f t="shared" ref="R35:S35" si="129">R34/Q34-1</f>
        <v>0.34225372245384134</v>
      </c>
      <c r="S35" s="265">
        <f t="shared" si="129"/>
        <v>-0.1801722011107344</v>
      </c>
      <c r="T35" s="227"/>
      <c r="V35" s="13"/>
      <c r="W35" s="164">
        <v>5.0000000000000001E-3</v>
      </c>
      <c r="X35" s="75">
        <v>5.0000000000000001E-3</v>
      </c>
      <c r="Y35" s="245">
        <v>8.0000000000000071E-2</v>
      </c>
      <c r="AC35" s="191" t="s">
        <v>33</v>
      </c>
      <c r="AD35" s="191" t="s">
        <v>33</v>
      </c>
      <c r="AE35" s="191" t="s">
        <v>33</v>
      </c>
      <c r="AF35" s="112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V35" s="49"/>
      <c r="AW35" s="78"/>
    </row>
    <row r="36" spans="2:49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30">K34/G34-1</f>
        <v>-3.2303760518920699E-2</v>
      </c>
      <c r="L36" s="80">
        <f t="shared" si="130"/>
        <v>-3.8435415038769016E-2</v>
      </c>
      <c r="M36" s="80">
        <f t="shared" ref="M36" si="131">M34/I34-1</f>
        <v>0.10013122557158383</v>
      </c>
      <c r="N36" s="80">
        <f>N34/J34-1</f>
        <v>0.16787600828966021</v>
      </c>
      <c r="O36" s="80">
        <f t="shared" ref="O36" si="132">O34/K34-1</f>
        <v>0.22590723155356551</v>
      </c>
      <c r="P36" s="80">
        <f t="shared" ref="P36" si="133">P34/L34-1</f>
        <v>0.22003056718059955</v>
      </c>
      <c r="Q36" s="80">
        <f t="shared" ref="Q36" si="134">Q34/M34-1</f>
        <v>0.19638021946700857</v>
      </c>
      <c r="R36" s="80">
        <f t="shared" ref="R36:S36" si="135">R34/N34-1</f>
        <v>0.25285968423393368</v>
      </c>
      <c r="S36" s="80">
        <f t="shared" si="135"/>
        <v>0.19384853967433457</v>
      </c>
      <c r="W36" s="166">
        <f>W34/H34-1</f>
        <v>-4.6760188134880143E-2</v>
      </c>
      <c r="X36" s="195">
        <f>X34/I34-1</f>
        <v>-4.6902535616688557E-4</v>
      </c>
      <c r="Y36" s="249">
        <v>-1.5945649746271773E-2</v>
      </c>
      <c r="AD36" s="80">
        <f>AD34/AC34-1</f>
        <v>0.21391330769071404</v>
      </c>
      <c r="AE36" s="80">
        <f>AE34/AD34-1</f>
        <v>0.25684959680454278</v>
      </c>
      <c r="AW36" s="52"/>
    </row>
    <row r="37" spans="2:49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1"/>
      <c r="T37" s="263"/>
      <c r="V37" s="258"/>
      <c r="W37" s="260"/>
      <c r="X37" s="261"/>
      <c r="Y37" s="262"/>
      <c r="AD37" s="258"/>
      <c r="AE37" s="258">
        <v>2128</v>
      </c>
      <c r="AF37" s="263"/>
    </row>
    <row r="38" spans="2:49" x14ac:dyDescent="0.25">
      <c r="B38" s="1"/>
      <c r="O38" s="57"/>
      <c r="AW38" s="52"/>
    </row>
    <row r="39" spans="2:49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49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227"/>
      <c r="V40" s="2"/>
      <c r="W40" s="13"/>
      <c r="X40" s="2"/>
      <c r="AF40" s="227"/>
    </row>
    <row r="41" spans="2:49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227"/>
      <c r="V41" s="2"/>
      <c r="W41" s="13"/>
      <c r="X41" s="2"/>
      <c r="AF41" s="227"/>
    </row>
    <row r="42" spans="2:49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5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</row>
    <row r="43" spans="2:49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5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</row>
    <row r="44" spans="2:49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5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</row>
    <row r="45" spans="2:49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227"/>
      <c r="V45" s="2"/>
      <c r="W45" s="2"/>
      <c r="X45" s="2"/>
      <c r="AF45" s="227"/>
    </row>
    <row r="46" spans="2:49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5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</row>
    <row r="47" spans="2:49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5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</row>
    <row r="48" spans="2:49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5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</row>
    <row r="49" spans="2:32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5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</row>
    <row r="50" spans="2:32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5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</row>
    <row r="51" spans="2:32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S51" si="136">SUM(F40:F50)</f>
        <v>1847.8</v>
      </c>
      <c r="G51" s="5">
        <f t="shared" si="136"/>
        <v>2816.0789999999997</v>
      </c>
      <c r="H51" s="5">
        <f t="shared" si="136"/>
        <v>3073.7910000000002</v>
      </c>
      <c r="I51" s="5">
        <f t="shared" si="136"/>
        <v>3272.2799999999997</v>
      </c>
      <c r="J51" s="5">
        <f t="shared" si="136"/>
        <v>4560.5960000000005</v>
      </c>
      <c r="K51" s="5">
        <f t="shared" si="136"/>
        <v>4715.831000000001</v>
      </c>
      <c r="L51" s="5">
        <f t="shared" si="136"/>
        <v>4919.420000000001</v>
      </c>
      <c r="M51" s="5">
        <f t="shared" si="136"/>
        <v>5038.3230000000012</v>
      </c>
      <c r="N51" s="5">
        <f t="shared" si="136"/>
        <v>5375.4870000000001</v>
      </c>
      <c r="O51" s="5">
        <f t="shared" si="136"/>
        <v>5471.46</v>
      </c>
      <c r="P51" s="5">
        <f t="shared" si="136"/>
        <v>5599.277000000001</v>
      </c>
      <c r="Q51" s="5">
        <f t="shared" si="136"/>
        <v>5754.1299999999983</v>
      </c>
      <c r="R51" s="5">
        <f t="shared" si="136"/>
        <v>6170.0779999999995</v>
      </c>
      <c r="S51" s="5">
        <f t="shared" si="136"/>
        <v>6314.6710000000021</v>
      </c>
    </row>
    <row r="52" spans="2:32" x14ac:dyDescent="0.25">
      <c r="C52" s="2"/>
      <c r="F52" s="5"/>
      <c r="K52" s="77"/>
      <c r="L52" s="77"/>
      <c r="M52" s="77"/>
      <c r="Q52" s="9"/>
      <c r="R52" s="9"/>
      <c r="S52" s="9"/>
    </row>
    <row r="53" spans="2:32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5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</row>
    <row r="54" spans="2:32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5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</row>
    <row r="55" spans="2:32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5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</row>
    <row r="56" spans="2:32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5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V56" s="51"/>
      <c r="W56" s="51"/>
    </row>
    <row r="57" spans="2:32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5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</row>
    <row r="58" spans="2:32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5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</row>
    <row r="59" spans="2:32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227"/>
      <c r="V59" s="2"/>
      <c r="W59" s="2"/>
      <c r="X59" s="2"/>
      <c r="AF59" s="227"/>
    </row>
    <row r="60" spans="2:32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5">
        <v>12.722</v>
      </c>
      <c r="P60" s="9">
        <v>13.039</v>
      </c>
      <c r="Q60" s="9">
        <v>15.904</v>
      </c>
      <c r="R60" s="9">
        <v>22.33</v>
      </c>
      <c r="S60" s="9">
        <v>30.282</v>
      </c>
    </row>
    <row r="61" spans="2:32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S61" si="137">SUM(F53:F60)</f>
        <v>1735.354</v>
      </c>
      <c r="G61" s="5">
        <f t="shared" si="137"/>
        <v>2224.4850000000001</v>
      </c>
      <c r="H61" s="5">
        <f t="shared" si="137"/>
        <v>2531.752</v>
      </c>
      <c r="I61" s="5">
        <f t="shared" si="137"/>
        <v>2666.4490000000001</v>
      </c>
      <c r="J61" s="5">
        <f t="shared" si="137"/>
        <v>3967.6709999999998</v>
      </c>
      <c r="K61" s="5">
        <f t="shared" si="137"/>
        <v>4148.37</v>
      </c>
      <c r="L61" s="5">
        <f t="shared" si="137"/>
        <v>4367.8141299999997</v>
      </c>
      <c r="M61" s="5">
        <f t="shared" si="137"/>
        <v>4613.7309999999998</v>
      </c>
      <c r="N61" s="5">
        <f t="shared" si="137"/>
        <v>5070.4520000000011</v>
      </c>
      <c r="O61" s="5">
        <f t="shared" si="137"/>
        <v>5226.2779999999993</v>
      </c>
      <c r="P61" s="5">
        <f t="shared" si="137"/>
        <v>5435.0770000000002</v>
      </c>
      <c r="Q61" s="5">
        <f t="shared" si="137"/>
        <v>5634.2760000000007</v>
      </c>
      <c r="R61" s="5">
        <f t="shared" si="137"/>
        <v>6099.4520000000002</v>
      </c>
      <c r="S61" s="5">
        <f t="shared" si="137"/>
        <v>6251.9839999999995</v>
      </c>
      <c r="T61" s="110"/>
      <c r="U61" s="5"/>
      <c r="V61" s="5"/>
    </row>
    <row r="62" spans="2:32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2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5">
        <v>245.18199999999999</v>
      </c>
      <c r="P63" s="6">
        <v>164.2</v>
      </c>
      <c r="Q63" s="9">
        <v>119.854</v>
      </c>
      <c r="R63" s="9">
        <f>+R51-R61</f>
        <v>70.625999999999294</v>
      </c>
      <c r="S63" s="9">
        <v>62.686999999999998</v>
      </c>
    </row>
    <row r="64" spans="2:32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S64" si="138">G63+G61</f>
        <v>2816.0790000000002</v>
      </c>
      <c r="H64" s="5">
        <f t="shared" si="138"/>
        <v>3073.7910000000002</v>
      </c>
      <c r="I64" s="5">
        <f t="shared" si="138"/>
        <v>3272.2890000000002</v>
      </c>
      <c r="J64" s="5">
        <f t="shared" si="138"/>
        <v>4560.5940000000001</v>
      </c>
      <c r="K64" s="5">
        <f t="shared" si="138"/>
        <v>4715.8310000000001</v>
      </c>
      <c r="L64" s="5">
        <f t="shared" si="138"/>
        <v>4919.4071299999996</v>
      </c>
      <c r="M64" s="5">
        <f t="shared" si="138"/>
        <v>5038.3239999999996</v>
      </c>
      <c r="N64" s="5">
        <f t="shared" si="138"/>
        <v>5375.487000000001</v>
      </c>
      <c r="O64" s="5">
        <f t="shared" si="138"/>
        <v>5471.4599999999991</v>
      </c>
      <c r="P64" s="5">
        <f t="shared" si="138"/>
        <v>5599.277</v>
      </c>
      <c r="Q64" s="5">
        <f t="shared" si="138"/>
        <v>5754.130000000001</v>
      </c>
      <c r="R64" s="5">
        <f t="shared" si="138"/>
        <v>6170.0779999999995</v>
      </c>
      <c r="S64" s="5">
        <f t="shared" si="138"/>
        <v>6314.6709999999994</v>
      </c>
    </row>
    <row r="65" spans="2:32" x14ac:dyDescent="0.25">
      <c r="F65" s="5"/>
    </row>
    <row r="66" spans="2:32" x14ac:dyDescent="0.25">
      <c r="B66" s="167" t="s">
        <v>199</v>
      </c>
      <c r="F66" s="5">
        <f t="shared" ref="F66:K66" si="139">F51-F61</f>
        <v>112.44599999999991</v>
      </c>
      <c r="G66" s="5">
        <f t="shared" si="139"/>
        <v>591.5939999999996</v>
      </c>
      <c r="H66" s="5">
        <f t="shared" si="139"/>
        <v>542.03900000000021</v>
      </c>
      <c r="I66" s="5">
        <f t="shared" si="139"/>
        <v>605.83099999999968</v>
      </c>
      <c r="J66" s="5">
        <f t="shared" si="139"/>
        <v>592.92500000000064</v>
      </c>
      <c r="K66" s="5">
        <f t="shared" si="139"/>
        <v>567.46100000000115</v>
      </c>
      <c r="L66" s="5">
        <f>L51-L61</f>
        <v>551.60587000000123</v>
      </c>
      <c r="M66" s="5">
        <f t="shared" ref="M66:N66" si="140">M51-M61</f>
        <v>424.59200000000146</v>
      </c>
      <c r="N66" s="5">
        <f t="shared" si="140"/>
        <v>305.03499999999894</v>
      </c>
      <c r="O66" s="5">
        <f t="shared" ref="O66:P66" si="141">O51-O61</f>
        <v>245.1820000000007</v>
      </c>
      <c r="P66" s="5">
        <f t="shared" si="141"/>
        <v>164.20000000000073</v>
      </c>
      <c r="Q66" s="5">
        <f t="shared" ref="Q66:R66" si="142">Q51-Q61</f>
        <v>119.85399999999754</v>
      </c>
      <c r="R66" s="5">
        <f t="shared" si="142"/>
        <v>70.625999999999294</v>
      </c>
      <c r="S66" s="5">
        <f t="shared" ref="S66" si="143">S51-S61</f>
        <v>62.687000000002627</v>
      </c>
    </row>
    <row r="67" spans="2:32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44">F66/F20</f>
        <v>0.576205873460791</v>
      </c>
      <c r="G67" s="180">
        <f t="shared" si="144"/>
        <v>2.0324522286428865</v>
      </c>
      <c r="H67" s="180">
        <f t="shared" si="144"/>
        <v>0.94878172588832532</v>
      </c>
      <c r="I67" s="180">
        <f t="shared" si="144"/>
        <v>1.0519141148607816</v>
      </c>
      <c r="J67" s="180">
        <f t="shared" si="144"/>
        <v>1.0195860954198812</v>
      </c>
      <c r="K67" s="180">
        <f t="shared" si="144"/>
        <v>0.96421538058964962</v>
      </c>
      <c r="L67" s="180">
        <f>L66/L20</f>
        <v>0.92874198556054144</v>
      </c>
      <c r="M67" s="180">
        <f t="shared" ref="M67:N67" si="145">M66/M20</f>
        <v>0.71028256261929823</v>
      </c>
      <c r="N67" s="180">
        <f t="shared" si="145"/>
        <v>0.50682136513701537</v>
      </c>
      <c r="O67" s="180">
        <f t="shared" ref="O67:P67" si="146">O66/O20</f>
        <v>0.40416591800368379</v>
      </c>
      <c r="P67" s="180">
        <f t="shared" si="146"/>
        <v>0.26799893583857509</v>
      </c>
      <c r="Q67" s="180">
        <f t="shared" ref="Q67:R67" si="147">Q66/Q20</f>
        <v>0.1935157826753815</v>
      </c>
      <c r="R67" s="180">
        <f t="shared" si="147"/>
        <v>0.1126740340482139</v>
      </c>
      <c r="S67" s="180">
        <f t="shared" ref="S67" si="148">S66/S20</f>
        <v>9.8716575855882699E-2</v>
      </c>
      <c r="T67" s="228"/>
      <c r="V67" s="180"/>
      <c r="W67" s="180"/>
      <c r="X67" s="180"/>
      <c r="AF67" s="228"/>
    </row>
    <row r="68" spans="2:32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4"/>
      <c r="T68" s="228"/>
      <c r="V68" s="180"/>
      <c r="W68" s="180"/>
      <c r="X68" s="180"/>
      <c r="AF68" s="228"/>
    </row>
    <row r="69" spans="2:32" s="57" customFormat="1" x14ac:dyDescent="0.25">
      <c r="B69" s="57" t="s">
        <v>3</v>
      </c>
      <c r="C69" s="182"/>
      <c r="D69" s="182"/>
      <c r="E69" s="182"/>
      <c r="F69" s="183">
        <f t="shared" ref="F69:N69" si="149">+F40+F41+F45</f>
        <v>893.94299999999998</v>
      </c>
      <c r="G69" s="183">
        <f t="shared" si="149"/>
        <v>1600.53</v>
      </c>
      <c r="H69" s="183">
        <f t="shared" si="149"/>
        <v>1780.2619999999999</v>
      </c>
      <c r="I69" s="183">
        <f t="shared" si="149"/>
        <v>1925.559</v>
      </c>
      <c r="J69" s="183">
        <f t="shared" si="149"/>
        <v>3004.3</v>
      </c>
      <c r="K69" s="183">
        <f t="shared" si="149"/>
        <v>3132.9639999999999</v>
      </c>
      <c r="L69" s="183">
        <f t="shared" si="149"/>
        <v>3075.4749999999999</v>
      </c>
      <c r="M69" s="183">
        <f t="shared" si="149"/>
        <v>3021.5070000000001</v>
      </c>
      <c r="N69" s="183">
        <f t="shared" si="149"/>
        <v>2977.4740000000002</v>
      </c>
      <c r="O69" s="183">
        <f>+O40+O41+O45</f>
        <v>3091.92</v>
      </c>
      <c r="P69" s="183">
        <f t="shared" ref="P69:Q69" si="150">+P40+P41+P45</f>
        <v>3024.7629999999999</v>
      </c>
      <c r="Q69" s="183">
        <f t="shared" si="150"/>
        <v>3115.6019999999999</v>
      </c>
      <c r="R69" s="183">
        <f t="shared" ref="R69:S69" si="151">+R40+R41+R45</f>
        <v>3236.6729999999998</v>
      </c>
      <c r="S69" s="183">
        <f t="shared" si="151"/>
        <v>3469.4790000000003</v>
      </c>
      <c r="T69" s="131"/>
      <c r="V69" s="55"/>
      <c r="W69" s="55"/>
      <c r="X69" s="55"/>
      <c r="AF69" s="131"/>
    </row>
    <row r="70" spans="2:32" s="57" customFormat="1" x14ac:dyDescent="0.25">
      <c r="B70" s="57" t="s">
        <v>4</v>
      </c>
      <c r="C70" s="182"/>
      <c r="D70" s="182"/>
      <c r="E70" s="182"/>
      <c r="F70" s="183">
        <f t="shared" ref="F70:N70" si="152">+F59</f>
        <v>0</v>
      </c>
      <c r="G70" s="183">
        <f t="shared" si="152"/>
        <v>0</v>
      </c>
      <c r="H70" s="183">
        <f t="shared" si="152"/>
        <v>0</v>
      </c>
      <c r="I70" s="183">
        <f t="shared" si="152"/>
        <v>0</v>
      </c>
      <c r="J70" s="183">
        <f t="shared" si="152"/>
        <v>987.72299999999996</v>
      </c>
      <c r="K70" s="183">
        <f t="shared" si="152"/>
        <v>988.03399999999999</v>
      </c>
      <c r="L70" s="183">
        <f t="shared" si="152"/>
        <v>988.34500000000003</v>
      </c>
      <c r="M70" s="183">
        <f t="shared" si="152"/>
        <v>988.66300000000001</v>
      </c>
      <c r="N70" s="183">
        <f t="shared" si="152"/>
        <v>988.98400000000004</v>
      </c>
      <c r="O70" s="183">
        <f>+O59</f>
        <v>989.30799999999999</v>
      </c>
      <c r="P70" s="183">
        <f t="shared" ref="P70:Q70" si="153">+P59</f>
        <v>1004.335</v>
      </c>
      <c r="Q70" s="183">
        <f t="shared" si="153"/>
        <v>1004.6660000000001</v>
      </c>
      <c r="R70" s="183">
        <f t="shared" ref="R70:S70" si="154">+R59</f>
        <v>1005</v>
      </c>
      <c r="S70" s="183">
        <f t="shared" si="154"/>
        <v>1005.338</v>
      </c>
      <c r="T70" s="131"/>
      <c r="V70" s="55"/>
      <c r="W70" s="55"/>
      <c r="X70" s="55"/>
      <c r="AF70" s="131"/>
    </row>
    <row r="71" spans="2:32" x14ac:dyDescent="0.25">
      <c r="B71" s="181" t="s">
        <v>7</v>
      </c>
      <c r="F71" s="5">
        <f t="shared" ref="F71:N71" si="155">F69-F70</f>
        <v>893.94299999999998</v>
      </c>
      <c r="G71" s="5">
        <f t="shared" si="155"/>
        <v>1600.53</v>
      </c>
      <c r="H71" s="5">
        <f t="shared" si="155"/>
        <v>1780.2619999999999</v>
      </c>
      <c r="I71" s="5">
        <f t="shared" si="155"/>
        <v>1925.559</v>
      </c>
      <c r="J71" s="5">
        <f t="shared" si="155"/>
        <v>2016.5770000000002</v>
      </c>
      <c r="K71" s="5">
        <f t="shared" si="155"/>
        <v>2144.9299999999998</v>
      </c>
      <c r="L71" s="5">
        <f t="shared" si="155"/>
        <v>2087.13</v>
      </c>
      <c r="M71" s="5">
        <f t="shared" si="155"/>
        <v>2032.8440000000001</v>
      </c>
      <c r="N71" s="5">
        <f t="shared" si="155"/>
        <v>1988.4900000000002</v>
      </c>
      <c r="O71" s="5">
        <f t="shared" ref="O71:P71" si="156">O69-O70</f>
        <v>2102.6120000000001</v>
      </c>
      <c r="P71" s="5">
        <f t="shared" si="156"/>
        <v>2020.4279999999999</v>
      </c>
      <c r="Q71" s="5">
        <f t="shared" ref="Q71:R71" si="157">Q69-Q70</f>
        <v>2110.9359999999997</v>
      </c>
      <c r="R71" s="5">
        <f t="shared" si="157"/>
        <v>2231.6729999999998</v>
      </c>
      <c r="S71" s="5">
        <f t="shared" ref="S71" si="158">S69-S70</f>
        <v>2464.1410000000005</v>
      </c>
    </row>
    <row r="73" spans="2:32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4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131"/>
      <c r="V73" s="55"/>
      <c r="W73" s="55"/>
      <c r="X73" s="55"/>
      <c r="AF73" s="131"/>
    </row>
    <row r="74" spans="2:32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59">G73*G20</f>
        <v>18870.327420000001</v>
      </c>
      <c r="H74" s="183">
        <f t="shared" si="159"/>
        <v>51405.574000000001</v>
      </c>
      <c r="I74" s="183">
        <f t="shared" si="159"/>
        <v>43511.662599999996</v>
      </c>
      <c r="J74" s="183">
        <f>J73*J20</f>
        <v>59991.150599999994</v>
      </c>
      <c r="K74" s="183">
        <f t="shared" ref="K74:L74" si="160">K73*K20</f>
        <v>27213.211039999998</v>
      </c>
      <c r="L74" s="183">
        <f t="shared" si="160"/>
        <v>19516.47408</v>
      </c>
      <c r="M74" s="183">
        <f t="shared" ref="M74:N74" si="161">M73*M20</f>
        <v>21424.399360000003</v>
      </c>
      <c r="N74" s="183">
        <f t="shared" si="161"/>
        <v>17074.739830000002</v>
      </c>
      <c r="O74" s="183">
        <f t="shared" ref="O74:P74" si="162">O73*O20</f>
        <v>27286.532259999996</v>
      </c>
      <c r="P74" s="183">
        <f t="shared" si="162"/>
        <v>24691.366699999995</v>
      </c>
      <c r="Q74" s="183">
        <f t="shared" ref="Q74:R74" si="163">Q73*Q20</f>
        <v>17936.376</v>
      </c>
      <c r="R74" s="183">
        <f t="shared" si="163"/>
        <v>28658.073239999998</v>
      </c>
      <c r="S74" s="183">
        <f t="shared" ref="S74" si="164">S73*S20</f>
        <v>24245.063599999998</v>
      </c>
      <c r="T74" s="131"/>
      <c r="V74" s="55"/>
      <c r="W74" s="55"/>
      <c r="X74" s="55"/>
      <c r="AF74" s="131"/>
    </row>
    <row r="75" spans="2:32" x14ac:dyDescent="0.25">
      <c r="B75" s="181" t="s">
        <v>5</v>
      </c>
      <c r="F75" s="5">
        <f t="shared" ref="F75:K75" si="165">F74-F71</f>
        <v>-893.94299999999998</v>
      </c>
      <c r="G75" s="5">
        <f t="shared" si="165"/>
        <v>17269.797420000003</v>
      </c>
      <c r="H75" s="5">
        <f t="shared" si="165"/>
        <v>49625.311999999998</v>
      </c>
      <c r="I75" s="5">
        <f t="shared" si="165"/>
        <v>41586.103599999995</v>
      </c>
      <c r="J75" s="5">
        <f t="shared" si="165"/>
        <v>57974.573599999996</v>
      </c>
      <c r="K75" s="5">
        <f t="shared" si="165"/>
        <v>25068.281039999998</v>
      </c>
      <c r="L75" s="5">
        <f>L74-L71</f>
        <v>17429.344079999999</v>
      </c>
      <c r="M75" s="5">
        <f t="shared" ref="M75:N75" si="166">M74-M71</f>
        <v>19391.555360000002</v>
      </c>
      <c r="N75" s="5">
        <f t="shared" si="166"/>
        <v>15086.249830000002</v>
      </c>
      <c r="O75" s="5">
        <f t="shared" ref="O75:P75" si="167">O74-O71</f>
        <v>25183.920259999995</v>
      </c>
      <c r="P75" s="5">
        <f t="shared" si="167"/>
        <v>22670.938699999995</v>
      </c>
      <c r="Q75" s="5">
        <f t="shared" ref="Q75:R75" si="168">Q74-Q71</f>
        <v>15825.44</v>
      </c>
      <c r="R75" s="5">
        <f t="shared" si="168"/>
        <v>26426.400239999999</v>
      </c>
      <c r="S75" s="5">
        <f t="shared" ref="S75" si="169">S74-S71</f>
        <v>21780.922599999998</v>
      </c>
    </row>
    <row r="77" spans="2:32" x14ac:dyDescent="0.25">
      <c r="B77" s="181" t="s">
        <v>204</v>
      </c>
      <c r="G77" s="189">
        <f t="shared" ref="G77:I77" si="170">G73/G67</f>
        <v>31.897428675747243</v>
      </c>
      <c r="H77" s="189">
        <f t="shared" si="170"/>
        <v>94.837408378363875</v>
      </c>
      <c r="I77" s="189">
        <f t="shared" si="170"/>
        <v>71.82145284741128</v>
      </c>
      <c r="J77" s="189">
        <f>J73/J67</f>
        <v>101.1783119281527</v>
      </c>
      <c r="K77" s="189">
        <f t="shared" ref="K77:L77" si="171">K73/K67</f>
        <v>47.956090444982024</v>
      </c>
      <c r="L77" s="189">
        <f t="shared" si="171"/>
        <v>35.381193604774282</v>
      </c>
      <c r="M77" s="189">
        <f t="shared" ref="M77:N77" si="172">M73/M67</f>
        <v>50.45879187549442</v>
      </c>
      <c r="N77" s="189">
        <f t="shared" si="172"/>
        <v>55.976330027701934</v>
      </c>
      <c r="O77" s="189">
        <f t="shared" ref="O77:P77" si="173">O73/O67</f>
        <v>111.29092780057231</v>
      </c>
      <c r="P77" s="189">
        <f t="shared" si="173"/>
        <v>150.37373142509068</v>
      </c>
      <c r="Q77" s="189">
        <f>Q73/Q67</f>
        <v>149.65187644968353</v>
      </c>
      <c r="R77" s="189">
        <f>R73/R67</f>
        <v>405.77228272874419</v>
      </c>
      <c r="S77" s="189">
        <f t="shared" ref="S77" si="174">S73/S67</f>
        <v>386.76382024979631</v>
      </c>
    </row>
    <row r="78" spans="2:32" x14ac:dyDescent="0.25">
      <c r="B78" s="181" t="s">
        <v>213</v>
      </c>
      <c r="G78" s="189">
        <f t="shared" ref="G78" si="175">G74/SUM(D3:G3)</f>
        <v>16.419103099215079</v>
      </c>
      <c r="H78" s="189">
        <f t="shared" ref="H78" si="176">H74/SUM(E3:H3)</f>
        <v>36.639779500911978</v>
      </c>
      <c r="I78" s="189">
        <f t="shared" ref="I78" si="177">I74/SUM(F3:I3)</f>
        <v>26.205198922441955</v>
      </c>
      <c r="J78" s="189">
        <f t="shared" ref="J78:K78" si="178">J74/SUM(G3:J3)</f>
        <v>31.25872473727074</v>
      </c>
      <c r="K78" s="189">
        <f t="shared" si="178"/>
        <v>13.150678086094159</v>
      </c>
      <c r="L78" s="189">
        <f>L74/SUM(I3:L3)</f>
        <v>8.8452081220206615</v>
      </c>
      <c r="M78" s="189">
        <f t="shared" ref="M78:P78" si="179">M74/SUM(J3:M3)</f>
        <v>9.6732142474976506</v>
      </c>
      <c r="N78" s="189">
        <f t="shared" si="179"/>
        <v>7.6738610288658444</v>
      </c>
      <c r="O78" s="189">
        <f t="shared" si="179"/>
        <v>11.644678341559755</v>
      </c>
      <c r="P78" s="189">
        <f t="shared" si="179"/>
        <v>10.149273908766817</v>
      </c>
      <c r="Q78" s="189">
        <f>Q74/SUM(N3:Q3)</f>
        <v>6.8242247290018527</v>
      </c>
      <c r="R78" s="189">
        <f t="shared" ref="R78" si="180">R74/SUM(O3:R3)</f>
        <v>10.237680641480612</v>
      </c>
      <c r="S78" s="189">
        <f t="shared" ref="S78" si="181">S74/SUM(P3:S3)</f>
        <v>8.2319763142437097</v>
      </c>
    </row>
    <row r="79" spans="2:32" x14ac:dyDescent="0.25">
      <c r="B79" s="196" t="s">
        <v>218</v>
      </c>
      <c r="G79" s="189">
        <f t="shared" ref="G79" si="182">G75/SUM(D3:G3)</f>
        <v>15.026479298976499</v>
      </c>
      <c r="H79" s="189">
        <f t="shared" ref="H79" si="183">H75/SUM(E3:H3)</f>
        <v>35.370881946458979</v>
      </c>
      <c r="I79" s="189">
        <f t="shared" ref="I79" si="184">I75/SUM(F3:I3)</f>
        <v>25.045517733153215</v>
      </c>
      <c r="J79" s="189">
        <f t="shared" ref="J79:K79" si="185">J75/SUM(G3:J3)</f>
        <v>30.207976006431906</v>
      </c>
      <c r="K79" s="189">
        <f t="shared" si="185"/>
        <v>12.114149030197565</v>
      </c>
      <c r="L79" s="189">
        <f>L75/SUM(I3:L3)</f>
        <v>7.8992842244949566</v>
      </c>
      <c r="M79" s="189">
        <f t="shared" ref="M79:P79" si="186">M75/SUM(J3:M3)</f>
        <v>8.7553758888431883</v>
      </c>
      <c r="N79" s="189">
        <f t="shared" si="186"/>
        <v>6.7801785441418918</v>
      </c>
      <c r="O79" s="189">
        <f t="shared" si="186"/>
        <v>10.747377058135195</v>
      </c>
      <c r="P79" s="189">
        <f t="shared" si="186"/>
        <v>9.318786174568535</v>
      </c>
      <c r="Q79" s="189">
        <f>Q75/SUM(N3:Q3)</f>
        <v>6.0210802335619569</v>
      </c>
      <c r="R79" s="189">
        <f t="shared" ref="R79" si="187">R75/SUM(O3:R3)</f>
        <v>9.440447858980578</v>
      </c>
      <c r="S79" s="189">
        <f t="shared" ref="S79" si="188">S75/SUM(P3:S3)</f>
        <v>7.3953214519748887</v>
      </c>
    </row>
    <row r="80" spans="2:32" x14ac:dyDescent="0.25">
      <c r="B80" s="181" t="s">
        <v>214</v>
      </c>
      <c r="G80" s="189">
        <f t="shared" ref="G80:P80" si="189">G73/SUM(D19:G19)</f>
        <v>-44.675361443232362</v>
      </c>
      <c r="H80" s="189">
        <f t="shared" si="189"/>
        <v>-69.182197616608946</v>
      </c>
      <c r="I80" s="189">
        <f t="shared" si="189"/>
        <v>-65.015776279415363</v>
      </c>
      <c r="J80" s="189">
        <f t="shared" si="189"/>
        <v>-93.354276916433804</v>
      </c>
      <c r="K80" s="189">
        <f t="shared" si="189"/>
        <v>-50.661466911577669</v>
      </c>
      <c r="L80" s="189">
        <f t="shared" si="189"/>
        <v>-34.073155589366579</v>
      </c>
      <c r="M80" s="189">
        <f t="shared" si="189"/>
        <v>-26.838223427392109</v>
      </c>
      <c r="N80" s="189">
        <f t="shared" si="189"/>
        <v>-18.110490695810771</v>
      </c>
      <c r="O80" s="189">
        <f t="shared" si="189"/>
        <v>-25.90700623411449</v>
      </c>
      <c r="P80" s="189">
        <f t="shared" si="189"/>
        <v>-21.21899894662964</v>
      </c>
      <c r="Q80" s="189">
        <f>Q73/SUM(N19:Q19)</f>
        <v>-15.701888632244565</v>
      </c>
      <c r="R80" s="189">
        <f t="shared" ref="R80" si="190">R73/SUM(O19:R19)</f>
        <v>-24.330908086223079</v>
      </c>
      <c r="S80" s="189">
        <f t="shared" ref="S80" si="191">S73/SUM(P19:S19)</f>
        <v>-20.501449027274369</v>
      </c>
      <c r="T80" s="319"/>
      <c r="U80" s="206"/>
    </row>
    <row r="81" spans="2:32" x14ac:dyDescent="0.25">
      <c r="B81" s="206" t="s">
        <v>253</v>
      </c>
      <c r="G81" s="80">
        <f t="shared" ref="G81:L81" si="192">SUM(D12:G12)/(G51-SUM(G53:G56))</f>
        <v>-0.25137548210801064</v>
      </c>
      <c r="H81" s="80">
        <f t="shared" si="192"/>
        <v>-0.30583278280508219</v>
      </c>
      <c r="I81" s="80">
        <f t="shared" si="192"/>
        <v>-0.31302756573649004</v>
      </c>
      <c r="J81" s="80">
        <f t="shared" si="192"/>
        <v>-0.20685053640976875</v>
      </c>
      <c r="K81" s="80">
        <f t="shared" si="192"/>
        <v>-0.2013507520159552</v>
      </c>
      <c r="L81" s="80">
        <f t="shared" si="192"/>
        <v>-0.20293605022212965</v>
      </c>
      <c r="M81" s="80">
        <f t="shared" ref="M81" si="193">SUM(J12:M12)/(M51-SUM(M53:M56))</f>
        <v>-0.27196075945524634</v>
      </c>
      <c r="N81" s="80">
        <f t="shared" ref="N81" si="194">SUM(K12:N12)/(N51-SUM(N53:N56))</f>
        <v>-0.31913473536715303</v>
      </c>
      <c r="O81" s="80">
        <f t="shared" ref="O81" si="195">SUM(L12:O12)/(O51-SUM(O53:O56))</f>
        <v>-0.37425115938147524</v>
      </c>
      <c r="P81" s="80">
        <f t="shared" ref="P81" si="196">SUM(M12:P12)/(P51-SUM(P53:P56))</f>
        <v>-0.40562083359124573</v>
      </c>
      <c r="Q81" s="80">
        <f t="shared" ref="Q81" si="197">SUM(N12:Q12)/(Q51-SUM(Q53:Q56))</f>
        <v>-0.40749409850303925</v>
      </c>
      <c r="R81" s="80">
        <f t="shared" ref="R81" si="198">SUM(O12:R12)/(R51-SUM(R53:R56))</f>
        <v>-0.40384326711383228</v>
      </c>
      <c r="S81" s="80">
        <f t="shared" ref="S81" si="199">SUM(P12:S12)/(S51-SUM(S53:S56))</f>
        <v>-0.3991137278953798</v>
      </c>
      <c r="T81" s="319"/>
      <c r="U81" s="206"/>
    </row>
    <row r="82" spans="2:32" x14ac:dyDescent="0.25">
      <c r="B82" s="264" t="s">
        <v>318</v>
      </c>
      <c r="F82" s="189"/>
      <c r="G82" s="189">
        <f t="shared" ref="G82:L82" si="200">G75/SUM(D34:G34)</f>
        <v>7.5570912427732031</v>
      </c>
      <c r="H82" s="189">
        <f t="shared" si="200"/>
        <v>20.201197368833483</v>
      </c>
      <c r="I82" s="189">
        <f t="shared" si="200"/>
        <v>16.007578271843308</v>
      </c>
      <c r="J82" s="189">
        <f t="shared" si="200"/>
        <v>21.269562307893807</v>
      </c>
      <c r="K82" s="189">
        <f t="shared" si="200"/>
        <v>9.268637372510522</v>
      </c>
      <c r="L82" s="189">
        <f t="shared" si="200"/>
        <v>6.5057757561709204</v>
      </c>
      <c r="M82" s="189">
        <f t="shared" ref="M82" si="201">M75/SUM(J34:M34)</f>
        <v>7.0696655685684338</v>
      </c>
      <c r="N82" s="189">
        <f t="shared" ref="N82" si="202">N75/SUM(K34:N34)</f>
        <v>5.2524921001543072</v>
      </c>
      <c r="O82" s="189">
        <f t="shared" ref="O82" si="203">O75/SUM(L34:O34)</f>
        <v>8.3534242912138179</v>
      </c>
      <c r="P82" s="189">
        <f t="shared" ref="P82" si="204">P75/SUM(M34:P34)</f>
        <v>7.1843512168842691</v>
      </c>
      <c r="Q82" s="189">
        <f t="shared" ref="Q82" si="205">Q75/SUM(N34:Q34)</f>
        <v>4.8051982753385563</v>
      </c>
      <c r="R82" s="189">
        <f t="shared" ref="R82" si="206">R75/SUM(O34:R34)</f>
        <v>7.505747305600794</v>
      </c>
      <c r="S82" s="189">
        <f t="shared" ref="S82" si="207">S75/SUM(P34:S34)</f>
        <v>5.9335273135008988</v>
      </c>
      <c r="T82" s="319"/>
      <c r="U82" s="206"/>
    </row>
    <row r="83" spans="2:32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  <c r="S83" s="206"/>
      <c r="T83" s="319"/>
      <c r="U83" s="206"/>
    </row>
    <row r="84" spans="2:32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  <c r="S84" s="206"/>
      <c r="T84" s="319"/>
      <c r="U84" s="206"/>
    </row>
    <row r="85" spans="2:32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08">J18</f>
        <v>-147.25700000000003</v>
      </c>
      <c r="K85" s="5">
        <f t="shared" si="208"/>
        <v>-162.00600000000003</v>
      </c>
      <c r="L85" s="5">
        <f t="shared" si="208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09">P18</f>
        <v>-284.84100000000007</v>
      </c>
      <c r="Q85" s="5">
        <f t="shared" si="209"/>
        <v>-278.80800000000005</v>
      </c>
      <c r="R85" s="5">
        <f t="shared" ref="R85:S85" si="210">R18</f>
        <v>-325.34000000000009</v>
      </c>
      <c r="S85" s="5">
        <f t="shared" si="210"/>
        <v>-271.91999999999996</v>
      </c>
      <c r="T85" s="320"/>
      <c r="U85" s="210"/>
      <c r="V85" s="5"/>
      <c r="W85" s="5"/>
      <c r="X85" s="5"/>
      <c r="AF85" s="114"/>
    </row>
    <row r="86" spans="2:32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5">
        <v>-269.94799999999998</v>
      </c>
      <c r="P86" s="210">
        <f>P85</f>
        <v>-284.84100000000007</v>
      </c>
      <c r="Q86" s="210">
        <f t="shared" ref="Q86:S86" si="211">Q85</f>
        <v>-278.80800000000005</v>
      </c>
      <c r="R86" s="210">
        <f t="shared" si="211"/>
        <v>-325.34000000000009</v>
      </c>
      <c r="S86" s="210">
        <f t="shared" si="211"/>
        <v>-271.91999999999996</v>
      </c>
      <c r="T86" s="320"/>
      <c r="U86" s="210"/>
      <c r="V86" s="5"/>
      <c r="W86" s="5"/>
      <c r="X86" s="5"/>
      <c r="AF86" s="114"/>
    </row>
    <row r="87" spans="2:32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5"/>
      <c r="T87" s="114"/>
      <c r="V87" s="5"/>
      <c r="W87" s="5"/>
      <c r="X87" s="5"/>
      <c r="AF87" s="114"/>
    </row>
    <row r="88" spans="2:32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5"/>
      <c r="T88" s="114"/>
      <c r="V88" s="5"/>
      <c r="W88" s="5"/>
      <c r="X88" s="5"/>
      <c r="AF88" s="114"/>
    </row>
    <row r="89" spans="2:32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5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114"/>
      <c r="V89" s="5"/>
      <c r="W89" s="5"/>
      <c r="X89" s="5"/>
      <c r="AF89" s="114"/>
    </row>
    <row r="90" spans="2:32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5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114"/>
      <c r="V90" s="5"/>
      <c r="W90" s="5"/>
      <c r="X90" s="5"/>
      <c r="AF90" s="114"/>
    </row>
    <row r="91" spans="2:32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5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114"/>
      <c r="V91" s="5"/>
      <c r="W91" s="5"/>
      <c r="X91" s="5"/>
      <c r="AF91" s="114"/>
    </row>
    <row r="92" spans="2:32" s="9" customFormat="1" x14ac:dyDescent="0.25">
      <c r="B92" s="275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5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114"/>
      <c r="V92" s="5"/>
      <c r="W92" s="5"/>
      <c r="X92" s="5"/>
      <c r="AF92" s="114"/>
    </row>
    <row r="93" spans="2:32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5">
        <v>0</v>
      </c>
      <c r="P93" s="9">
        <v>0</v>
      </c>
      <c r="Q93" s="9">
        <v>0</v>
      </c>
      <c r="R93" s="9">
        <v>0</v>
      </c>
      <c r="S93" s="9">
        <v>0</v>
      </c>
      <c r="T93" s="114"/>
      <c r="V93" s="5"/>
      <c r="W93" s="5"/>
      <c r="X93" s="5"/>
      <c r="AF93" s="114"/>
    </row>
    <row r="94" spans="2:32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5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114"/>
      <c r="V94" s="5"/>
      <c r="W94" s="5"/>
      <c r="X94" s="5"/>
      <c r="AF94" s="114"/>
    </row>
    <row r="95" spans="2:32" s="9" customFormat="1" x14ac:dyDescent="0.25">
      <c r="B95" s="275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5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114"/>
      <c r="V95" s="5"/>
      <c r="W95" s="5"/>
      <c r="X95" s="5"/>
      <c r="AF95" s="114"/>
    </row>
    <row r="96" spans="2:32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S96" si="212">SUM(L97:L106)</f>
        <v>11.184999999999997</v>
      </c>
      <c r="M96" s="9">
        <f t="shared" si="212"/>
        <v>156.023</v>
      </c>
      <c r="N96" s="9">
        <f t="shared" si="212"/>
        <v>207.78100000000003</v>
      </c>
      <c r="O96" s="9">
        <f t="shared" si="212"/>
        <v>193.73099999999999</v>
      </c>
      <c r="P96" s="9">
        <f t="shared" si="212"/>
        <v>239.85499999999999</v>
      </c>
      <c r="Q96" s="9">
        <f t="shared" si="212"/>
        <v>350.262</v>
      </c>
      <c r="R96" s="9">
        <f t="shared" si="212"/>
        <v>631.73</v>
      </c>
      <c r="S96" s="9">
        <f t="shared" si="212"/>
        <v>208.49799999999999</v>
      </c>
      <c r="T96" s="114"/>
      <c r="V96" s="5"/>
      <c r="W96" s="5"/>
      <c r="X96" s="5"/>
      <c r="AF96" s="114"/>
    </row>
    <row r="97" spans="2:32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5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114"/>
      <c r="V97" s="5"/>
      <c r="W97" s="5"/>
      <c r="X97" s="5"/>
      <c r="AF97" s="114"/>
    </row>
    <row r="98" spans="2:32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5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114"/>
      <c r="V98" s="5"/>
      <c r="W98" s="5"/>
      <c r="X98" s="5"/>
      <c r="AF98" s="114"/>
    </row>
    <row r="99" spans="2:32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5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114"/>
      <c r="V99" s="5"/>
      <c r="W99" s="5"/>
      <c r="X99" s="5"/>
      <c r="AF99" s="114"/>
    </row>
    <row r="100" spans="2:32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5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114"/>
      <c r="V100" s="5"/>
      <c r="W100" s="5"/>
      <c r="X100" s="5"/>
      <c r="AF100" s="114"/>
    </row>
    <row r="101" spans="2:32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5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114"/>
      <c r="V101" s="5"/>
      <c r="W101" s="5"/>
      <c r="X101" s="5"/>
      <c r="AF101" s="114"/>
    </row>
    <row r="102" spans="2:32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5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114"/>
      <c r="V102" s="5"/>
      <c r="W102" s="5"/>
      <c r="X102" s="5"/>
      <c r="AF102" s="114"/>
    </row>
    <row r="103" spans="2:32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5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114"/>
      <c r="V103" s="5"/>
      <c r="W103" s="5"/>
      <c r="X103" s="5"/>
      <c r="AF103" s="114"/>
    </row>
    <row r="104" spans="2:32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5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114"/>
      <c r="V104" s="5"/>
      <c r="W104" s="5"/>
      <c r="X104" s="5"/>
      <c r="AF104" s="114"/>
    </row>
    <row r="105" spans="2:32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5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114"/>
      <c r="V105" s="5"/>
      <c r="W105" s="5"/>
      <c r="X105" s="5"/>
      <c r="AF105" s="114"/>
    </row>
    <row r="106" spans="2:32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5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114"/>
      <c r="V106" s="5"/>
      <c r="W106" s="5"/>
      <c r="X106" s="5"/>
      <c r="AF106" s="114"/>
    </row>
    <row r="107" spans="2:32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13">+L86+SUM(L89:L96)</f>
        <v>26.497000000000014</v>
      </c>
      <c r="M107" s="4">
        <f t="shared" si="213"/>
        <v>67.150000000000034</v>
      </c>
      <c r="N107" s="4">
        <f t="shared" si="213"/>
        <v>148.98950000000002</v>
      </c>
      <c r="O107" s="4">
        <f>+O86+SUM(O89:O96)</f>
        <v>173.78100000000001</v>
      </c>
      <c r="P107" s="4">
        <f>+P86+SUM(P89:P96)</f>
        <v>472.11900000000009</v>
      </c>
      <c r="Q107" s="4">
        <f>+Q86+SUM(Q89:Q96)</f>
        <v>869.66399999999999</v>
      </c>
      <c r="R107" s="4">
        <f>+R86+SUM(R89:R96)</f>
        <v>618.14099999999985</v>
      </c>
      <c r="S107" s="4">
        <f>+S86+SUM(S89:S96)</f>
        <v>238.94600000000003</v>
      </c>
      <c r="T107" s="113"/>
      <c r="V107" s="4"/>
      <c r="W107" s="4"/>
      <c r="X107" s="4"/>
      <c r="AF107" s="113"/>
    </row>
    <row r="108" spans="2:32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5"/>
      <c r="T108" s="114"/>
      <c r="V108" s="5"/>
      <c r="W108" s="5"/>
      <c r="X108" s="5"/>
      <c r="AF108" s="114"/>
    </row>
    <row r="109" spans="2:32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5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114"/>
      <c r="V109" s="5"/>
      <c r="W109" s="5"/>
      <c r="X109" s="5"/>
      <c r="AF109" s="114"/>
    </row>
    <row r="110" spans="2:32" s="9" customFormat="1" x14ac:dyDescent="0.25">
      <c r="B110" s="275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5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114"/>
      <c r="V110" s="5"/>
      <c r="W110" s="5"/>
      <c r="X110" s="5"/>
      <c r="AF110" s="114"/>
    </row>
    <row r="111" spans="2:32" s="9" customFormat="1" x14ac:dyDescent="0.25">
      <c r="B111" s="275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5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114"/>
      <c r="V111" s="5"/>
      <c r="W111" s="5"/>
      <c r="X111" s="5"/>
      <c r="AF111" s="114"/>
    </row>
    <row r="112" spans="2:32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5">
        <v>0</v>
      </c>
      <c r="P112" s="9">
        <v>0</v>
      </c>
      <c r="Q112" s="9">
        <v>-3.859</v>
      </c>
      <c r="R112" s="9">
        <v>0</v>
      </c>
      <c r="S112" s="9">
        <v>0</v>
      </c>
      <c r="T112" s="114"/>
      <c r="V112" s="5"/>
      <c r="W112" s="5"/>
      <c r="X112" s="5"/>
      <c r="AF112" s="114"/>
    </row>
    <row r="113" spans="2:32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5">
        <v>-0.5</v>
      </c>
      <c r="P113" s="9">
        <v>-13.5</v>
      </c>
      <c r="Q113" s="9">
        <v>-13.5</v>
      </c>
      <c r="R113" s="9">
        <v>0</v>
      </c>
      <c r="S113" s="9">
        <v>-1.2</v>
      </c>
      <c r="T113" s="114"/>
      <c r="V113" s="5"/>
      <c r="W113" s="5"/>
      <c r="X113" s="5"/>
      <c r="AF113" s="114"/>
    </row>
    <row r="114" spans="2:32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14">SUM(L109:L113)</f>
        <v>-89.977000000000004</v>
      </c>
      <c r="M114" s="4">
        <f t="shared" si="214"/>
        <v>-134.85599999999999</v>
      </c>
      <c r="N114" s="4">
        <f t="shared" si="214"/>
        <v>-164.42800000000003</v>
      </c>
      <c r="O114" s="4">
        <f>SUM(O109:O113)</f>
        <v>-2347.7799999999997</v>
      </c>
      <c r="P114" s="4">
        <f>SUM(P109:P113)</f>
        <v>-3029.2550000000001</v>
      </c>
      <c r="Q114" s="4">
        <f>SUM(Q109:Q113)</f>
        <v>-3729.9739999999997</v>
      </c>
      <c r="R114" s="4">
        <f>SUM(R109:R113)</f>
        <v>-737.84400000000005</v>
      </c>
      <c r="S114" s="4">
        <f>SUM(S109:S113)</f>
        <v>-952.40400000000022</v>
      </c>
      <c r="T114" s="113"/>
      <c r="V114" s="4"/>
      <c r="W114" s="4"/>
      <c r="X114" s="4"/>
      <c r="AF114" s="113"/>
    </row>
    <row r="115" spans="2:32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5"/>
      <c r="T115" s="114"/>
      <c r="V115" s="5"/>
      <c r="W115" s="5"/>
      <c r="X115" s="5"/>
      <c r="AF115" s="114"/>
    </row>
    <row r="116" spans="2:32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5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114"/>
      <c r="V116" s="5"/>
      <c r="W116" s="5"/>
      <c r="X116" s="5"/>
      <c r="AF116" s="114"/>
    </row>
    <row r="117" spans="2:32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5">
        <v>0</v>
      </c>
      <c r="P117" s="9">
        <v>0</v>
      </c>
      <c r="Q117" s="9">
        <v>0</v>
      </c>
      <c r="R117" s="9">
        <v>0</v>
      </c>
      <c r="S117" s="9">
        <v>0</v>
      </c>
      <c r="T117" s="114"/>
      <c r="V117" s="5"/>
      <c r="W117" s="5"/>
      <c r="X117" s="5"/>
      <c r="AF117" s="114"/>
    </row>
    <row r="118" spans="2:32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5">
        <v>0</v>
      </c>
      <c r="P118" s="9">
        <v>14.7</v>
      </c>
      <c r="Q118" s="9">
        <v>14.7</v>
      </c>
      <c r="R118" s="9">
        <v>0</v>
      </c>
      <c r="S118" s="9">
        <v>0</v>
      </c>
      <c r="T118" s="114"/>
      <c r="V118" s="5"/>
      <c r="W118" s="5"/>
      <c r="X118" s="5"/>
      <c r="AF118" s="114"/>
    </row>
    <row r="119" spans="2:32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5">
        <v>0</v>
      </c>
      <c r="P119" s="9">
        <v>0</v>
      </c>
      <c r="Q119" s="9">
        <v>0</v>
      </c>
      <c r="R119" s="9">
        <v>0</v>
      </c>
      <c r="S119" s="9">
        <v>0</v>
      </c>
      <c r="T119" s="114"/>
      <c r="V119" s="5"/>
      <c r="W119" s="5"/>
      <c r="X119" s="5"/>
      <c r="AF119" s="114"/>
    </row>
    <row r="120" spans="2:32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5">
        <v>0</v>
      </c>
      <c r="P120" s="9">
        <v>0</v>
      </c>
      <c r="Q120" s="9">
        <v>0</v>
      </c>
      <c r="R120" s="9">
        <v>0</v>
      </c>
      <c r="S120" s="9">
        <v>0</v>
      </c>
      <c r="T120" s="114"/>
      <c r="V120" s="5"/>
      <c r="W120" s="5"/>
      <c r="X120" s="5"/>
      <c r="AF120" s="114"/>
    </row>
    <row r="121" spans="2:32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5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114"/>
      <c r="V121" s="5"/>
      <c r="W121" s="5"/>
      <c r="X121" s="5"/>
      <c r="AF121" s="114"/>
    </row>
    <row r="122" spans="2:32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S122" si="215">SUM(L116:L121)</f>
        <v>5.1280000000000001</v>
      </c>
      <c r="M122" s="4">
        <f t="shared" si="215"/>
        <v>12.68</v>
      </c>
      <c r="N122" s="4">
        <f t="shared" si="215"/>
        <v>1.8099999999999998</v>
      </c>
      <c r="O122" s="4">
        <f t="shared" si="215"/>
        <v>24.722000000000001</v>
      </c>
      <c r="P122" s="4">
        <f t="shared" si="215"/>
        <v>45.057000000000002</v>
      </c>
      <c r="Q122" s="4">
        <f t="shared" si="215"/>
        <v>61.266000000000005</v>
      </c>
      <c r="R122" s="4">
        <f t="shared" si="215"/>
        <v>5.91</v>
      </c>
      <c r="S122" s="4">
        <f t="shared" si="215"/>
        <v>27.919999999999998</v>
      </c>
      <c r="T122" s="113"/>
      <c r="V122" s="4"/>
      <c r="W122" s="4"/>
      <c r="X122" s="4"/>
      <c r="AF122" s="113"/>
    </row>
    <row r="124" spans="2:32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216">N109+N113</f>
        <v>-157.20500000000001</v>
      </c>
      <c r="O124" s="216">
        <f t="shared" si="216"/>
        <v>-91.858999999999995</v>
      </c>
      <c r="P124" s="216">
        <f t="shared" ref="P124:Q124" si="217">P109+P113</f>
        <v>-215.774</v>
      </c>
      <c r="Q124" s="216">
        <f t="shared" si="217"/>
        <v>-268.97000000000003</v>
      </c>
      <c r="R124" s="216">
        <f t="shared" ref="R124:S124" si="218">R109+R113</f>
        <v>-65.197000000000003</v>
      </c>
      <c r="S124" s="216">
        <f t="shared" si="218"/>
        <v>-47.88</v>
      </c>
      <c r="T124" s="229"/>
      <c r="V124" s="215"/>
      <c r="W124" s="215"/>
      <c r="X124" s="215"/>
      <c r="AF124" s="229"/>
    </row>
    <row r="125" spans="2:32" s="286" customFormat="1" x14ac:dyDescent="0.25">
      <c r="B125" s="286" t="s">
        <v>328</v>
      </c>
      <c r="C125" s="287"/>
      <c r="D125" s="287"/>
      <c r="E125" s="287"/>
      <c r="F125" s="288"/>
      <c r="G125" s="288"/>
      <c r="H125" s="289">
        <f t="shared" ref="H125" si="219">+H107+H124</f>
        <v>168.01600000000002</v>
      </c>
      <c r="I125" s="289">
        <f t="shared" ref="I125" si="220">+I107+I124</f>
        <v>170.60399999999998</v>
      </c>
      <c r="J125" s="288"/>
      <c r="K125" s="288"/>
      <c r="L125" s="289">
        <f t="shared" ref="L125:N125" si="221">+L107+L124</f>
        <v>-57.314999999999984</v>
      </c>
      <c r="M125" s="289">
        <f t="shared" si="221"/>
        <v>-67.70599999999996</v>
      </c>
      <c r="N125" s="289">
        <f t="shared" si="221"/>
        <v>-8.2154999999999916</v>
      </c>
      <c r="O125" s="289">
        <f>+O107+O124</f>
        <v>81.922000000000011</v>
      </c>
      <c r="P125" s="289">
        <f t="shared" ref="P125:Q125" si="222">+P107+P124</f>
        <v>256.34500000000008</v>
      </c>
      <c r="Q125" s="289">
        <f t="shared" si="222"/>
        <v>600.69399999999996</v>
      </c>
      <c r="R125" s="289">
        <f t="shared" ref="R125:S125" si="223">+R107+R124</f>
        <v>552.94399999999985</v>
      </c>
      <c r="S125" s="289">
        <f t="shared" si="223"/>
        <v>191.06600000000003</v>
      </c>
      <c r="T125" s="290"/>
      <c r="V125" s="288"/>
      <c r="W125" s="288"/>
      <c r="X125" s="288"/>
      <c r="AF125" s="290"/>
    </row>
    <row r="127" spans="2:32" x14ac:dyDescent="0.25">
      <c r="B127" s="207"/>
    </row>
    <row r="128" spans="2:32" x14ac:dyDescent="0.25">
      <c r="B128" s="207"/>
    </row>
  </sheetData>
  <phoneticPr fontId="38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</hyperlinks>
  <pageMargins left="0.7" right="0.7" top="0.75" bottom="0.75" header="0.3" footer="0.3"/>
  <pageSetup paperSize="119" orientation="portrait" horizontalDpi="203" verticalDpi="203" r:id="rId9"/>
  <ignoredErrors>
    <ignoredError sqref="AC3:AC4 AC6:AC8 AC9:AC13 AD3:AD4 AC17:AC20 AD17:AD20 AD6:AD13 AC15 AD15 AE3:AE4 AE6:AE15 G81:L81 L78:L79 G78:J79 K79 K78 G80:P80 M78:P78 M79:P79 G82:P82 M81:P81 Q78:Q82 R78:S82" formulaRange="1"/>
    <ignoredError sqref="AC5 AC16:AD16 AC14 AE21 AF16:AR16 AG18:AR18 AS13:AT18 AG20:AR20 AE18" formula="1"/>
    <ignoredError sqref="AD5 AD14 AE16:AE17 AE5" formula="1" formulaRange="1"/>
  </ignoredError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F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X24" sqref="X24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8" width="9" style="22"/>
    <col min="29" max="29" width="9" style="233"/>
    <col min="30" max="16384" width="9" style="22"/>
  </cols>
  <sheetData>
    <row r="1" spans="1:32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/>
      <c r="Z1" s="25" t="s">
        <v>110</v>
      </c>
      <c r="AA1" s="25" t="s">
        <v>89</v>
      </c>
      <c r="AB1" s="25" t="s">
        <v>90</v>
      </c>
      <c r="AC1" s="25" t="s">
        <v>91</v>
      </c>
      <c r="AD1" s="25" t="s">
        <v>95</v>
      </c>
      <c r="AE1" s="25" t="s">
        <v>96</v>
      </c>
      <c r="AF1" s="25" t="s">
        <v>97</v>
      </c>
    </row>
    <row r="2" spans="1:32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Z2" s="3">
        <f>AVERAGE(D2:G2)</f>
        <v>17.600000000000001</v>
      </c>
      <c r="AA2" s="3">
        <f>AVERAGE(H2:K2)</f>
        <v>32.575000000000003</v>
      </c>
      <c r="AB2" s="3">
        <f>AVERAGE(L2:O2)</f>
        <v>45.525000000000006</v>
      </c>
      <c r="AC2" s="3">
        <f>AVERAGE(P2:S2)</f>
        <v>55.975000000000009</v>
      </c>
      <c r="AD2" s="3">
        <f>AVERAGE(T2:W2)</f>
        <v>68.325000000000003</v>
      </c>
    </row>
    <row r="3" spans="1:32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Z3" s="118" t="s">
        <v>33</v>
      </c>
      <c r="AA3" s="118" t="s">
        <v>33</v>
      </c>
      <c r="AB3" s="118" t="s">
        <v>33</v>
      </c>
      <c r="AC3" s="231" t="s">
        <v>33</v>
      </c>
      <c r="AD3" s="231" t="s">
        <v>33</v>
      </c>
    </row>
    <row r="4" spans="1:32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7">G2/C2-1</f>
        <v>0.39416058394160602</v>
      </c>
      <c r="H4" s="28">
        <f t="shared" si="7"/>
        <v>0.49367088607594933</v>
      </c>
      <c r="I4" s="28">
        <f t="shared" si="7"/>
        <v>0.95321637426900563</v>
      </c>
      <c r="J4" s="28">
        <f t="shared" si="7"/>
        <v>0.96739130434782639</v>
      </c>
      <c r="K4" s="32">
        <f t="shared" si="7"/>
        <v>0.94240837696335067</v>
      </c>
      <c r="L4" s="28">
        <f t="shared" si="7"/>
        <v>0.78389830508474567</v>
      </c>
      <c r="M4" s="28">
        <f t="shared" si="7"/>
        <v>0.29341317365269481</v>
      </c>
      <c r="N4" s="28">
        <f t="shared" si="7"/>
        <v>0.30662983425414336</v>
      </c>
      <c r="O4" s="32">
        <f t="shared" si="7"/>
        <v>0.33423180592991919</v>
      </c>
      <c r="P4" s="50">
        <f t="shared" si="7"/>
        <v>0.28503562945368177</v>
      </c>
      <c r="Q4" s="50">
        <f t="shared" si="7"/>
        <v>0.20833333333333326</v>
      </c>
      <c r="R4" s="50">
        <f t="shared" ref="R4" si="8">R2/N2-1</f>
        <v>0.24312896405919671</v>
      </c>
      <c r="S4" s="50">
        <f t="shared" ref="S4" si="9">S2/O2-1</f>
        <v>0.18787878787878776</v>
      </c>
      <c r="T4" s="50">
        <f t="shared" ref="T4" si="10">T2/P2-1</f>
        <v>0.22181146025877996</v>
      </c>
      <c r="U4" s="50">
        <f t="shared" ref="U4" si="11">U2/Q2-1</f>
        <v>0.25478927203065127</v>
      </c>
      <c r="V4" s="50">
        <f t="shared" ref="V4" si="12">V2/R2-1</f>
        <v>0.19387755102040827</v>
      </c>
      <c r="W4" s="50">
        <f t="shared" ref="W4:X4" si="13">W2/S2-1</f>
        <v>0.21598639455782309</v>
      </c>
      <c r="X4" s="50">
        <f t="shared" si="13"/>
        <v>0.17549167927382769</v>
      </c>
      <c r="Z4" s="132" t="s">
        <v>33</v>
      </c>
      <c r="AA4" s="28">
        <f>AA2/Z2-1</f>
        <v>0.85085227272727271</v>
      </c>
      <c r="AB4" s="28">
        <f>AB2/AA2-1</f>
        <v>0.3975441289332311</v>
      </c>
      <c r="AC4" s="250">
        <f>AC2/AB2-1</f>
        <v>0.22954420647995599</v>
      </c>
      <c r="AD4" s="250">
        <f>AD2/AC2-1</f>
        <v>0.22063421170165243</v>
      </c>
    </row>
    <row r="5" spans="1:32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Z5" s="36"/>
      <c r="AA5" s="36"/>
      <c r="AB5" s="36"/>
      <c r="AC5" s="251"/>
    </row>
    <row r="6" spans="1:32" x14ac:dyDescent="0.25">
      <c r="B6" s="29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Z6" s="36">
        <f>AVERAGE(D6:G6)</f>
        <v>10.175000000000001</v>
      </c>
      <c r="AA6" s="36">
        <f>AVERAGE(H6:K6)</f>
        <v>17.5</v>
      </c>
      <c r="AB6" s="36">
        <f>AVERAGE(L6:O6)</f>
        <v>22.375</v>
      </c>
      <c r="AC6" s="3">
        <f>AVERAGE(P6:S6)</f>
        <v>25.524999999999999</v>
      </c>
    </row>
    <row r="7" spans="1:32" x14ac:dyDescent="0.25">
      <c r="B7" s="27" t="s">
        <v>77</v>
      </c>
      <c r="C7" s="24" t="s">
        <v>33</v>
      </c>
      <c r="D7" s="24" t="s">
        <v>33</v>
      </c>
      <c r="E7" s="28">
        <f t="shared" ref="E7:P7" si="14">E6/D6-1</f>
        <v>0.10000000000000009</v>
      </c>
      <c r="F7" s="28">
        <f t="shared" si="14"/>
        <v>9.090909090909105E-2</v>
      </c>
      <c r="G7" s="28">
        <f t="shared" si="14"/>
        <v>1.8518518518518379E-2</v>
      </c>
      <c r="H7" s="28">
        <f t="shared" si="14"/>
        <v>0.20909090909090922</v>
      </c>
      <c r="I7" s="28">
        <f t="shared" si="14"/>
        <v>0.34586466165413521</v>
      </c>
      <c r="J7" s="28">
        <f t="shared" si="14"/>
        <v>7.8212290502793325E-2</v>
      </c>
      <c r="K7" s="28">
        <f t="shared" si="14"/>
        <v>1.0362694300518172E-2</v>
      </c>
      <c r="L7" s="28">
        <f t="shared" si="14"/>
        <v>9.2307692307692424E-2</v>
      </c>
      <c r="M7" s="28">
        <f t="shared" si="14"/>
        <v>9.3896713615022609E-3</v>
      </c>
      <c r="N7" s="28">
        <f t="shared" si="14"/>
        <v>7.441860465116279E-2</v>
      </c>
      <c r="O7" s="28">
        <f t="shared" si="14"/>
        <v>2.1645021645021689E-2</v>
      </c>
      <c r="P7" s="28">
        <f t="shared" si="14"/>
        <v>8.0508474576271194E-2</v>
      </c>
      <c r="Q7" s="28">
        <f t="shared" ref="Q7:R7" si="15">Q6/P6-1</f>
        <v>-5.0980392156862786E-2</v>
      </c>
      <c r="R7" s="28">
        <f t="shared" si="15"/>
        <v>9.0909090909090828E-2</v>
      </c>
      <c r="S7" s="28">
        <f t="shared" ref="S7" si="16">S6/R6-1</f>
        <v>-1.5151515151515138E-2</v>
      </c>
      <c r="T7" s="28">
        <f t="shared" ref="T7" si="17">T6/S6-1</f>
        <v>0.10384615384615392</v>
      </c>
      <c r="U7" s="28">
        <f t="shared" ref="U7" si="18">U6/T6-1</f>
        <v>-1.7421602787456414E-2</v>
      </c>
      <c r="V7" s="28">
        <f t="shared" ref="V7" si="19">V6/U6-1</f>
        <v>5.3191489361702038E-2</v>
      </c>
      <c r="W7" s="28">
        <f t="shared" ref="W7" si="20">W6/V6-1</f>
        <v>-1.3468013468013407E-2</v>
      </c>
      <c r="Z7" s="118" t="s">
        <v>33</v>
      </c>
      <c r="AA7" s="118" t="s">
        <v>33</v>
      </c>
      <c r="AB7" s="118" t="s">
        <v>33</v>
      </c>
      <c r="AC7" s="231" t="s">
        <v>33</v>
      </c>
    </row>
    <row r="8" spans="1:32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1">H6/D6-1</f>
        <v>0.47777777777777786</v>
      </c>
      <c r="I8" s="28">
        <f t="shared" si="21"/>
        <v>0.80808080808080796</v>
      </c>
      <c r="J8" s="28">
        <f t="shared" si="21"/>
        <v>0.78703703703703698</v>
      </c>
      <c r="K8" s="32">
        <f t="shared" si="21"/>
        <v>0.77272727272727271</v>
      </c>
      <c r="L8" s="28">
        <f t="shared" si="21"/>
        <v>0.60150375939849621</v>
      </c>
      <c r="M8" s="28">
        <f t="shared" si="21"/>
        <v>0.2011173184357542</v>
      </c>
      <c r="N8" s="28">
        <f t="shared" si="21"/>
        <v>0.19689119170984459</v>
      </c>
      <c r="O8" s="32">
        <f t="shared" si="21"/>
        <v>0.2102564102564104</v>
      </c>
      <c r="P8" s="32">
        <f t="shared" si="21"/>
        <v>0.19718309859154926</v>
      </c>
      <c r="Q8" s="32">
        <f t="shared" ref="Q8:R8" si="22">Q6/M6-1</f>
        <v>0.12558139534883717</v>
      </c>
      <c r="R8" s="32">
        <f t="shared" si="22"/>
        <v>0.14285714285714279</v>
      </c>
      <c r="S8" s="32">
        <f t="shared" ref="S8" si="23">S6/O6-1</f>
        <v>0.10169491525423724</v>
      </c>
      <c r="T8" s="32">
        <f t="shared" ref="T8" si="24">T6/P6-1</f>
        <v>0.12549019607843137</v>
      </c>
      <c r="U8" s="32">
        <f t="shared" ref="U8" si="25">U6/Q6-1</f>
        <v>0.16528925619834722</v>
      </c>
      <c r="V8" s="32">
        <f t="shared" ref="V8" si="26">V6/R6-1</f>
        <v>0.125</v>
      </c>
      <c r="W8" s="32">
        <f t="shared" ref="W8" si="27">W6/S6-1</f>
        <v>0.12692307692307692</v>
      </c>
      <c r="Z8" s="132" t="s">
        <v>33</v>
      </c>
      <c r="AA8" s="28">
        <f>AA6/Z6-1</f>
        <v>0.71990171990171969</v>
      </c>
      <c r="AB8" s="28">
        <f>AB6/AA6-1</f>
        <v>0.27857142857142847</v>
      </c>
      <c r="AC8" s="250">
        <f>AC6/AB6-1</f>
        <v>0.1407821229050279</v>
      </c>
    </row>
    <row r="9" spans="1:32" x14ac:dyDescent="0.25">
      <c r="B9" s="27"/>
      <c r="C9" s="24"/>
      <c r="P9" s="49"/>
      <c r="Q9" s="49"/>
      <c r="R9" s="49"/>
      <c r="S9" s="49"/>
      <c r="Z9" s="36"/>
      <c r="AA9" s="36"/>
      <c r="AB9" s="36"/>
      <c r="AC9" s="251"/>
    </row>
    <row r="10" spans="1:32" x14ac:dyDescent="0.25">
      <c r="B10" s="29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Z10" s="36">
        <f>AVERAGE(D10:G10)</f>
        <v>6.9750000000000005</v>
      </c>
      <c r="AA10" s="36">
        <f>AVERAGE(H10:K10)</f>
        <v>10.8</v>
      </c>
      <c r="AB10" s="36">
        <f>AVERAGE(L10:O10)</f>
        <v>22</v>
      </c>
      <c r="AC10" s="3">
        <f>AVERAGE(P10:S10)</f>
        <v>30.075000000000003</v>
      </c>
    </row>
    <row r="11" spans="1:32" x14ac:dyDescent="0.25">
      <c r="B11" s="27" t="s">
        <v>79</v>
      </c>
      <c r="C11" s="24" t="s">
        <v>33</v>
      </c>
      <c r="D11" s="24" t="s">
        <v>33</v>
      </c>
      <c r="E11" s="28">
        <f t="shared" ref="E11:P11" si="28">E10/D10-1</f>
        <v>4.6875E-2</v>
      </c>
      <c r="F11" s="28">
        <f t="shared" si="28"/>
        <v>5.9701492537313383E-2</v>
      </c>
      <c r="G11" s="28">
        <f t="shared" si="28"/>
        <v>8.4507042253521236E-2</v>
      </c>
      <c r="H11" s="28">
        <f t="shared" si="28"/>
        <v>0.2597402597402596</v>
      </c>
      <c r="I11" s="28">
        <f t="shared" si="28"/>
        <v>-0.20618556701030921</v>
      </c>
      <c r="J11" s="28">
        <f t="shared" si="28"/>
        <v>0.2597402597402596</v>
      </c>
      <c r="K11" s="28">
        <f t="shared" si="28"/>
        <v>0.65979381443299001</v>
      </c>
      <c r="L11" s="28">
        <f t="shared" si="28"/>
        <v>6.8322981366459423E-2</v>
      </c>
      <c r="M11" s="28">
        <f t="shared" si="28"/>
        <v>0.2441860465116279</v>
      </c>
      <c r="N11" s="28">
        <f t="shared" si="28"/>
        <v>0.11214953271028039</v>
      </c>
      <c r="O11" s="28">
        <f t="shared" si="28"/>
        <v>7.5630252100840289E-2</v>
      </c>
      <c r="P11" s="28">
        <f t="shared" si="28"/>
        <v>0.10546875</v>
      </c>
      <c r="Q11" s="28">
        <f t="shared" ref="Q11:R11" si="29">Q10/P10-1</f>
        <v>-2.1201413427561877E-2</v>
      </c>
      <c r="R11" s="28">
        <f t="shared" si="29"/>
        <v>0.15162454873646203</v>
      </c>
      <c r="S11" s="28">
        <f t="shared" ref="S11" si="30">S10/R10-1</f>
        <v>1.5673981191222541E-2</v>
      </c>
      <c r="T11" s="28">
        <f t="shared" ref="T11" si="31">T10/S10-1</f>
        <v>0.13888888888888884</v>
      </c>
      <c r="U11" s="28">
        <f t="shared" ref="U11" si="32">U10/T10-1</f>
        <v>-2.7100271002710175E-3</v>
      </c>
      <c r="V11" s="28">
        <f t="shared" ref="V11" si="33">V10/U10-1</f>
        <v>8.6956521739130599E-2</v>
      </c>
      <c r="W11" s="28">
        <f t="shared" ref="W11" si="34">W10/V10-1</f>
        <v>3.499999999999992E-2</v>
      </c>
      <c r="Z11" s="118" t="s">
        <v>33</v>
      </c>
      <c r="AA11" s="118" t="s">
        <v>33</v>
      </c>
      <c r="AB11" s="118" t="s">
        <v>33</v>
      </c>
      <c r="AC11" s="231" t="s">
        <v>33</v>
      </c>
    </row>
    <row r="12" spans="1:32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5">H10/D10-1</f>
        <v>0.51562499999999978</v>
      </c>
      <c r="I12" s="28">
        <f t="shared" si="35"/>
        <v>0.14925373134328357</v>
      </c>
      <c r="J12" s="28">
        <f t="shared" si="35"/>
        <v>0.36619718309859151</v>
      </c>
      <c r="K12" s="32">
        <f t="shared" si="35"/>
        <v>1.0909090909090908</v>
      </c>
      <c r="L12" s="28">
        <f t="shared" si="35"/>
        <v>0.77319587628865993</v>
      </c>
      <c r="M12" s="28">
        <f t="shared" si="35"/>
        <v>1.779220779220779</v>
      </c>
      <c r="N12" s="28">
        <f t="shared" si="35"/>
        <v>1.4536082474226806</v>
      </c>
      <c r="O12" s="32">
        <f t="shared" si="35"/>
        <v>0.59006211180124213</v>
      </c>
      <c r="P12" s="32">
        <f t="shared" si="35"/>
        <v>0.64534883720930236</v>
      </c>
      <c r="Q12" s="32">
        <f t="shared" ref="Q12:R12" si="36">Q10/M10-1</f>
        <v>0.29439252336448596</v>
      </c>
      <c r="R12" s="32">
        <f t="shared" si="36"/>
        <v>0.34033613445378141</v>
      </c>
      <c r="S12" s="32">
        <f t="shared" ref="S12" si="37">S10/O10-1</f>
        <v>0.26562499999999978</v>
      </c>
      <c r="T12" s="32">
        <f t="shared" ref="T12" si="38">T10/P10-1</f>
        <v>0.30388692579505294</v>
      </c>
      <c r="U12" s="32">
        <f t="shared" ref="U12" si="39">U10/Q10-1</f>
        <v>0.32851985559566788</v>
      </c>
      <c r="V12" s="32">
        <f t="shared" ref="V12" si="40">V10/R10-1</f>
        <v>0.25391849529780575</v>
      </c>
      <c r="W12" s="32">
        <f t="shared" ref="W12" si="41">W10/S10-1</f>
        <v>0.27777777777777768</v>
      </c>
      <c r="Z12" s="132" t="s">
        <v>33</v>
      </c>
      <c r="AA12" s="28">
        <f>AA10/Z10-1</f>
        <v>0.54838709677419351</v>
      </c>
      <c r="AB12" s="28">
        <f>AB10/AA10-1</f>
        <v>1.0370370370370368</v>
      </c>
      <c r="AC12" s="250">
        <f>AC10/AB10-1</f>
        <v>0.36704545454545467</v>
      </c>
    </row>
    <row r="13" spans="1:32" x14ac:dyDescent="0.25">
      <c r="B13" s="27"/>
      <c r="P13" s="49"/>
      <c r="Q13" s="49"/>
      <c r="R13" s="49"/>
      <c r="S13" s="49"/>
      <c r="Z13" s="36"/>
      <c r="AA13" s="36"/>
      <c r="AB13" s="36"/>
    </row>
    <row r="14" spans="1:32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5">
        <v>16700</v>
      </c>
      <c r="Z14" s="119">
        <f>AVERAGE(D14:G14)</f>
        <v>3413.25</v>
      </c>
      <c r="AA14" s="119">
        <f>AVERAGE(K14:N14)</f>
        <v>9756.5</v>
      </c>
      <c r="AB14" s="119">
        <f>AVERAGE(L14:O14)</f>
        <v>10353.5</v>
      </c>
      <c r="AC14" s="252">
        <f>AVERAGE(P14:S14)</f>
        <v>12560.04</v>
      </c>
      <c r="AD14" s="312">
        <f>AVERAGE(T14:W14)</f>
        <v>15000</v>
      </c>
    </row>
    <row r="15" spans="1:32" x14ac:dyDescent="0.25">
      <c r="B15" s="27" t="s">
        <v>84</v>
      </c>
      <c r="C15" s="24" t="s">
        <v>33</v>
      </c>
      <c r="D15" s="28">
        <f t="shared" ref="D15:P15" si="42">D14/C14-1</f>
        <v>0.17549407114624516</v>
      </c>
      <c r="E15" s="28">
        <f t="shared" si="42"/>
        <v>9.2131809011432475E-2</v>
      </c>
      <c r="F15" s="28">
        <f t="shared" si="42"/>
        <v>0.14839901477832518</v>
      </c>
      <c r="G15" s="28">
        <f t="shared" si="42"/>
        <v>-7.7747989276139018E-3</v>
      </c>
      <c r="H15" s="28">
        <f t="shared" si="42"/>
        <v>0.31721156444204279</v>
      </c>
      <c r="I15" s="28">
        <f t="shared" si="42"/>
        <v>0.76123076923076916</v>
      </c>
      <c r="J15" s="28">
        <f t="shared" si="42"/>
        <v>1.455858374097363E-2</v>
      </c>
      <c r="K15" s="28">
        <f t="shared" si="42"/>
        <v>-3.2258064516129004E-2</v>
      </c>
      <c r="L15" s="28">
        <f t="shared" si="42"/>
        <v>0.14756820877817312</v>
      </c>
      <c r="M15" s="28">
        <f t="shared" si="42"/>
        <v>6.6156708703741796E-3</v>
      </c>
      <c r="N15" s="28">
        <f t="shared" si="42"/>
        <v>0.14849044978435</v>
      </c>
      <c r="O15" s="28">
        <f t="shared" si="42"/>
        <v>-3.272532188841204E-2</v>
      </c>
      <c r="P15" s="28">
        <f t="shared" si="42"/>
        <v>0.12000000000000011</v>
      </c>
      <c r="Q15" s="28">
        <f t="shared" ref="Q15" si="43">Q14/P14-1</f>
        <v>-1.5859810368961891E-2</v>
      </c>
      <c r="R15" s="28">
        <f t="shared" ref="R15" si="44">R14/Q14-1</f>
        <v>0.12378396511237844</v>
      </c>
      <c r="S15" s="28">
        <f t="shared" ref="S15" si="45">S14/R14-1</f>
        <v>-4.4776119402985093E-2</v>
      </c>
      <c r="T15" s="28">
        <f t="shared" ref="T15" si="46">T14/S14-1</f>
        <v>0.1328125</v>
      </c>
      <c r="U15" s="28">
        <f t="shared" ref="U15" si="47">U14/T14-1</f>
        <v>-3.4482758620689613E-2</v>
      </c>
      <c r="V15" s="28">
        <f t="shared" ref="V15" si="48">V14/U14-1</f>
        <v>0.14285714285714279</v>
      </c>
      <c r="W15" s="28">
        <f t="shared" ref="W15" si="49">W14/V14-1</f>
        <v>-3.125E-2</v>
      </c>
      <c r="X15" s="28">
        <f t="shared" ref="X15" si="50">X14/W14-1</f>
        <v>7.7419354838709653E-2</v>
      </c>
      <c r="Z15" s="118" t="s">
        <v>33</v>
      </c>
      <c r="AA15" s="118" t="s">
        <v>33</v>
      </c>
      <c r="AB15" s="118" t="s">
        <v>33</v>
      </c>
      <c r="AC15" s="231" t="s">
        <v>33</v>
      </c>
      <c r="AD15" s="231" t="s">
        <v>33</v>
      </c>
    </row>
    <row r="16" spans="1:32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1">G14/C14-1</f>
        <v>0.46284584980237153</v>
      </c>
      <c r="H16" s="28">
        <f t="shared" si="51"/>
        <v>0.63920645595158043</v>
      </c>
      <c r="I16" s="28">
        <f t="shared" si="51"/>
        <v>1.6434729064039408</v>
      </c>
      <c r="J16" s="28">
        <f t="shared" si="51"/>
        <v>1.3353887399463806</v>
      </c>
      <c r="K16" s="32">
        <f t="shared" si="51"/>
        <v>1.2777627668197784</v>
      </c>
      <c r="L16" s="28">
        <f t="shared" si="51"/>
        <v>0.98441025641025637</v>
      </c>
      <c r="M16" s="28">
        <f t="shared" si="51"/>
        <v>0.13417190775681331</v>
      </c>
      <c r="N16" s="28">
        <f t="shared" si="51"/>
        <v>0.28389392721845952</v>
      </c>
      <c r="O16" s="32">
        <f t="shared" si="51"/>
        <v>0.28327402135231328</v>
      </c>
      <c r="P16" s="120">
        <f t="shared" si="51"/>
        <v>0.25244573082489175</v>
      </c>
      <c r="Q16" s="120">
        <f t="shared" ref="Q16" si="52">Q14/M14-1</f>
        <v>0.22448141302115432</v>
      </c>
      <c r="R16" s="120">
        <f t="shared" ref="R16" si="53">R14/N14-1</f>
        <v>0.198140200286123</v>
      </c>
      <c r="S16" s="32">
        <f t="shared" ref="S16" si="54">S14/O14-1</f>
        <v>0.1832131632464411</v>
      </c>
      <c r="T16" s="120">
        <f t="shared" ref="T16" si="55">T14/P14-1</f>
        <v>0.19674880490188285</v>
      </c>
      <c r="U16" s="120">
        <f>U14/Q14-1</f>
        <v>0.17410265011741033</v>
      </c>
      <c r="V16" s="120">
        <f t="shared" ref="V16" si="56">V14/R14-1</f>
        <v>0.19402985074626855</v>
      </c>
      <c r="W16" s="120">
        <f t="shared" ref="W16" si="57">W14/S14-1</f>
        <v>0.2109375</v>
      </c>
      <c r="X16" s="120">
        <f t="shared" ref="X16" si="58">X14/T14-1</f>
        <v>0.15172413793103456</v>
      </c>
      <c r="Z16" s="132" t="s">
        <v>33</v>
      </c>
      <c r="AA16" s="28">
        <f>AA14/Z14-1</f>
        <v>1.8584193950047609</v>
      </c>
      <c r="AB16" s="28">
        <f>AB14/AA14-1</f>
        <v>6.1189975913493511E-2</v>
      </c>
      <c r="AC16" s="250">
        <f>AC14/AB14-1</f>
        <v>0.21312020089824713</v>
      </c>
      <c r="AD16" s="250">
        <f>AD14/AC14-1</f>
        <v>0.19426371253594721</v>
      </c>
    </row>
    <row r="17" spans="1:28" x14ac:dyDescent="0.25">
      <c r="P17" s="49"/>
      <c r="Q17" s="49"/>
      <c r="R17" s="49"/>
      <c r="S17" s="49"/>
    </row>
    <row r="18" spans="1:28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AB18" s="119"/>
    </row>
    <row r="19" spans="1:28" x14ac:dyDescent="0.25">
      <c r="A19" s="30" t="s">
        <v>175</v>
      </c>
      <c r="B19" s="135" t="s">
        <v>174</v>
      </c>
      <c r="C19" s="136">
        <f t="shared" ref="C19:O19" si="59">C2*C18</f>
        <v>143.02799999999999</v>
      </c>
      <c r="D19" s="136">
        <f t="shared" si="59"/>
        <v>141.88400000000001</v>
      </c>
      <c r="E19" s="136">
        <f t="shared" si="59"/>
        <v>150.13800000000001</v>
      </c>
      <c r="F19" s="136">
        <f t="shared" si="59"/>
        <v>165.6</v>
      </c>
      <c r="G19" s="136">
        <f t="shared" si="59"/>
        <v>236.267</v>
      </c>
      <c r="H19" s="136">
        <f t="shared" si="59"/>
        <v>249.68800000000002</v>
      </c>
      <c r="I19" s="136">
        <f t="shared" si="59"/>
        <v>494.654</v>
      </c>
      <c r="J19" s="136">
        <f t="shared" si="59"/>
        <v>497.02600000000007</v>
      </c>
      <c r="K19" s="136">
        <f t="shared" si="59"/>
        <v>641.83000000000004</v>
      </c>
      <c r="L19" s="136">
        <f t="shared" si="59"/>
        <v>651.70800000000008</v>
      </c>
      <c r="M19" s="136">
        <f t="shared" si="59"/>
        <v>665.7120000000001</v>
      </c>
      <c r="N19" s="136">
        <f t="shared" si="59"/>
        <v>638.077</v>
      </c>
      <c r="O19" s="136">
        <f t="shared" si="59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0">R2*R18</f>
        <v>702.07199999999989</v>
      </c>
      <c r="S19" s="136">
        <f t="shared" si="60"/>
        <v>899.05199999999991</v>
      </c>
      <c r="T19" s="136">
        <f t="shared" si="60"/>
        <v>773.36999999999989</v>
      </c>
      <c r="U19" s="136">
        <f t="shared" si="60"/>
        <v>780.76</v>
      </c>
      <c r="V19" s="136">
        <f t="shared" ref="V19:X19" si="61">V2*V18</f>
        <v>839.5920000000001</v>
      </c>
      <c r="W19" s="36">
        <f t="shared" si="61"/>
        <v>1126.125</v>
      </c>
      <c r="X19" s="36">
        <f t="shared" si="61"/>
        <v>923.85300000000007</v>
      </c>
      <c r="AB19" s="119"/>
    </row>
    <row r="20" spans="1:28" x14ac:dyDescent="0.25">
      <c r="A20" s="30"/>
      <c r="B20" s="167" t="s">
        <v>202</v>
      </c>
      <c r="C20" s="24" t="s">
        <v>33</v>
      </c>
      <c r="D20" s="168">
        <f t="shared" ref="D20:P20" si="62">D18/C18-1</f>
        <v>-0.13984674329501912</v>
      </c>
      <c r="E20" s="168">
        <f t="shared" si="62"/>
        <v>-2.2271714922049157E-2</v>
      </c>
      <c r="F20" s="168">
        <f t="shared" si="62"/>
        <v>2.5056947608200542E-2</v>
      </c>
      <c r="G20" s="168">
        <f t="shared" si="62"/>
        <v>0.37444444444444436</v>
      </c>
      <c r="H20" s="168">
        <f t="shared" si="62"/>
        <v>-0.14470493128536777</v>
      </c>
      <c r="I20" s="168">
        <f t="shared" si="62"/>
        <v>0.39981096408317573</v>
      </c>
      <c r="J20" s="168">
        <f t="shared" si="62"/>
        <v>-7.2923700202565889E-2</v>
      </c>
      <c r="K20" s="168">
        <f t="shared" si="62"/>
        <v>0.26001456664238898</v>
      </c>
      <c r="L20" s="168">
        <f t="shared" si="62"/>
        <v>-0.10520231213872833</v>
      </c>
      <c r="M20" s="168">
        <f t="shared" si="62"/>
        <v>-4.5219638242893767E-3</v>
      </c>
      <c r="N20" s="168">
        <f t="shared" si="62"/>
        <v>-0.12459441920830627</v>
      </c>
      <c r="O20" s="168">
        <f t="shared" si="62"/>
        <v>0.15344699777613058</v>
      </c>
      <c r="P20" s="168">
        <f t="shared" si="62"/>
        <v>-0.25</v>
      </c>
      <c r="Q20" s="168">
        <f>Q18/P18-1</f>
        <v>4.9700085689802886E-2</v>
      </c>
      <c r="R20" s="168">
        <f t="shared" ref="R20" si="63">R18/Q18-1</f>
        <v>-2.5306122448979673E-2</v>
      </c>
      <c r="S20" s="273">
        <f t="shared" ref="S20" si="64">S18/R18-1</f>
        <v>0.28056951423785592</v>
      </c>
      <c r="T20" s="273">
        <f t="shared" ref="T20" si="65">T18/S18-1</f>
        <v>-0.23479398299542187</v>
      </c>
      <c r="U20" s="273">
        <f t="shared" ref="U20" si="66">U18/T18-1</f>
        <v>1.8803418803418959E-2</v>
      </c>
      <c r="V20" s="273">
        <f t="shared" ref="V20" si="67">V18/U18-1</f>
        <v>3.3557046979866278E-3</v>
      </c>
      <c r="W20" s="273">
        <f t="shared" ref="W20" si="68">W18/V18-1</f>
        <v>0.31688963210702337</v>
      </c>
      <c r="X20" s="273">
        <f t="shared" ref="X20" si="69">X18/W18-1</f>
        <v>-0.24507936507936501</v>
      </c>
      <c r="AB20" s="119"/>
    </row>
    <row r="21" spans="1:28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70">G18/C18-1</f>
        <v>0.18486590038314166</v>
      </c>
      <c r="H21" s="168">
        <f t="shared" si="70"/>
        <v>0.17817371937639193</v>
      </c>
      <c r="I21" s="168">
        <f t="shared" si="70"/>
        <v>0.68678815489749456</v>
      </c>
      <c r="J21" s="168">
        <f t="shared" si="70"/>
        <v>0.52555555555555555</v>
      </c>
      <c r="K21" s="168">
        <f t="shared" si="70"/>
        <v>0.39854486661277289</v>
      </c>
      <c r="L21" s="168">
        <f t="shared" si="70"/>
        <v>0.46313799621928164</v>
      </c>
      <c r="M21" s="168">
        <f t="shared" si="70"/>
        <v>4.0513166779203136E-2</v>
      </c>
      <c r="N21" s="168">
        <f t="shared" si="70"/>
        <v>-1.7479970866715266E-2</v>
      </c>
      <c r="O21" s="168">
        <f t="shared" si="70"/>
        <v>-0.10057803468208093</v>
      </c>
      <c r="P21" s="168">
        <f t="shared" si="70"/>
        <v>-0.24612403100775193</v>
      </c>
      <c r="Q21" s="168">
        <f>Q18/M18-1</f>
        <v>-0.20506164828033746</v>
      </c>
      <c r="R21" s="168">
        <f t="shared" ref="R21" si="71">R18/N18-1</f>
        <v>-0.11489992587101561</v>
      </c>
      <c r="S21" s="273">
        <f t="shared" ref="S21" si="72">S18/O18-1</f>
        <v>-1.7352185089974381E-2</v>
      </c>
      <c r="T21" s="273">
        <f t="shared" ref="T21" si="73">T18/P18-1</f>
        <v>2.5706940874035134E-3</v>
      </c>
      <c r="U21" s="273">
        <f t="shared" ref="U21" si="74">U18/Q18-1</f>
        <v>-2.6938775510204072E-2</v>
      </c>
      <c r="V21" s="273">
        <f t="shared" ref="V21" si="75">V18/R18-1</f>
        <v>1.6750418760469454E-3</v>
      </c>
      <c r="W21" s="273">
        <f t="shared" ref="W21" si="76">W18/S18-1</f>
        <v>3.0085022890778301E-2</v>
      </c>
      <c r="X21" s="273">
        <f t="shared" ref="X21" si="77">X18/T18-1</f>
        <v>1.6239316239316404E-2</v>
      </c>
      <c r="AB21" s="119"/>
    </row>
    <row r="22" spans="1:28" x14ac:dyDescent="0.25">
      <c r="P22" s="49"/>
      <c r="Q22" s="49"/>
      <c r="R22" s="49"/>
      <c r="S22" s="49"/>
    </row>
    <row r="24" spans="1:28" x14ac:dyDescent="0.25">
      <c r="B24" s="100"/>
      <c r="P24" s="101"/>
      <c r="Q24" s="101"/>
      <c r="R24" s="101"/>
      <c r="S24" s="101"/>
    </row>
  </sheetData>
  <phoneticPr fontId="38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Z2:AB16 AC2:AC19 AD2 AD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95"/>
  </cols>
  <sheetData>
    <row r="2" spans="2:11" x14ac:dyDescent="0.2">
      <c r="B2" s="348" t="s">
        <v>365</v>
      </c>
      <c r="C2" s="349"/>
      <c r="D2" s="349"/>
      <c r="E2" s="349"/>
      <c r="F2" s="349"/>
      <c r="G2" s="349"/>
      <c r="H2" s="349"/>
      <c r="I2" s="349"/>
      <c r="J2" s="349"/>
      <c r="K2" s="350"/>
    </row>
    <row r="3" spans="2:11" x14ac:dyDescent="0.2">
      <c r="B3" s="296" t="s">
        <v>366</v>
      </c>
      <c r="C3" s="297"/>
      <c r="D3" s="297"/>
      <c r="E3" s="297"/>
      <c r="F3" s="297"/>
      <c r="G3" s="297"/>
      <c r="H3" s="297"/>
      <c r="I3" s="297"/>
      <c r="J3" s="297"/>
      <c r="K3" s="298"/>
    </row>
    <row r="4" spans="2:11" x14ac:dyDescent="0.2">
      <c r="B4" s="296" t="s">
        <v>367</v>
      </c>
      <c r="C4" s="297"/>
      <c r="D4" s="297"/>
      <c r="E4" s="297"/>
      <c r="F4" s="297"/>
      <c r="G4" s="297"/>
      <c r="H4" s="297"/>
      <c r="I4" s="297"/>
      <c r="J4" s="297"/>
      <c r="K4" s="298"/>
    </row>
    <row r="5" spans="2:11" x14ac:dyDescent="0.2">
      <c r="B5" s="296" t="s">
        <v>368</v>
      </c>
      <c r="C5" s="297"/>
      <c r="D5" s="297"/>
      <c r="E5" s="297"/>
      <c r="F5" s="297"/>
      <c r="G5" s="297"/>
      <c r="H5" s="297"/>
      <c r="I5" s="297"/>
      <c r="J5" s="297"/>
      <c r="K5" s="298"/>
    </row>
    <row r="6" spans="2:11" x14ac:dyDescent="0.2">
      <c r="B6" s="296" t="s">
        <v>369</v>
      </c>
      <c r="C6" s="297"/>
      <c r="D6" s="297"/>
      <c r="E6" s="297"/>
      <c r="F6" s="297"/>
      <c r="G6" s="297"/>
      <c r="H6" s="297"/>
      <c r="I6" s="297"/>
      <c r="J6" s="297"/>
      <c r="K6" s="298"/>
    </row>
    <row r="7" spans="2:11" x14ac:dyDescent="0.2">
      <c r="B7" s="296" t="s">
        <v>370</v>
      </c>
      <c r="C7" s="297"/>
      <c r="D7" s="297"/>
      <c r="E7" s="297"/>
      <c r="F7" s="297"/>
      <c r="G7" s="297"/>
      <c r="H7" s="297"/>
      <c r="I7" s="297"/>
      <c r="J7" s="297"/>
      <c r="K7" s="298"/>
    </row>
    <row r="8" spans="2:11" x14ac:dyDescent="0.2">
      <c r="B8" s="296" t="s">
        <v>383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11" x14ac:dyDescent="0.2">
      <c r="B9" s="296" t="s">
        <v>371</v>
      </c>
      <c r="C9" s="297"/>
      <c r="D9" s="297"/>
      <c r="E9" s="297"/>
      <c r="F9" s="297"/>
      <c r="G9" s="297"/>
      <c r="H9" s="297"/>
      <c r="I9" s="297"/>
      <c r="J9" s="297"/>
      <c r="K9" s="298"/>
    </row>
    <row r="10" spans="2:11" x14ac:dyDescent="0.2">
      <c r="B10" s="296" t="s">
        <v>372</v>
      </c>
      <c r="C10" s="297"/>
      <c r="D10" s="297"/>
      <c r="E10" s="297"/>
      <c r="F10" s="297"/>
      <c r="G10" s="297"/>
      <c r="H10" s="297"/>
      <c r="I10" s="297"/>
      <c r="J10" s="297"/>
      <c r="K10" s="298"/>
    </row>
    <row r="11" spans="2:11" x14ac:dyDescent="0.2">
      <c r="B11" s="296" t="s">
        <v>373</v>
      </c>
      <c r="C11" s="297"/>
      <c r="D11" s="297"/>
      <c r="E11" s="297"/>
      <c r="F11" s="297"/>
      <c r="G11" s="297"/>
      <c r="H11" s="297"/>
      <c r="I11" s="297"/>
      <c r="J11" s="297"/>
      <c r="K11" s="298"/>
    </row>
    <row r="12" spans="2:11" x14ac:dyDescent="0.2">
      <c r="B12" s="296" t="s">
        <v>374</v>
      </c>
      <c r="C12" s="297"/>
      <c r="D12" s="297"/>
      <c r="E12" s="297"/>
      <c r="F12" s="297"/>
      <c r="G12" s="297"/>
      <c r="H12" s="297"/>
      <c r="I12" s="297"/>
      <c r="J12" s="297"/>
      <c r="K12" s="298"/>
    </row>
    <row r="13" spans="2:11" x14ac:dyDescent="0.2">
      <c r="B13" s="296" t="s">
        <v>375</v>
      </c>
      <c r="C13" s="297"/>
      <c r="D13" s="297"/>
      <c r="E13" s="297"/>
      <c r="F13" s="297"/>
      <c r="G13" s="297"/>
      <c r="H13" s="297"/>
      <c r="I13" s="297"/>
      <c r="J13" s="297"/>
      <c r="K13" s="298"/>
    </row>
    <row r="14" spans="2:11" x14ac:dyDescent="0.2">
      <c r="B14" s="296" t="s">
        <v>376</v>
      </c>
      <c r="C14" s="297"/>
      <c r="D14" s="297"/>
      <c r="E14" s="297"/>
      <c r="F14" s="297"/>
      <c r="G14" s="297"/>
      <c r="H14" s="297"/>
      <c r="I14" s="297"/>
      <c r="J14" s="297"/>
      <c r="K14" s="298"/>
    </row>
    <row r="15" spans="2:11" x14ac:dyDescent="0.2">
      <c r="B15" s="296" t="s">
        <v>377</v>
      </c>
      <c r="C15" s="297"/>
      <c r="D15" s="297"/>
      <c r="E15" s="297"/>
      <c r="F15" s="297"/>
      <c r="G15" s="297"/>
      <c r="H15" s="297"/>
      <c r="I15" s="297"/>
      <c r="J15" s="297"/>
      <c r="K15" s="298"/>
    </row>
    <row r="16" spans="2:11" x14ac:dyDescent="0.2">
      <c r="B16" s="296" t="s">
        <v>378</v>
      </c>
      <c r="C16" s="297"/>
      <c r="D16" s="297"/>
      <c r="E16" s="297"/>
      <c r="F16" s="297"/>
      <c r="G16" s="297"/>
      <c r="H16" s="297"/>
      <c r="I16" s="297"/>
      <c r="J16" s="297"/>
      <c r="K16" s="298"/>
    </row>
    <row r="17" spans="2:11" x14ac:dyDescent="0.2">
      <c r="B17" s="296" t="s">
        <v>379</v>
      </c>
      <c r="C17" s="297"/>
      <c r="D17" s="297"/>
      <c r="E17" s="297"/>
      <c r="F17" s="297"/>
      <c r="G17" s="297"/>
      <c r="H17" s="297"/>
      <c r="I17" s="297"/>
      <c r="J17" s="297"/>
      <c r="K17" s="298"/>
    </row>
    <row r="18" spans="2:11" x14ac:dyDescent="0.2">
      <c r="B18" s="302" t="s">
        <v>380</v>
      </c>
      <c r="C18" s="297"/>
      <c r="D18" s="297"/>
      <c r="E18" s="297"/>
      <c r="F18" s="297"/>
      <c r="G18" s="297"/>
      <c r="H18" s="297"/>
      <c r="I18" s="297"/>
      <c r="J18" s="297"/>
      <c r="K18" s="298"/>
    </row>
    <row r="19" spans="2:11" x14ac:dyDescent="0.2">
      <c r="B19" s="296"/>
      <c r="C19" s="297"/>
      <c r="D19" s="297"/>
      <c r="E19" s="297"/>
      <c r="F19" s="297"/>
      <c r="G19" s="297"/>
      <c r="H19" s="297"/>
      <c r="I19" s="297"/>
      <c r="J19" s="297"/>
      <c r="K19" s="298"/>
    </row>
    <row r="20" spans="2:11" x14ac:dyDescent="0.2">
      <c r="B20" s="296" t="s">
        <v>384</v>
      </c>
      <c r="C20" s="297"/>
      <c r="D20" s="297"/>
      <c r="E20" s="297"/>
      <c r="F20" s="297"/>
      <c r="G20" s="297"/>
      <c r="H20" s="297"/>
      <c r="I20" s="297"/>
      <c r="J20" s="297"/>
      <c r="K20" s="298"/>
    </row>
    <row r="21" spans="2:11" x14ac:dyDescent="0.2">
      <c r="B21" s="302" t="s">
        <v>385</v>
      </c>
      <c r="C21" s="297"/>
      <c r="D21" s="297"/>
      <c r="E21" s="297"/>
      <c r="F21" s="297"/>
      <c r="G21" s="297"/>
      <c r="H21" s="297"/>
      <c r="I21" s="297"/>
      <c r="J21" s="297"/>
      <c r="K21" s="298"/>
    </row>
    <row r="22" spans="2:11" x14ac:dyDescent="0.2">
      <c r="B22" s="302" t="s">
        <v>386</v>
      </c>
      <c r="C22" s="297"/>
      <c r="D22" s="297"/>
      <c r="E22" s="297"/>
      <c r="F22" s="297"/>
      <c r="G22" s="297"/>
      <c r="H22" s="297"/>
      <c r="I22" s="297"/>
      <c r="J22" s="297"/>
      <c r="K22" s="298"/>
    </row>
    <row r="23" spans="2:11" x14ac:dyDescent="0.2">
      <c r="B23" s="296"/>
      <c r="C23" s="297"/>
      <c r="D23" s="297"/>
      <c r="E23" s="297"/>
      <c r="F23" s="297"/>
      <c r="G23" s="297"/>
      <c r="H23" s="297"/>
      <c r="I23" s="297"/>
      <c r="J23" s="297"/>
      <c r="K23" s="298"/>
    </row>
    <row r="24" spans="2:11" x14ac:dyDescent="0.2">
      <c r="B24" s="296" t="s">
        <v>387</v>
      </c>
      <c r="C24" s="297"/>
      <c r="D24" s="297"/>
      <c r="E24" s="297"/>
      <c r="F24" s="297"/>
      <c r="G24" s="297"/>
      <c r="H24" s="297"/>
      <c r="I24" s="297"/>
      <c r="J24" s="297"/>
      <c r="K24" s="298"/>
    </row>
    <row r="25" spans="2:11" x14ac:dyDescent="0.2">
      <c r="B25" s="296"/>
      <c r="C25" s="297"/>
      <c r="D25" s="297"/>
      <c r="E25" s="297"/>
      <c r="F25" s="297"/>
      <c r="G25" s="297"/>
      <c r="H25" s="297"/>
      <c r="I25" s="297"/>
      <c r="J25" s="297"/>
      <c r="K25" s="298"/>
    </row>
    <row r="26" spans="2:11" x14ac:dyDescent="0.2">
      <c r="B26" s="296" t="s">
        <v>388</v>
      </c>
      <c r="C26" s="297"/>
      <c r="D26" s="297"/>
      <c r="E26" s="297"/>
      <c r="F26" s="297"/>
      <c r="G26" s="297"/>
      <c r="H26" s="297"/>
      <c r="I26" s="297"/>
      <c r="J26" s="297"/>
      <c r="K26" s="298"/>
    </row>
    <row r="27" spans="2:11" x14ac:dyDescent="0.2">
      <c r="B27" s="296" t="s">
        <v>389</v>
      </c>
      <c r="C27" s="297"/>
      <c r="D27" s="297"/>
      <c r="E27" s="297"/>
      <c r="F27" s="297"/>
      <c r="G27" s="297"/>
      <c r="H27" s="297"/>
      <c r="I27" s="297"/>
      <c r="J27" s="297"/>
      <c r="K27" s="298"/>
    </row>
    <row r="28" spans="2:11" x14ac:dyDescent="0.2">
      <c r="B28" s="296"/>
      <c r="C28" s="297"/>
      <c r="D28" s="297"/>
      <c r="E28" s="297"/>
      <c r="F28" s="297"/>
      <c r="G28" s="297"/>
      <c r="H28" s="297"/>
      <c r="I28" s="297"/>
      <c r="J28" s="297"/>
      <c r="K28" s="298"/>
    </row>
    <row r="29" spans="2:11" x14ac:dyDescent="0.2">
      <c r="B29" s="299" t="s">
        <v>390</v>
      </c>
      <c r="C29" s="300"/>
      <c r="D29" s="300"/>
      <c r="E29" s="300"/>
      <c r="F29" s="300"/>
      <c r="G29" s="300"/>
      <c r="H29" s="300"/>
      <c r="I29" s="300"/>
      <c r="J29" s="300"/>
      <c r="K29" s="301"/>
    </row>
    <row r="32" spans="2:11" x14ac:dyDescent="0.2">
      <c r="B32" s="348" t="s">
        <v>108</v>
      </c>
      <c r="C32" s="349"/>
      <c r="D32" s="349"/>
      <c r="E32" s="349"/>
      <c r="F32" s="349"/>
      <c r="G32" s="349"/>
      <c r="H32" s="349"/>
      <c r="I32" s="349"/>
      <c r="J32" s="349"/>
      <c r="K32" s="350"/>
    </row>
    <row r="33" spans="2:11" x14ac:dyDescent="0.2">
      <c r="B33" s="304" t="s">
        <v>348</v>
      </c>
      <c r="C33" s="297"/>
      <c r="D33" s="297"/>
      <c r="E33" s="297"/>
      <c r="F33" s="297"/>
      <c r="G33" s="297"/>
      <c r="H33" s="297"/>
      <c r="I33" s="297"/>
      <c r="J33" s="297"/>
      <c r="K33" s="298"/>
    </row>
    <row r="34" spans="2:11" x14ac:dyDescent="0.2">
      <c r="B34" s="304" t="s">
        <v>349</v>
      </c>
      <c r="C34" s="297"/>
      <c r="D34" s="297"/>
      <c r="E34" s="297"/>
      <c r="F34" s="297"/>
      <c r="G34" s="297"/>
      <c r="H34" s="297"/>
      <c r="I34" s="297"/>
      <c r="J34" s="297"/>
      <c r="K34" s="298"/>
    </row>
    <row r="35" spans="2:11" x14ac:dyDescent="0.2">
      <c r="B35" s="304" t="s">
        <v>350</v>
      </c>
      <c r="C35" s="297"/>
      <c r="D35" s="297"/>
      <c r="E35" s="297"/>
      <c r="F35" s="297"/>
      <c r="G35" s="297"/>
      <c r="H35" s="297"/>
      <c r="I35" s="297"/>
      <c r="J35" s="297"/>
      <c r="K35" s="298"/>
    </row>
    <row r="36" spans="2:11" x14ac:dyDescent="0.2">
      <c r="B36" s="304" t="s">
        <v>351</v>
      </c>
      <c r="C36" s="297"/>
      <c r="D36" s="297"/>
      <c r="E36" s="297"/>
      <c r="F36" s="297"/>
      <c r="G36" s="297"/>
      <c r="H36" s="297"/>
      <c r="I36" s="297"/>
      <c r="J36" s="297"/>
      <c r="K36" s="298"/>
    </row>
    <row r="37" spans="2:11" x14ac:dyDescent="0.2">
      <c r="B37" s="304" t="s">
        <v>352</v>
      </c>
      <c r="C37" s="297"/>
      <c r="D37" s="297"/>
      <c r="E37" s="297"/>
      <c r="F37" s="297"/>
      <c r="G37" s="297"/>
      <c r="H37" s="297"/>
      <c r="I37" s="297"/>
      <c r="J37" s="297"/>
      <c r="K37" s="298"/>
    </row>
    <row r="38" spans="2:11" x14ac:dyDescent="0.2">
      <c r="B38" s="304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2:11" x14ac:dyDescent="0.2">
      <c r="B39" s="304" t="s">
        <v>353</v>
      </c>
      <c r="C39" s="297"/>
      <c r="D39" s="297"/>
      <c r="E39" s="297"/>
      <c r="F39" s="297"/>
      <c r="G39" s="297"/>
      <c r="H39" s="297"/>
      <c r="I39" s="297"/>
      <c r="J39" s="297"/>
      <c r="K39" s="298"/>
    </row>
    <row r="40" spans="2:11" x14ac:dyDescent="0.2">
      <c r="B40" s="304" t="s">
        <v>354</v>
      </c>
      <c r="C40" s="297"/>
      <c r="D40" s="297"/>
      <c r="E40" s="297"/>
      <c r="F40" s="297"/>
      <c r="G40" s="297"/>
      <c r="H40" s="297"/>
      <c r="I40" s="297"/>
      <c r="J40" s="297"/>
      <c r="K40" s="298"/>
    </row>
    <row r="41" spans="2:11" x14ac:dyDescent="0.2">
      <c r="B41" s="304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2:11" x14ac:dyDescent="0.2">
      <c r="B42" s="304" t="s">
        <v>355</v>
      </c>
      <c r="C42" s="297"/>
      <c r="D42" s="297"/>
      <c r="E42" s="297"/>
      <c r="F42" s="297"/>
      <c r="G42" s="297"/>
      <c r="H42" s="297"/>
      <c r="I42" s="297"/>
      <c r="J42" s="297"/>
      <c r="K42" s="298"/>
    </row>
    <row r="43" spans="2:11" x14ac:dyDescent="0.2">
      <c r="B43" s="304" t="s">
        <v>356</v>
      </c>
      <c r="C43" s="297"/>
      <c r="D43" s="297"/>
      <c r="E43" s="297"/>
      <c r="F43" s="297"/>
      <c r="G43" s="297"/>
      <c r="H43" s="297"/>
      <c r="I43" s="297"/>
      <c r="J43" s="297"/>
      <c r="K43" s="298"/>
    </row>
    <row r="44" spans="2:11" x14ac:dyDescent="0.2">
      <c r="B44" s="304" t="s">
        <v>357</v>
      </c>
      <c r="C44" s="297"/>
      <c r="D44" s="297"/>
      <c r="E44" s="297"/>
      <c r="F44" s="297"/>
      <c r="G44" s="297"/>
      <c r="H44" s="297"/>
      <c r="I44" s="297"/>
      <c r="J44" s="297"/>
      <c r="K44" s="298"/>
    </row>
    <row r="45" spans="2:11" x14ac:dyDescent="0.2">
      <c r="B45" s="304"/>
      <c r="C45" s="297"/>
      <c r="D45" s="297"/>
      <c r="E45" s="297"/>
      <c r="F45" s="297"/>
      <c r="G45" s="297"/>
      <c r="H45" s="297"/>
      <c r="I45" s="297"/>
      <c r="J45" s="297"/>
      <c r="K45" s="298"/>
    </row>
    <row r="46" spans="2:11" x14ac:dyDescent="0.2">
      <c r="B46" s="304" t="s">
        <v>358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2:11" x14ac:dyDescent="0.2">
      <c r="B47" s="304" t="s">
        <v>359</v>
      </c>
      <c r="C47" s="297"/>
      <c r="D47" s="297"/>
      <c r="E47" s="297"/>
      <c r="F47" s="297"/>
      <c r="G47" s="297"/>
      <c r="H47" s="297"/>
      <c r="I47" s="297"/>
      <c r="J47" s="297"/>
      <c r="K47" s="298"/>
    </row>
    <row r="48" spans="2:11" x14ac:dyDescent="0.2">
      <c r="B48" s="304" t="s">
        <v>360</v>
      </c>
      <c r="C48" s="297"/>
      <c r="D48" s="297"/>
      <c r="E48" s="297"/>
      <c r="F48" s="297"/>
      <c r="G48" s="297"/>
      <c r="H48" s="297"/>
      <c r="I48" s="297"/>
      <c r="J48" s="297"/>
      <c r="K48" s="298"/>
    </row>
    <row r="49" spans="2:11" x14ac:dyDescent="0.2">
      <c r="B49" s="304"/>
      <c r="C49" s="297"/>
      <c r="D49" s="297"/>
      <c r="E49" s="297"/>
      <c r="F49" s="297"/>
      <c r="G49" s="297"/>
      <c r="H49" s="297"/>
      <c r="I49" s="297"/>
      <c r="J49" s="297"/>
      <c r="K49" s="298"/>
    </row>
    <row r="50" spans="2:11" x14ac:dyDescent="0.2">
      <c r="B50" s="305"/>
      <c r="C50" s="297"/>
      <c r="D50" s="297"/>
      <c r="E50" s="297"/>
      <c r="F50" s="297"/>
      <c r="G50" s="297"/>
      <c r="H50" s="297"/>
      <c r="I50" s="297"/>
      <c r="J50" s="297"/>
      <c r="K50" s="298"/>
    </row>
    <row r="51" spans="2:11" x14ac:dyDescent="0.2">
      <c r="B51" s="304" t="s">
        <v>361</v>
      </c>
      <c r="C51" s="297"/>
      <c r="D51" s="297"/>
      <c r="E51" s="297"/>
      <c r="F51" s="297"/>
      <c r="G51" s="297"/>
      <c r="H51" s="297"/>
      <c r="I51" s="297"/>
      <c r="J51" s="297"/>
      <c r="K51" s="298"/>
    </row>
    <row r="52" spans="2:11" x14ac:dyDescent="0.2">
      <c r="B52" s="304" t="s">
        <v>362</v>
      </c>
      <c r="C52" s="297"/>
      <c r="D52" s="297"/>
      <c r="E52" s="297"/>
      <c r="F52" s="297"/>
      <c r="G52" s="297"/>
      <c r="H52" s="297"/>
      <c r="I52" s="297"/>
      <c r="J52" s="297"/>
      <c r="K52" s="298"/>
    </row>
    <row r="53" spans="2:11" x14ac:dyDescent="0.2">
      <c r="B53" s="304"/>
      <c r="C53" s="297"/>
      <c r="D53" s="297"/>
      <c r="E53" s="297"/>
      <c r="F53" s="297"/>
      <c r="G53" s="297"/>
      <c r="H53" s="297"/>
      <c r="I53" s="297"/>
      <c r="J53" s="297"/>
      <c r="K53" s="298"/>
    </row>
    <row r="54" spans="2:11" x14ac:dyDescent="0.2">
      <c r="B54" s="304" t="s">
        <v>363</v>
      </c>
      <c r="C54" s="297"/>
      <c r="D54" s="297"/>
      <c r="E54" s="297"/>
      <c r="F54" s="297"/>
      <c r="G54" s="297"/>
      <c r="H54" s="297"/>
      <c r="I54" s="297"/>
      <c r="J54" s="297"/>
      <c r="K54" s="298"/>
    </row>
    <row r="55" spans="2:11" x14ac:dyDescent="0.2">
      <c r="B55" s="304"/>
      <c r="C55" s="297"/>
      <c r="D55" s="297"/>
      <c r="E55" s="297"/>
      <c r="F55" s="297"/>
      <c r="G55" s="297"/>
      <c r="H55" s="297"/>
      <c r="I55" s="297"/>
      <c r="J55" s="297"/>
      <c r="K55" s="298"/>
    </row>
    <row r="56" spans="2:11" x14ac:dyDescent="0.2">
      <c r="B56" s="304" t="s">
        <v>330</v>
      </c>
      <c r="C56" s="297"/>
      <c r="D56" s="297"/>
      <c r="E56" s="297"/>
      <c r="F56" s="297"/>
      <c r="G56" s="297"/>
      <c r="H56" s="297"/>
      <c r="I56" s="297"/>
      <c r="J56" s="297"/>
      <c r="K56" s="298"/>
    </row>
    <row r="57" spans="2:11" x14ac:dyDescent="0.2">
      <c r="B57" s="304" t="s">
        <v>332</v>
      </c>
      <c r="C57" s="297"/>
      <c r="D57" s="297"/>
      <c r="E57" s="297"/>
      <c r="F57" s="297"/>
      <c r="G57" s="297"/>
      <c r="H57" s="297"/>
      <c r="I57" s="297"/>
      <c r="J57" s="297"/>
      <c r="K57" s="298"/>
    </row>
    <row r="58" spans="2:11" x14ac:dyDescent="0.2">
      <c r="B58" s="306" t="s">
        <v>334</v>
      </c>
      <c r="C58" s="297"/>
      <c r="D58" s="297"/>
      <c r="E58" s="297"/>
      <c r="F58" s="297"/>
      <c r="G58" s="297"/>
      <c r="H58" s="297"/>
      <c r="I58" s="297"/>
      <c r="J58" s="297"/>
      <c r="K58" s="298"/>
    </row>
    <row r="59" spans="2:11" x14ac:dyDescent="0.2">
      <c r="B59" s="306" t="s">
        <v>335</v>
      </c>
      <c r="C59" s="297"/>
      <c r="D59" s="297"/>
      <c r="E59" s="297"/>
      <c r="F59" s="297"/>
      <c r="G59" s="297"/>
      <c r="H59" s="297"/>
      <c r="I59" s="297"/>
      <c r="J59" s="297"/>
      <c r="K59" s="298"/>
    </row>
    <row r="60" spans="2:11" x14ac:dyDescent="0.2">
      <c r="B60" s="306" t="s">
        <v>336</v>
      </c>
      <c r="C60" s="297"/>
      <c r="D60" s="297"/>
      <c r="E60" s="297"/>
      <c r="F60" s="297"/>
      <c r="G60" s="297"/>
      <c r="H60" s="297"/>
      <c r="I60" s="297"/>
      <c r="J60" s="297"/>
      <c r="K60" s="298"/>
    </row>
    <row r="61" spans="2:11" x14ac:dyDescent="0.2">
      <c r="B61" s="304"/>
      <c r="C61" s="297"/>
      <c r="D61" s="297"/>
      <c r="E61" s="297"/>
      <c r="F61" s="297"/>
      <c r="G61" s="297"/>
      <c r="H61" s="297"/>
      <c r="I61" s="297"/>
      <c r="J61" s="297"/>
      <c r="K61" s="298"/>
    </row>
    <row r="62" spans="2:11" x14ac:dyDescent="0.2">
      <c r="B62" s="304" t="s">
        <v>331</v>
      </c>
      <c r="C62" s="297"/>
      <c r="D62" s="297"/>
      <c r="E62" s="297"/>
      <c r="F62" s="297"/>
      <c r="G62" s="297"/>
      <c r="H62" s="297"/>
      <c r="I62" s="297"/>
      <c r="J62" s="297"/>
      <c r="K62" s="298"/>
    </row>
    <row r="63" spans="2:11" x14ac:dyDescent="0.2">
      <c r="B63" s="304" t="s">
        <v>333</v>
      </c>
      <c r="C63" s="297"/>
      <c r="D63" s="297"/>
      <c r="E63" s="297"/>
      <c r="F63" s="297"/>
      <c r="G63" s="297"/>
      <c r="H63" s="297"/>
      <c r="I63" s="297"/>
      <c r="J63" s="297"/>
      <c r="K63" s="298"/>
    </row>
    <row r="64" spans="2:11" x14ac:dyDescent="0.2">
      <c r="B64" s="304"/>
      <c r="C64" s="297"/>
      <c r="D64" s="297"/>
      <c r="E64" s="297"/>
      <c r="F64" s="297"/>
      <c r="G64" s="297"/>
      <c r="H64" s="297"/>
      <c r="I64" s="297"/>
      <c r="J64" s="297"/>
      <c r="K64" s="298"/>
    </row>
    <row r="65" spans="2:11" x14ac:dyDescent="0.2">
      <c r="B65" s="304"/>
      <c r="C65" s="297"/>
      <c r="D65" s="297"/>
      <c r="E65" s="297"/>
      <c r="F65" s="297"/>
      <c r="G65" s="297"/>
      <c r="H65" s="297"/>
      <c r="I65" s="297"/>
      <c r="J65" s="297"/>
      <c r="K65" s="298"/>
    </row>
    <row r="66" spans="2:11" x14ac:dyDescent="0.2">
      <c r="B66" s="304" t="s">
        <v>337</v>
      </c>
      <c r="C66" s="297"/>
      <c r="D66" s="297"/>
      <c r="E66" s="297"/>
      <c r="F66" s="297"/>
      <c r="G66" s="297"/>
      <c r="H66" s="297"/>
      <c r="I66" s="297"/>
      <c r="J66" s="297"/>
      <c r="K66" s="298"/>
    </row>
    <row r="67" spans="2:11" x14ac:dyDescent="0.2">
      <c r="B67" s="304" t="s">
        <v>338</v>
      </c>
      <c r="C67" s="297"/>
      <c r="D67" s="297"/>
      <c r="E67" s="297"/>
      <c r="F67" s="297"/>
      <c r="G67" s="297"/>
      <c r="H67" s="297"/>
      <c r="I67" s="297"/>
      <c r="J67" s="297"/>
      <c r="K67" s="298"/>
    </row>
    <row r="68" spans="2:11" x14ac:dyDescent="0.2">
      <c r="B68" s="306" t="s">
        <v>339</v>
      </c>
      <c r="C68" s="297"/>
      <c r="D68" s="297"/>
      <c r="E68" s="297"/>
      <c r="F68" s="297"/>
      <c r="G68" s="297"/>
      <c r="H68" s="297"/>
      <c r="I68" s="297"/>
      <c r="J68" s="297"/>
      <c r="K68" s="298"/>
    </row>
    <row r="69" spans="2:11" x14ac:dyDescent="0.2">
      <c r="B69" s="304"/>
      <c r="C69" s="297"/>
      <c r="D69" s="297"/>
      <c r="E69" s="297"/>
      <c r="F69" s="297"/>
      <c r="G69" s="297"/>
      <c r="H69" s="297"/>
      <c r="I69" s="297"/>
      <c r="J69" s="297"/>
      <c r="K69" s="298"/>
    </row>
    <row r="70" spans="2:11" x14ac:dyDescent="0.2">
      <c r="B70" s="304" t="s">
        <v>340</v>
      </c>
      <c r="C70" s="297"/>
      <c r="D70" s="297"/>
      <c r="E70" s="297"/>
      <c r="F70" s="297"/>
      <c r="G70" s="297"/>
      <c r="H70" s="297"/>
      <c r="I70" s="297"/>
      <c r="J70" s="297"/>
      <c r="K70" s="298"/>
    </row>
    <row r="71" spans="2:11" x14ac:dyDescent="0.2">
      <c r="B71" s="306" t="s">
        <v>341</v>
      </c>
      <c r="C71" s="297"/>
      <c r="D71" s="297"/>
      <c r="E71" s="297"/>
      <c r="F71" s="297"/>
      <c r="G71" s="297"/>
      <c r="H71" s="297"/>
      <c r="I71" s="297"/>
      <c r="J71" s="297"/>
      <c r="K71" s="298"/>
    </row>
    <row r="72" spans="2:11" x14ac:dyDescent="0.2">
      <c r="B72" s="306" t="s">
        <v>342</v>
      </c>
      <c r="C72" s="297"/>
      <c r="D72" s="297"/>
      <c r="E72" s="297"/>
      <c r="F72" s="297"/>
      <c r="G72" s="297"/>
      <c r="H72" s="297"/>
      <c r="I72" s="297"/>
      <c r="J72" s="297"/>
      <c r="K72" s="298"/>
    </row>
    <row r="73" spans="2:11" x14ac:dyDescent="0.2">
      <c r="B73" s="306" t="s">
        <v>343</v>
      </c>
      <c r="C73" s="297"/>
      <c r="D73" s="297"/>
      <c r="E73" s="297"/>
      <c r="F73" s="297"/>
      <c r="G73" s="297"/>
      <c r="H73" s="297"/>
      <c r="I73" s="297"/>
      <c r="J73" s="297"/>
      <c r="K73" s="298"/>
    </row>
    <row r="74" spans="2:11" x14ac:dyDescent="0.2">
      <c r="B74" s="306" t="s">
        <v>344</v>
      </c>
      <c r="C74" s="297"/>
      <c r="D74" s="297"/>
      <c r="E74" s="297"/>
      <c r="F74" s="297"/>
      <c r="G74" s="297"/>
      <c r="H74" s="297"/>
      <c r="I74" s="297"/>
      <c r="J74" s="297"/>
      <c r="K74" s="298"/>
    </row>
    <row r="75" spans="2:11" x14ac:dyDescent="0.2">
      <c r="B75" s="306"/>
      <c r="C75" s="297"/>
      <c r="D75" s="297"/>
      <c r="E75" s="297"/>
      <c r="F75" s="297"/>
      <c r="G75" s="297"/>
      <c r="H75" s="297"/>
      <c r="I75" s="297"/>
      <c r="J75" s="297"/>
      <c r="K75" s="298"/>
    </row>
    <row r="76" spans="2:11" x14ac:dyDescent="0.2">
      <c r="B76" s="304" t="s">
        <v>346</v>
      </c>
      <c r="C76" s="297"/>
      <c r="D76" s="297"/>
      <c r="E76" s="297"/>
      <c r="F76" s="297"/>
      <c r="G76" s="297"/>
      <c r="H76" s="297"/>
      <c r="I76" s="297"/>
      <c r="J76" s="297"/>
      <c r="K76" s="298"/>
    </row>
    <row r="77" spans="2:11" x14ac:dyDescent="0.2">
      <c r="B77" s="306" t="s">
        <v>345</v>
      </c>
      <c r="C77" s="297"/>
      <c r="D77" s="297"/>
      <c r="E77" s="297"/>
      <c r="F77" s="297"/>
      <c r="G77" s="297"/>
      <c r="H77" s="297"/>
      <c r="I77" s="297"/>
      <c r="J77" s="297"/>
      <c r="K77" s="298"/>
    </row>
    <row r="78" spans="2:11" x14ac:dyDescent="0.2">
      <c r="B78" s="307" t="s">
        <v>347</v>
      </c>
      <c r="C78" s="300"/>
      <c r="D78" s="300"/>
      <c r="E78" s="300"/>
      <c r="F78" s="300"/>
      <c r="G78" s="300"/>
      <c r="H78" s="300"/>
      <c r="I78" s="300"/>
      <c r="J78" s="300"/>
      <c r="K78" s="301"/>
    </row>
    <row r="81" spans="2:11" x14ac:dyDescent="0.2">
      <c r="B81" s="348" t="s">
        <v>15</v>
      </c>
      <c r="C81" s="349"/>
      <c r="D81" s="349"/>
      <c r="E81" s="349"/>
      <c r="F81" s="349"/>
      <c r="G81" s="349"/>
      <c r="H81" s="349"/>
      <c r="I81" s="349"/>
      <c r="J81" s="349"/>
      <c r="K81" s="350"/>
    </row>
    <row r="82" spans="2:11" x14ac:dyDescent="0.2">
      <c r="B82" s="296" t="s">
        <v>302</v>
      </c>
      <c r="C82" s="297"/>
      <c r="D82" s="297"/>
      <c r="E82" s="297"/>
      <c r="F82" s="297"/>
      <c r="G82" s="297"/>
      <c r="H82" s="297"/>
      <c r="I82" s="297"/>
      <c r="J82" s="297"/>
      <c r="K82" s="298"/>
    </row>
    <row r="83" spans="2:11" x14ac:dyDescent="0.2">
      <c r="B83" s="296" t="s">
        <v>288</v>
      </c>
      <c r="C83" s="297"/>
      <c r="D83" s="297"/>
      <c r="E83" s="297"/>
      <c r="F83" s="297"/>
      <c r="G83" s="297"/>
      <c r="H83" s="297"/>
      <c r="I83" s="297"/>
      <c r="J83" s="297"/>
      <c r="K83" s="298"/>
    </row>
    <row r="84" spans="2:11" x14ac:dyDescent="0.2">
      <c r="B84" s="296" t="s">
        <v>289</v>
      </c>
      <c r="C84" s="297"/>
      <c r="D84" s="297"/>
      <c r="E84" s="297"/>
      <c r="F84" s="297"/>
      <c r="G84" s="297"/>
      <c r="H84" s="297"/>
      <c r="I84" s="297"/>
      <c r="J84" s="297"/>
      <c r="K84" s="298"/>
    </row>
    <row r="85" spans="2:11" x14ac:dyDescent="0.2">
      <c r="B85" s="296"/>
      <c r="C85" s="297"/>
      <c r="D85" s="297"/>
      <c r="E85" s="297"/>
      <c r="F85" s="297"/>
      <c r="G85" s="297"/>
      <c r="H85" s="297"/>
      <c r="I85" s="297"/>
      <c r="J85" s="297"/>
      <c r="K85" s="298"/>
    </row>
    <row r="86" spans="2:11" x14ac:dyDescent="0.2">
      <c r="B86" s="296" t="s">
        <v>290</v>
      </c>
      <c r="C86" s="297"/>
      <c r="D86" s="297"/>
      <c r="E86" s="297"/>
      <c r="F86" s="297"/>
      <c r="G86" s="297"/>
      <c r="H86" s="297"/>
      <c r="I86" s="297"/>
      <c r="J86" s="297"/>
      <c r="K86" s="298"/>
    </row>
    <row r="87" spans="2:11" x14ac:dyDescent="0.2">
      <c r="B87" s="296" t="s">
        <v>291</v>
      </c>
      <c r="C87" s="297"/>
      <c r="D87" s="297"/>
      <c r="E87" s="297"/>
      <c r="F87" s="297"/>
      <c r="G87" s="297"/>
      <c r="H87" s="297"/>
      <c r="I87" s="297"/>
      <c r="J87" s="297"/>
      <c r="K87" s="298"/>
    </row>
    <row r="88" spans="2:11" x14ac:dyDescent="0.2">
      <c r="B88" s="296" t="s">
        <v>292</v>
      </c>
      <c r="C88" s="297"/>
      <c r="D88" s="297"/>
      <c r="E88" s="297"/>
      <c r="F88" s="297"/>
      <c r="G88" s="297"/>
      <c r="H88" s="297"/>
      <c r="I88" s="297"/>
      <c r="J88" s="297"/>
      <c r="K88" s="298"/>
    </row>
    <row r="89" spans="2:11" x14ac:dyDescent="0.2">
      <c r="B89" s="296" t="s">
        <v>293</v>
      </c>
      <c r="C89" s="297"/>
      <c r="D89" s="297"/>
      <c r="E89" s="297"/>
      <c r="F89" s="297"/>
      <c r="G89" s="297"/>
      <c r="H89" s="297"/>
      <c r="I89" s="297"/>
      <c r="J89" s="297"/>
      <c r="K89" s="298"/>
    </row>
    <row r="90" spans="2:11" x14ac:dyDescent="0.2">
      <c r="B90" s="296" t="s">
        <v>294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2:11" x14ac:dyDescent="0.2"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2:11" x14ac:dyDescent="0.2">
      <c r="B92" s="296" t="s">
        <v>296</v>
      </c>
      <c r="C92" s="297"/>
      <c r="D92" s="297"/>
      <c r="E92" s="297"/>
      <c r="F92" s="297"/>
      <c r="G92" s="297"/>
      <c r="H92" s="297"/>
      <c r="I92" s="297"/>
      <c r="J92" s="297"/>
      <c r="K92" s="298"/>
    </row>
    <row r="93" spans="2:11" x14ac:dyDescent="0.2">
      <c r="B93" s="296" t="s">
        <v>297</v>
      </c>
      <c r="C93" s="297"/>
      <c r="D93" s="297"/>
      <c r="E93" s="297"/>
      <c r="F93" s="297"/>
      <c r="G93" s="297"/>
      <c r="H93" s="297"/>
      <c r="I93" s="297"/>
      <c r="J93" s="297"/>
      <c r="K93" s="298"/>
    </row>
    <row r="94" spans="2:11" x14ac:dyDescent="0.2">
      <c r="B94" s="296"/>
      <c r="C94" s="297"/>
      <c r="D94" s="297"/>
      <c r="E94" s="297"/>
      <c r="F94" s="297"/>
      <c r="G94" s="297"/>
      <c r="H94" s="297"/>
      <c r="I94" s="297"/>
      <c r="J94" s="297"/>
      <c r="K94" s="298"/>
    </row>
    <row r="95" spans="2:11" x14ac:dyDescent="0.2">
      <c r="B95" s="296" t="s">
        <v>298</v>
      </c>
      <c r="C95" s="297"/>
      <c r="D95" s="297"/>
      <c r="E95" s="297"/>
      <c r="F95" s="297"/>
      <c r="G95" s="297"/>
      <c r="H95" s="297"/>
      <c r="I95" s="297"/>
      <c r="J95" s="297"/>
      <c r="K95" s="298"/>
    </row>
    <row r="96" spans="2:11" x14ac:dyDescent="0.2">
      <c r="B96" s="302" t="s">
        <v>299</v>
      </c>
      <c r="C96" s="297"/>
      <c r="D96" s="297"/>
      <c r="E96" s="297"/>
      <c r="F96" s="297"/>
      <c r="G96" s="297"/>
      <c r="H96" s="297"/>
      <c r="I96" s="297"/>
      <c r="J96" s="297"/>
      <c r="K96" s="298"/>
    </row>
    <row r="97" spans="2:11" x14ac:dyDescent="0.2">
      <c r="B97" s="302" t="s">
        <v>300</v>
      </c>
      <c r="C97" s="297"/>
      <c r="D97" s="297"/>
      <c r="E97" s="297"/>
      <c r="F97" s="297"/>
      <c r="G97" s="297"/>
      <c r="H97" s="297"/>
      <c r="I97" s="297"/>
      <c r="J97" s="297"/>
      <c r="K97" s="298"/>
    </row>
    <row r="98" spans="2:11" x14ac:dyDescent="0.2">
      <c r="B98" s="302" t="s">
        <v>309</v>
      </c>
      <c r="C98" s="297"/>
      <c r="D98" s="297"/>
      <c r="E98" s="297"/>
      <c r="F98" s="297"/>
      <c r="G98" s="297"/>
      <c r="H98" s="297"/>
      <c r="I98" s="297"/>
      <c r="J98" s="297"/>
      <c r="K98" s="298"/>
    </row>
    <row r="99" spans="2:11" x14ac:dyDescent="0.2">
      <c r="B99" s="302" t="s">
        <v>310</v>
      </c>
      <c r="C99" s="297"/>
      <c r="D99" s="297"/>
      <c r="E99" s="297"/>
      <c r="F99" s="297"/>
      <c r="G99" s="297"/>
      <c r="H99" s="297"/>
      <c r="I99" s="297"/>
      <c r="J99" s="297"/>
      <c r="K99" s="298"/>
    </row>
    <row r="100" spans="2:11" x14ac:dyDescent="0.2">
      <c r="B100" s="296"/>
      <c r="C100" s="297"/>
      <c r="D100" s="297"/>
      <c r="E100" s="297"/>
      <c r="F100" s="297"/>
      <c r="G100" s="297"/>
      <c r="H100" s="297"/>
      <c r="I100" s="297"/>
      <c r="J100" s="297"/>
      <c r="K100" s="298"/>
    </row>
    <row r="101" spans="2:11" x14ac:dyDescent="0.2">
      <c r="B101" s="296" t="s">
        <v>301</v>
      </c>
      <c r="C101" s="297"/>
      <c r="D101" s="297"/>
      <c r="E101" s="297"/>
      <c r="F101" s="297"/>
      <c r="G101" s="297"/>
      <c r="H101" s="297"/>
      <c r="I101" s="297"/>
      <c r="J101" s="297"/>
      <c r="K101" s="298"/>
    </row>
    <row r="102" spans="2:11" x14ac:dyDescent="0.2">
      <c r="B102" s="296" t="s">
        <v>306</v>
      </c>
      <c r="C102" s="297"/>
      <c r="D102" s="297"/>
      <c r="E102" s="297"/>
      <c r="F102" s="297"/>
      <c r="G102" s="297"/>
      <c r="H102" s="297"/>
      <c r="I102" s="297"/>
      <c r="J102" s="297"/>
      <c r="K102" s="298"/>
    </row>
    <row r="103" spans="2:11" x14ac:dyDescent="0.2">
      <c r="B103" s="296" t="s">
        <v>303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2:11" x14ac:dyDescent="0.2">
      <c r="B104" s="296"/>
      <c r="C104" s="297"/>
      <c r="D104" s="297"/>
      <c r="E104" s="297"/>
      <c r="F104" s="297"/>
      <c r="G104" s="297"/>
      <c r="H104" s="297"/>
      <c r="I104" s="297"/>
      <c r="J104" s="297"/>
      <c r="K104" s="298"/>
    </row>
    <row r="105" spans="2:11" x14ac:dyDescent="0.2">
      <c r="B105" s="296" t="s">
        <v>304</v>
      </c>
      <c r="C105" s="297"/>
      <c r="D105" s="297"/>
      <c r="E105" s="297"/>
      <c r="F105" s="297"/>
      <c r="G105" s="297"/>
      <c r="H105" s="297"/>
      <c r="I105" s="297"/>
      <c r="J105" s="297"/>
      <c r="K105" s="298"/>
    </row>
    <row r="106" spans="2:11" x14ac:dyDescent="0.2">
      <c r="B106" s="302" t="s">
        <v>307</v>
      </c>
      <c r="C106" s="297"/>
      <c r="D106" s="297"/>
      <c r="E106" s="297"/>
      <c r="F106" s="297"/>
      <c r="G106" s="297"/>
      <c r="H106" s="297"/>
      <c r="I106" s="297"/>
      <c r="J106" s="297"/>
      <c r="K106" s="298"/>
    </row>
    <row r="107" spans="2:11" x14ac:dyDescent="0.2">
      <c r="B107" s="296" t="s">
        <v>305</v>
      </c>
      <c r="C107" s="297"/>
      <c r="D107" s="297"/>
      <c r="E107" s="297"/>
      <c r="F107" s="297"/>
      <c r="G107" s="297"/>
      <c r="H107" s="297"/>
      <c r="I107" s="297"/>
      <c r="J107" s="297"/>
      <c r="K107" s="298"/>
    </row>
    <row r="108" spans="2:11" x14ac:dyDescent="0.2">
      <c r="B108" s="296" t="s">
        <v>308</v>
      </c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2:11" x14ac:dyDescent="0.2">
      <c r="B109" s="296"/>
      <c r="C109" s="297"/>
      <c r="D109" s="297"/>
      <c r="E109" s="297"/>
      <c r="F109" s="297"/>
      <c r="G109" s="297"/>
      <c r="H109" s="297"/>
      <c r="I109" s="297"/>
      <c r="J109" s="297"/>
      <c r="K109" s="298"/>
    </row>
    <row r="110" spans="2:11" x14ac:dyDescent="0.2">
      <c r="B110" s="296" t="s">
        <v>311</v>
      </c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2:11" x14ac:dyDescent="0.2">
      <c r="B111" s="296"/>
      <c r="C111" s="297"/>
      <c r="D111" s="297"/>
      <c r="E111" s="297"/>
      <c r="F111" s="297"/>
      <c r="G111" s="297"/>
      <c r="H111" s="297"/>
      <c r="I111" s="297"/>
      <c r="J111" s="297"/>
      <c r="K111" s="298"/>
    </row>
    <row r="112" spans="2:11" x14ac:dyDescent="0.2">
      <c r="B112" s="296" t="s">
        <v>312</v>
      </c>
      <c r="C112" s="297"/>
      <c r="D112" s="297"/>
      <c r="E112" s="297"/>
      <c r="F112" s="297"/>
      <c r="G112" s="297"/>
      <c r="H112" s="297"/>
      <c r="I112" s="297"/>
      <c r="J112" s="297"/>
      <c r="K112" s="298"/>
    </row>
    <row r="113" spans="2:11" x14ac:dyDescent="0.2">
      <c r="B113" s="302" t="s">
        <v>313</v>
      </c>
      <c r="C113" s="297"/>
      <c r="D113" s="297"/>
      <c r="E113" s="297"/>
      <c r="F113" s="297"/>
      <c r="G113" s="297"/>
      <c r="H113" s="297"/>
      <c r="I113" s="297"/>
      <c r="J113" s="297"/>
      <c r="K113" s="298"/>
    </row>
    <row r="114" spans="2:11" x14ac:dyDescent="0.2">
      <c r="B114" s="302" t="s">
        <v>314</v>
      </c>
      <c r="C114" s="297"/>
      <c r="D114" s="297"/>
      <c r="E114" s="297"/>
      <c r="F114" s="297"/>
      <c r="G114" s="297"/>
      <c r="H114" s="297"/>
      <c r="I114" s="297"/>
      <c r="J114" s="297"/>
      <c r="K114" s="298"/>
    </row>
    <row r="115" spans="2:11" x14ac:dyDescent="0.2">
      <c r="B115" s="302" t="s">
        <v>315</v>
      </c>
      <c r="C115" s="297"/>
      <c r="D115" s="297"/>
      <c r="E115" s="297"/>
      <c r="F115" s="297"/>
      <c r="G115" s="297"/>
      <c r="H115" s="297"/>
      <c r="I115" s="297"/>
      <c r="J115" s="297"/>
      <c r="K115" s="298"/>
    </row>
    <row r="116" spans="2:11" x14ac:dyDescent="0.2">
      <c r="B116" s="308" t="s">
        <v>316</v>
      </c>
      <c r="C116" s="300"/>
      <c r="D116" s="300"/>
      <c r="E116" s="300"/>
      <c r="F116" s="300"/>
      <c r="G116" s="300"/>
      <c r="H116" s="300"/>
      <c r="I116" s="300"/>
      <c r="J116" s="300"/>
      <c r="K116" s="301"/>
    </row>
    <row r="119" spans="2:11" x14ac:dyDescent="0.2">
      <c r="B119" s="348" t="s">
        <v>109</v>
      </c>
      <c r="C119" s="349"/>
      <c r="D119" s="349"/>
      <c r="E119" s="349"/>
      <c r="F119" s="349"/>
      <c r="G119" s="349"/>
      <c r="H119" s="349"/>
      <c r="I119" s="349"/>
      <c r="J119" s="349"/>
      <c r="K119" s="350"/>
    </row>
    <row r="120" spans="2:11" x14ac:dyDescent="0.2">
      <c r="B120" s="296" t="s">
        <v>219</v>
      </c>
      <c r="C120" s="297"/>
      <c r="D120" s="297"/>
      <c r="E120" s="297"/>
      <c r="F120" s="297"/>
      <c r="G120" s="297"/>
      <c r="H120" s="297"/>
      <c r="I120" s="297"/>
      <c r="J120" s="297"/>
      <c r="K120" s="298"/>
    </row>
    <row r="121" spans="2:11" x14ac:dyDescent="0.2">
      <c r="B121" s="296" t="s">
        <v>221</v>
      </c>
      <c r="C121" s="297"/>
      <c r="D121" s="297"/>
      <c r="E121" s="297"/>
      <c r="F121" s="297"/>
      <c r="G121" s="297"/>
      <c r="H121" s="297"/>
      <c r="I121" s="297"/>
      <c r="J121" s="297"/>
      <c r="K121" s="298"/>
    </row>
    <row r="122" spans="2:11" x14ac:dyDescent="0.2">
      <c r="B122" s="302" t="s">
        <v>222</v>
      </c>
      <c r="C122" s="297"/>
      <c r="D122" s="297"/>
      <c r="E122" s="297"/>
      <c r="F122" s="297"/>
      <c r="G122" s="297"/>
      <c r="H122" s="297"/>
      <c r="I122" s="297"/>
      <c r="J122" s="297"/>
      <c r="K122" s="298"/>
    </row>
    <row r="123" spans="2:11" x14ac:dyDescent="0.2">
      <c r="B123" s="302" t="s">
        <v>223</v>
      </c>
      <c r="C123" s="297"/>
      <c r="D123" s="297"/>
      <c r="E123" s="297"/>
      <c r="F123" s="297"/>
      <c r="G123" s="297"/>
      <c r="H123" s="297"/>
      <c r="I123" s="297"/>
      <c r="J123" s="297"/>
      <c r="K123" s="298"/>
    </row>
    <row r="124" spans="2:11" x14ac:dyDescent="0.2">
      <c r="B124" s="302" t="s">
        <v>224</v>
      </c>
      <c r="C124" s="297"/>
      <c r="D124" s="297"/>
      <c r="E124" s="297"/>
      <c r="F124" s="297"/>
      <c r="G124" s="297"/>
      <c r="H124" s="297"/>
      <c r="I124" s="297"/>
      <c r="J124" s="297"/>
      <c r="K124" s="298"/>
    </row>
    <row r="125" spans="2:11" x14ac:dyDescent="0.2">
      <c r="B125" s="302" t="s">
        <v>225</v>
      </c>
      <c r="C125" s="297"/>
      <c r="D125" s="297"/>
      <c r="E125" s="297"/>
      <c r="F125" s="297"/>
      <c r="G125" s="297"/>
      <c r="H125" s="297"/>
      <c r="I125" s="297"/>
      <c r="J125" s="297"/>
      <c r="K125" s="298"/>
    </row>
    <row r="126" spans="2:11" x14ac:dyDescent="0.2">
      <c r="B126" s="296"/>
      <c r="C126" s="297"/>
      <c r="D126" s="297"/>
      <c r="E126" s="297"/>
      <c r="F126" s="297"/>
      <c r="G126" s="297"/>
      <c r="H126" s="297"/>
      <c r="I126" s="297"/>
      <c r="J126" s="297"/>
      <c r="K126" s="298"/>
    </row>
    <row r="127" spans="2:11" x14ac:dyDescent="0.2">
      <c r="B127" s="296" t="s">
        <v>226</v>
      </c>
      <c r="C127" s="297"/>
      <c r="D127" s="297"/>
      <c r="E127" s="297"/>
      <c r="F127" s="297"/>
      <c r="G127" s="297"/>
      <c r="H127" s="297"/>
      <c r="I127" s="297"/>
      <c r="J127" s="297"/>
      <c r="K127" s="298"/>
    </row>
    <row r="128" spans="2:11" x14ac:dyDescent="0.2">
      <c r="B128" s="296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2:11" x14ac:dyDescent="0.2">
      <c r="B129" s="296" t="s">
        <v>227</v>
      </c>
      <c r="C129" s="297"/>
      <c r="D129" s="297"/>
      <c r="E129" s="297"/>
      <c r="F129" s="297"/>
      <c r="G129" s="297"/>
      <c r="H129" s="297"/>
      <c r="I129" s="297"/>
      <c r="J129" s="297"/>
      <c r="K129" s="298"/>
    </row>
    <row r="130" spans="2:11" x14ac:dyDescent="0.2">
      <c r="B130" s="296" t="s">
        <v>228</v>
      </c>
      <c r="C130" s="297"/>
      <c r="D130" s="297"/>
      <c r="E130" s="297"/>
      <c r="F130" s="297"/>
      <c r="G130" s="297"/>
      <c r="H130" s="297"/>
      <c r="I130" s="297"/>
      <c r="J130" s="297"/>
      <c r="K130" s="298"/>
    </row>
    <row r="131" spans="2:11" x14ac:dyDescent="0.2">
      <c r="B131" s="302" t="s">
        <v>229</v>
      </c>
      <c r="C131" s="297"/>
      <c r="D131" s="297"/>
      <c r="E131" s="297"/>
      <c r="F131" s="297"/>
      <c r="G131" s="297"/>
      <c r="H131" s="297"/>
      <c r="I131" s="297"/>
      <c r="J131" s="297"/>
      <c r="K131" s="298"/>
    </row>
    <row r="132" spans="2:11" x14ac:dyDescent="0.2">
      <c r="B132" s="302" t="s">
        <v>230</v>
      </c>
      <c r="C132" s="297"/>
      <c r="D132" s="297"/>
      <c r="E132" s="297"/>
      <c r="F132" s="297"/>
      <c r="G132" s="297"/>
      <c r="H132" s="297"/>
      <c r="I132" s="297"/>
      <c r="J132" s="297"/>
      <c r="K132" s="298"/>
    </row>
    <row r="133" spans="2:11" x14ac:dyDescent="0.2">
      <c r="B133" s="302" t="s">
        <v>231</v>
      </c>
      <c r="C133" s="297"/>
      <c r="D133" s="297"/>
      <c r="E133" s="297"/>
      <c r="F133" s="297"/>
      <c r="G133" s="297"/>
      <c r="H133" s="297"/>
      <c r="I133" s="297"/>
      <c r="J133" s="297"/>
      <c r="K133" s="298"/>
    </row>
    <row r="134" spans="2:11" x14ac:dyDescent="0.2">
      <c r="B134" s="302" t="s">
        <v>232</v>
      </c>
      <c r="C134" s="297"/>
      <c r="D134" s="297"/>
      <c r="E134" s="297"/>
      <c r="F134" s="297"/>
      <c r="G134" s="297"/>
      <c r="H134" s="297"/>
      <c r="I134" s="297"/>
      <c r="J134" s="297"/>
      <c r="K134" s="298"/>
    </row>
    <row r="135" spans="2:11" x14ac:dyDescent="0.2">
      <c r="B135" s="296"/>
      <c r="C135" s="297"/>
      <c r="D135" s="297"/>
      <c r="E135" s="297"/>
      <c r="F135" s="297"/>
      <c r="G135" s="297"/>
      <c r="H135" s="297"/>
      <c r="I135" s="297"/>
      <c r="J135" s="297"/>
      <c r="K135" s="298"/>
    </row>
    <row r="136" spans="2:11" x14ac:dyDescent="0.2">
      <c r="B136" s="296" t="s">
        <v>233</v>
      </c>
      <c r="C136" s="297"/>
      <c r="D136" s="297"/>
      <c r="E136" s="297"/>
      <c r="F136" s="297"/>
      <c r="G136" s="297"/>
      <c r="H136" s="297"/>
      <c r="I136" s="297"/>
      <c r="J136" s="297"/>
      <c r="K136" s="298"/>
    </row>
    <row r="137" spans="2:11" x14ac:dyDescent="0.2">
      <c r="B137" s="296" t="s">
        <v>234</v>
      </c>
      <c r="C137" s="297"/>
      <c r="D137" s="297"/>
      <c r="E137" s="297"/>
      <c r="F137" s="297"/>
      <c r="G137" s="297"/>
      <c r="H137" s="297"/>
      <c r="I137" s="297"/>
      <c r="J137" s="297"/>
      <c r="K137" s="298"/>
    </row>
    <row r="138" spans="2:11" x14ac:dyDescent="0.2">
      <c r="B138" s="296"/>
      <c r="C138" s="297"/>
      <c r="D138" s="297"/>
      <c r="E138" s="297"/>
      <c r="F138" s="297"/>
      <c r="G138" s="297"/>
      <c r="H138" s="297"/>
      <c r="I138" s="297"/>
      <c r="J138" s="297"/>
      <c r="K138" s="298"/>
    </row>
    <row r="139" spans="2:11" x14ac:dyDescent="0.2">
      <c r="B139" s="296" t="s">
        <v>235</v>
      </c>
      <c r="C139" s="297"/>
      <c r="D139" s="297"/>
      <c r="E139" s="297"/>
      <c r="F139" s="297"/>
      <c r="G139" s="297"/>
      <c r="H139" s="297"/>
      <c r="I139" s="297"/>
      <c r="J139" s="297"/>
      <c r="K139" s="298"/>
    </row>
    <row r="140" spans="2:11" x14ac:dyDescent="0.2">
      <c r="B140" s="296"/>
      <c r="C140" s="297"/>
      <c r="D140" s="297"/>
      <c r="E140" s="297"/>
      <c r="F140" s="297"/>
      <c r="G140" s="297"/>
      <c r="H140" s="297"/>
      <c r="I140" s="297"/>
      <c r="J140" s="297"/>
      <c r="K140" s="298"/>
    </row>
    <row r="141" spans="2:11" x14ac:dyDescent="0.2">
      <c r="B141" s="296" t="s">
        <v>239</v>
      </c>
      <c r="C141" s="297"/>
      <c r="D141" s="297"/>
      <c r="E141" s="297"/>
      <c r="F141" s="297"/>
      <c r="G141" s="297"/>
      <c r="H141" s="297"/>
      <c r="I141" s="297"/>
      <c r="J141" s="297"/>
      <c r="K141" s="298"/>
    </row>
    <row r="142" spans="2:11" x14ac:dyDescent="0.2">
      <c r="B142" s="296"/>
      <c r="C142" s="297"/>
      <c r="D142" s="297"/>
      <c r="E142" s="297"/>
      <c r="F142" s="297"/>
      <c r="G142" s="297"/>
      <c r="H142" s="297"/>
      <c r="I142" s="297"/>
      <c r="J142" s="297"/>
      <c r="K142" s="298"/>
    </row>
    <row r="143" spans="2:11" x14ac:dyDescent="0.2">
      <c r="B143" s="296" t="s">
        <v>240</v>
      </c>
      <c r="C143" s="297"/>
      <c r="D143" s="297"/>
      <c r="E143" s="297"/>
      <c r="F143" s="297"/>
      <c r="G143" s="297"/>
      <c r="H143" s="297"/>
      <c r="I143" s="297"/>
      <c r="J143" s="297"/>
      <c r="K143" s="298"/>
    </row>
    <row r="144" spans="2:11" x14ac:dyDescent="0.2">
      <c r="B144" s="302" t="s">
        <v>241</v>
      </c>
      <c r="C144" s="297"/>
      <c r="D144" s="297"/>
      <c r="E144" s="297"/>
      <c r="F144" s="297"/>
      <c r="G144" s="297"/>
      <c r="H144" s="297"/>
      <c r="I144" s="297"/>
      <c r="J144" s="297"/>
      <c r="K144" s="298"/>
    </row>
    <row r="145" spans="2:11" x14ac:dyDescent="0.2">
      <c r="B145" s="296"/>
      <c r="C145" s="297"/>
      <c r="D145" s="297"/>
      <c r="E145" s="297"/>
      <c r="F145" s="297"/>
      <c r="G145" s="297"/>
      <c r="H145" s="297"/>
      <c r="I145" s="297"/>
      <c r="J145" s="297"/>
      <c r="K145" s="298"/>
    </row>
    <row r="146" spans="2:11" x14ac:dyDescent="0.2">
      <c r="B146" s="296" t="s">
        <v>242</v>
      </c>
      <c r="C146" s="297"/>
      <c r="D146" s="297"/>
      <c r="E146" s="297"/>
      <c r="F146" s="297"/>
      <c r="G146" s="297"/>
      <c r="H146" s="297"/>
      <c r="I146" s="297"/>
      <c r="J146" s="297"/>
      <c r="K146" s="298"/>
    </row>
    <row r="147" spans="2:11" x14ac:dyDescent="0.2">
      <c r="B147" s="296"/>
      <c r="C147" s="297"/>
      <c r="D147" s="297"/>
      <c r="E147" s="297"/>
      <c r="F147" s="297"/>
      <c r="G147" s="297"/>
      <c r="H147" s="297"/>
      <c r="I147" s="297"/>
      <c r="J147" s="297"/>
      <c r="K147" s="298"/>
    </row>
    <row r="148" spans="2:11" x14ac:dyDescent="0.2">
      <c r="B148" s="296" t="s">
        <v>244</v>
      </c>
      <c r="C148" s="297"/>
      <c r="D148" s="297"/>
      <c r="E148" s="297"/>
      <c r="F148" s="297"/>
      <c r="G148" s="297"/>
      <c r="H148" s="297"/>
      <c r="I148" s="297"/>
      <c r="J148" s="297"/>
      <c r="K148" s="298"/>
    </row>
    <row r="149" spans="2:11" x14ac:dyDescent="0.2">
      <c r="B149" s="302" t="s">
        <v>243</v>
      </c>
      <c r="C149" s="297"/>
      <c r="D149" s="297"/>
      <c r="E149" s="297"/>
      <c r="F149" s="297"/>
      <c r="G149" s="297"/>
      <c r="H149" s="297"/>
      <c r="I149" s="297"/>
      <c r="J149" s="297"/>
      <c r="K149" s="298"/>
    </row>
    <row r="150" spans="2:11" x14ac:dyDescent="0.2">
      <c r="B150" s="296"/>
      <c r="C150" s="297"/>
      <c r="D150" s="297"/>
      <c r="E150" s="297"/>
      <c r="F150" s="297"/>
      <c r="G150" s="297"/>
      <c r="H150" s="297"/>
      <c r="I150" s="297"/>
      <c r="J150" s="297"/>
      <c r="K150" s="298"/>
    </row>
    <row r="151" spans="2:11" x14ac:dyDescent="0.2">
      <c r="B151" s="296" t="s">
        <v>245</v>
      </c>
      <c r="C151" s="297"/>
      <c r="D151" s="297"/>
      <c r="E151" s="297"/>
      <c r="F151" s="297"/>
      <c r="G151" s="297"/>
      <c r="H151" s="297"/>
      <c r="I151" s="297"/>
      <c r="J151" s="297"/>
      <c r="K151" s="298"/>
    </row>
    <row r="152" spans="2:11" x14ac:dyDescent="0.2">
      <c r="B152" s="302" t="s">
        <v>246</v>
      </c>
      <c r="C152" s="297"/>
      <c r="D152" s="297"/>
      <c r="E152" s="297"/>
      <c r="F152" s="297"/>
      <c r="G152" s="297"/>
      <c r="H152" s="297"/>
      <c r="I152" s="297"/>
      <c r="J152" s="297"/>
      <c r="K152" s="298"/>
    </row>
    <row r="153" spans="2:11" x14ac:dyDescent="0.2"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2:11" x14ac:dyDescent="0.2">
      <c r="B154" s="296" t="s">
        <v>247</v>
      </c>
      <c r="C154" s="297"/>
      <c r="D154" s="297"/>
      <c r="E154" s="297"/>
      <c r="F154" s="297"/>
      <c r="G154" s="297"/>
      <c r="H154" s="297"/>
      <c r="I154" s="297"/>
      <c r="J154" s="297"/>
      <c r="K154" s="298"/>
    </row>
    <row r="155" spans="2:11" x14ac:dyDescent="0.2">
      <c r="B155" s="302" t="s">
        <v>248</v>
      </c>
      <c r="C155" s="297"/>
      <c r="D155" s="297"/>
      <c r="E155" s="297"/>
      <c r="F155" s="297"/>
      <c r="G155" s="297"/>
      <c r="H155" s="297"/>
      <c r="I155" s="297"/>
      <c r="J155" s="297"/>
      <c r="K155" s="298"/>
    </row>
    <row r="156" spans="2:11" x14ac:dyDescent="0.2">
      <c r="B156" s="302" t="s">
        <v>249</v>
      </c>
      <c r="C156" s="297"/>
      <c r="D156" s="297"/>
      <c r="E156" s="297"/>
      <c r="F156" s="297"/>
      <c r="G156" s="297"/>
      <c r="H156" s="297"/>
      <c r="I156" s="297"/>
      <c r="J156" s="297"/>
      <c r="K156" s="298"/>
    </row>
    <row r="157" spans="2:11" x14ac:dyDescent="0.2">
      <c r="B157" s="302" t="s">
        <v>250</v>
      </c>
      <c r="C157" s="297"/>
      <c r="D157" s="297"/>
      <c r="E157" s="297"/>
      <c r="F157" s="297"/>
      <c r="G157" s="297"/>
      <c r="H157" s="297"/>
      <c r="I157" s="297"/>
      <c r="J157" s="297"/>
      <c r="K157" s="298"/>
    </row>
    <row r="158" spans="2:11" x14ac:dyDescent="0.2">
      <c r="B158" s="309" t="s">
        <v>251</v>
      </c>
      <c r="C158" s="300"/>
      <c r="D158" s="300"/>
      <c r="E158" s="300"/>
      <c r="F158" s="300"/>
      <c r="G158" s="300"/>
      <c r="H158" s="300"/>
      <c r="I158" s="300"/>
      <c r="J158" s="300"/>
      <c r="K158" s="301"/>
    </row>
    <row r="161" spans="2:11" x14ac:dyDescent="0.2">
      <c r="B161" s="348" t="s">
        <v>13</v>
      </c>
      <c r="C161" s="349"/>
      <c r="D161" s="349"/>
      <c r="E161" s="349"/>
      <c r="F161" s="349"/>
      <c r="G161" s="349"/>
      <c r="H161" s="349"/>
      <c r="I161" s="349"/>
      <c r="J161" s="349"/>
      <c r="K161" s="350"/>
    </row>
    <row r="162" spans="2:11" x14ac:dyDescent="0.2">
      <c r="B162" s="296" t="s">
        <v>212</v>
      </c>
      <c r="C162" s="297"/>
      <c r="D162" s="297"/>
      <c r="E162" s="297"/>
      <c r="F162" s="297"/>
      <c r="G162" s="297"/>
      <c r="H162" s="297"/>
      <c r="I162" s="297"/>
      <c r="J162" s="297"/>
      <c r="K162" s="298"/>
    </row>
    <row r="163" spans="2:11" x14ac:dyDescent="0.2">
      <c r="B163" s="296" t="s">
        <v>211</v>
      </c>
      <c r="C163" s="297"/>
      <c r="D163" s="297"/>
      <c r="E163" s="297"/>
      <c r="F163" s="297"/>
      <c r="G163" s="297"/>
      <c r="H163" s="297"/>
      <c r="I163" s="297"/>
      <c r="J163" s="297"/>
      <c r="K163" s="298"/>
    </row>
    <row r="164" spans="2:11" x14ac:dyDescent="0.2">
      <c r="B164" s="296" t="s">
        <v>210</v>
      </c>
      <c r="C164" s="297"/>
      <c r="D164" s="297"/>
      <c r="E164" s="297"/>
      <c r="F164" s="297"/>
      <c r="G164" s="297"/>
      <c r="H164" s="297"/>
      <c r="I164" s="297"/>
      <c r="J164" s="297"/>
      <c r="K164" s="298"/>
    </row>
    <row r="165" spans="2:11" x14ac:dyDescent="0.2">
      <c r="B165" s="296" t="s">
        <v>209</v>
      </c>
      <c r="C165" s="297"/>
      <c r="D165" s="297"/>
      <c r="E165" s="297"/>
      <c r="F165" s="297"/>
      <c r="G165" s="297"/>
      <c r="H165" s="297"/>
      <c r="I165" s="297"/>
      <c r="J165" s="297"/>
      <c r="K165" s="298"/>
    </row>
    <row r="166" spans="2:11" x14ac:dyDescent="0.2">
      <c r="B166" s="310" t="s">
        <v>167</v>
      </c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2:11" x14ac:dyDescent="0.2">
      <c r="B167" s="296" t="s">
        <v>139</v>
      </c>
      <c r="C167" s="297" t="s">
        <v>148</v>
      </c>
      <c r="D167" s="297"/>
      <c r="E167" s="297"/>
      <c r="F167" s="297"/>
      <c r="G167" s="297"/>
      <c r="H167" s="297"/>
      <c r="I167" s="297"/>
      <c r="J167" s="297"/>
      <c r="K167" s="298"/>
    </row>
    <row r="168" spans="2:11" x14ac:dyDescent="0.2">
      <c r="B168" s="296" t="s">
        <v>140</v>
      </c>
      <c r="C168" s="297" t="s">
        <v>137</v>
      </c>
      <c r="D168" s="297"/>
      <c r="E168" s="297"/>
      <c r="F168" s="297"/>
      <c r="G168" s="297"/>
      <c r="H168" s="297"/>
      <c r="I168" s="297"/>
      <c r="J168" s="297"/>
      <c r="K168" s="298"/>
    </row>
    <row r="169" spans="2:11" x14ac:dyDescent="0.2">
      <c r="B169" s="296" t="s">
        <v>141</v>
      </c>
      <c r="C169" s="297" t="s">
        <v>138</v>
      </c>
      <c r="D169" s="297"/>
      <c r="E169" s="297"/>
      <c r="F169" s="297"/>
      <c r="G169" s="297"/>
      <c r="H169" s="297"/>
      <c r="I169" s="297"/>
      <c r="J169" s="297"/>
      <c r="K169" s="298"/>
    </row>
    <row r="170" spans="2:11" x14ac:dyDescent="0.2">
      <c r="B170" s="296"/>
      <c r="C170" s="297"/>
      <c r="D170" s="297"/>
      <c r="E170" s="297"/>
      <c r="F170" s="297"/>
      <c r="G170" s="297"/>
      <c r="H170" s="297"/>
      <c r="I170" s="297"/>
      <c r="J170" s="297"/>
      <c r="K170" s="298"/>
    </row>
    <row r="171" spans="2:11" x14ac:dyDescent="0.2">
      <c r="B171" s="299" t="s">
        <v>143</v>
      </c>
      <c r="C171" s="300" t="s">
        <v>142</v>
      </c>
      <c r="D171" s="300"/>
      <c r="E171" s="300"/>
      <c r="F171" s="300"/>
      <c r="G171" s="300"/>
      <c r="H171" s="300"/>
      <c r="I171" s="300"/>
      <c r="J171" s="300"/>
      <c r="K171" s="30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2024-05-21T13:39:17Z</dcterms:modified>
</cp:coreProperties>
</file>