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A7399681-D109-BB40-9F3C-CC6FC47AB4D4}" xr6:coauthVersionLast="47" xr6:coauthVersionMax="47" xr10:uidLastSave="{00000000-0000-0000-0000-000000000000}"/>
  <bookViews>
    <workbookView xWindow="0" yWindow="500" windowWidth="33600" windowHeight="18900" activeTab="1" xr2:uid="{DD3A8C14-BBF5-4F78-B1B7-C8887875BE33}"/>
  </bookViews>
  <sheets>
    <sheet name="Main" sheetId="1" r:id="rId1"/>
    <sheet name="Financial Model" sheetId="2" r:id="rId2"/>
    <sheet name="Historical Projec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83" i="2" l="1"/>
  <c r="AB83" i="2"/>
  <c r="AC85" i="2"/>
  <c r="AC84" i="2"/>
  <c r="AC82" i="2"/>
  <c r="AC81" i="2"/>
  <c r="AC78" i="2"/>
  <c r="AC79" i="2" s="1"/>
  <c r="AC77" i="2"/>
  <c r="AC74" i="2"/>
  <c r="AC73" i="2"/>
  <c r="AC75" i="2" s="1"/>
  <c r="AC71" i="2"/>
  <c r="AC70" i="2"/>
  <c r="AC68" i="2"/>
  <c r="AC67" i="2"/>
  <c r="AC63" i="2"/>
  <c r="AC62" i="2"/>
  <c r="AC64" i="2"/>
  <c r="AC61" i="2"/>
  <c r="AC59" i="2"/>
  <c r="AC58" i="2"/>
  <c r="AC57" i="2"/>
  <c r="AC60" i="2" s="1"/>
  <c r="AC65" i="2" s="1"/>
  <c r="AC56" i="2"/>
  <c r="AC55" i="2"/>
  <c r="AC53" i="2"/>
  <c r="AC52" i="2"/>
  <c r="AC51" i="2"/>
  <c r="AC50" i="2"/>
  <c r="AC49" i="2"/>
  <c r="AC48" i="2"/>
  <c r="AC46" i="2"/>
  <c r="AC45" i="2"/>
  <c r="AC47" i="2" s="1"/>
  <c r="AC54" i="2" s="1"/>
  <c r="AC44" i="2"/>
  <c r="AC43" i="2"/>
  <c r="AC42" i="2"/>
  <c r="AC41" i="2"/>
  <c r="W10" i="2"/>
  <c r="W9" i="2"/>
  <c r="W6" i="2"/>
  <c r="AC26" i="2"/>
  <c r="AC25" i="2"/>
  <c r="C10" i="1"/>
  <c r="C9" i="1"/>
  <c r="C7" i="1"/>
  <c r="V97" i="2"/>
  <c r="V78" i="2"/>
  <c r="V74" i="2"/>
  <c r="V73" i="2"/>
  <c r="V60" i="2"/>
  <c r="V65" i="2" s="1"/>
  <c r="V68" i="2" s="1"/>
  <c r="V47" i="2"/>
  <c r="V54" i="2" s="1"/>
  <c r="V70" i="2" s="1"/>
  <c r="V71" i="2" s="1"/>
  <c r="AC8" i="2"/>
  <c r="AC7" i="2"/>
  <c r="AC30" i="2" s="1"/>
  <c r="AC5" i="2"/>
  <c r="AC31" i="2" s="1"/>
  <c r="AC4" i="2"/>
  <c r="AC3" i="2"/>
  <c r="AC2" i="2"/>
  <c r="V31" i="2"/>
  <c r="V30" i="2"/>
  <c r="V26" i="2"/>
  <c r="V25" i="2"/>
  <c r="V9" i="2"/>
  <c r="V6" i="2"/>
  <c r="V36" i="2" s="1"/>
  <c r="U97" i="2"/>
  <c r="M77" i="2"/>
  <c r="M78" i="2" s="1"/>
  <c r="M74" i="2"/>
  <c r="M73" i="2"/>
  <c r="M75" i="2" s="1"/>
  <c r="M26" i="2"/>
  <c r="M25" i="2"/>
  <c r="Q26" i="2"/>
  <c r="Q25" i="2"/>
  <c r="M31" i="2"/>
  <c r="M30" i="2"/>
  <c r="AB74" i="2"/>
  <c r="AB67" i="2"/>
  <c r="AB64" i="2"/>
  <c r="AB62" i="2"/>
  <c r="AB61" i="2"/>
  <c r="AB59" i="2"/>
  <c r="AB58" i="2"/>
  <c r="AB57" i="2"/>
  <c r="AB56" i="2"/>
  <c r="AB55" i="2"/>
  <c r="AB63" i="2"/>
  <c r="AB53" i="2"/>
  <c r="AB52" i="2"/>
  <c r="AB51" i="2"/>
  <c r="AB50" i="2"/>
  <c r="AB49" i="2"/>
  <c r="AB48" i="2"/>
  <c r="AB46" i="2"/>
  <c r="AB45" i="2"/>
  <c r="AB44" i="2"/>
  <c r="AB43" i="2"/>
  <c r="AB42" i="2"/>
  <c r="AB41" i="2"/>
  <c r="C33" i="1" l="1"/>
  <c r="V81" i="2"/>
  <c r="AB60" i="2"/>
  <c r="AB47" i="2"/>
  <c r="AB54" i="2" s="1"/>
  <c r="AB70" i="2" s="1"/>
  <c r="V75" i="2"/>
  <c r="M79" i="2"/>
  <c r="V79" i="2"/>
  <c r="AB73" i="2"/>
  <c r="AB75" i="2" s="1"/>
  <c r="AB65" i="2"/>
  <c r="AB68" i="2" s="1"/>
  <c r="AA10" i="2"/>
  <c r="AP29" i="2"/>
  <c r="AD22" i="2" l="1"/>
  <c r="AE22" i="2" s="1"/>
  <c r="AF22" i="2" s="1"/>
  <c r="AG22" i="2" s="1"/>
  <c r="AH22" i="2" s="1"/>
  <c r="AI22" i="2" s="1"/>
  <c r="AJ22" i="2" s="1"/>
  <c r="AK22" i="2" s="1"/>
  <c r="AL22" i="2" s="1"/>
  <c r="AM22" i="2" s="1"/>
  <c r="AC17" i="2"/>
  <c r="AC14" i="2"/>
  <c r="R74" i="2"/>
  <c r="R73" i="2"/>
  <c r="R75" i="2" s="1"/>
  <c r="S78" i="2"/>
  <c r="S77" i="2"/>
  <c r="R77" i="2"/>
  <c r="R78" i="2" s="1"/>
  <c r="Q22" i="2"/>
  <c r="P22" i="2"/>
  <c r="AB77" i="2"/>
  <c r="AB22" i="2"/>
  <c r="AB71" i="2" s="1"/>
  <c r="AB19" i="2"/>
  <c r="AB17" i="2"/>
  <c r="AB14" i="2"/>
  <c r="AB13" i="2"/>
  <c r="AB12" i="2"/>
  <c r="AB11" i="2"/>
  <c r="AB15" i="2" s="1"/>
  <c r="AB8" i="2"/>
  <c r="AB7" i="2"/>
  <c r="AB9" i="2" s="1"/>
  <c r="AB5" i="2"/>
  <c r="AB4" i="2"/>
  <c r="AB3" i="2"/>
  <c r="AB2" i="2"/>
  <c r="N31" i="2"/>
  <c r="N30" i="2"/>
  <c r="R26" i="2"/>
  <c r="R25" i="2"/>
  <c r="R31" i="2"/>
  <c r="R30" i="2"/>
  <c r="P96" i="2"/>
  <c r="P95" i="2"/>
  <c r="P94" i="2"/>
  <c r="P93" i="2"/>
  <c r="P91" i="2"/>
  <c r="T96" i="2"/>
  <c r="T95" i="2"/>
  <c r="T94" i="2"/>
  <c r="T93" i="2"/>
  <c r="T91" i="2"/>
  <c r="S74" i="2"/>
  <c r="S73" i="2"/>
  <c r="S31" i="2"/>
  <c r="S30" i="2"/>
  <c r="O31" i="2"/>
  <c r="O30" i="2"/>
  <c r="S26" i="2"/>
  <c r="S25" i="2"/>
  <c r="T78" i="2"/>
  <c r="T74" i="2"/>
  <c r="T73" i="2"/>
  <c r="T75" i="2" s="1"/>
  <c r="T26" i="2"/>
  <c r="T25" i="2"/>
  <c r="T31" i="2"/>
  <c r="T30" i="2"/>
  <c r="P31" i="2"/>
  <c r="P30" i="2"/>
  <c r="U95" i="2" l="1"/>
  <c r="V95" i="2"/>
  <c r="U91" i="2"/>
  <c r="V91" i="2"/>
  <c r="V93" i="2"/>
  <c r="U94" i="2"/>
  <c r="V94" i="2" s="1"/>
  <c r="AB81" i="2"/>
  <c r="AD14" i="2"/>
  <c r="AD17" i="2"/>
  <c r="AB30" i="2"/>
  <c r="AB31" i="2"/>
  <c r="AE17" i="2"/>
  <c r="AF17" i="2" s="1"/>
  <c r="AG17" i="2" s="1"/>
  <c r="T100" i="2"/>
  <c r="T102" i="2" s="1"/>
  <c r="U96" i="2"/>
  <c r="U100" i="2" s="1"/>
  <c r="U102" i="2" s="1"/>
  <c r="AB78" i="2"/>
  <c r="U93" i="2"/>
  <c r="T98" i="2"/>
  <c r="R79" i="2"/>
  <c r="AB6" i="2"/>
  <c r="S75" i="2"/>
  <c r="S79" i="2" s="1"/>
  <c r="T79" i="2"/>
  <c r="S100" i="2"/>
  <c r="S102" i="2" s="1"/>
  <c r="R100" i="2"/>
  <c r="R102" i="2" s="1"/>
  <c r="Q100" i="2"/>
  <c r="Q102" i="2" s="1"/>
  <c r="P100" i="2"/>
  <c r="P102" i="2" s="1"/>
  <c r="O100" i="2"/>
  <c r="O102" i="2" s="1"/>
  <c r="N100" i="2"/>
  <c r="N102" i="2" s="1"/>
  <c r="M100" i="2"/>
  <c r="M102" i="2" s="1"/>
  <c r="L100" i="2"/>
  <c r="L102" i="2" s="1"/>
  <c r="K100" i="2"/>
  <c r="K102" i="2" s="1"/>
  <c r="J100" i="2"/>
  <c r="J102" i="2" s="1"/>
  <c r="I100" i="2"/>
  <c r="I102" i="2" s="1"/>
  <c r="H100" i="2"/>
  <c r="H102" i="2" s="1"/>
  <c r="G100" i="2"/>
  <c r="G102" i="2" s="1"/>
  <c r="F100" i="2"/>
  <c r="F102" i="2" s="1"/>
  <c r="E100" i="2"/>
  <c r="E102" i="2" s="1"/>
  <c r="D100" i="2"/>
  <c r="D102" i="2" s="1"/>
  <c r="C100" i="2"/>
  <c r="C102" i="2" s="1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U78" i="2"/>
  <c r="V96" i="2" l="1"/>
  <c r="V100" i="2" s="1"/>
  <c r="V102" i="2" s="1"/>
  <c r="U98" i="2"/>
  <c r="AE14" i="2"/>
  <c r="AF14" i="2" s="1"/>
  <c r="AH17" i="2"/>
  <c r="AI17" i="2" s="1"/>
  <c r="AJ17" i="2" s="1"/>
  <c r="AB10" i="2"/>
  <c r="AB24" i="2"/>
  <c r="AB79" i="2"/>
  <c r="AB82" i="2"/>
  <c r="AB36" i="2"/>
  <c r="D11" i="1"/>
  <c r="D10" i="1"/>
  <c r="D9" i="1"/>
  <c r="D7" i="1"/>
  <c r="U74" i="2"/>
  <c r="U73" i="2"/>
  <c r="T60" i="2"/>
  <c r="T65" i="2" s="1"/>
  <c r="T68" i="2" s="1"/>
  <c r="S60" i="2"/>
  <c r="S65" i="2" s="1"/>
  <c r="S68" i="2" s="1"/>
  <c r="R60" i="2"/>
  <c r="R65" i="2" s="1"/>
  <c r="R68" i="2" s="1"/>
  <c r="Q60" i="2"/>
  <c r="Q65" i="2" s="1"/>
  <c r="P60" i="2"/>
  <c r="P65" i="2" s="1"/>
  <c r="O60" i="2"/>
  <c r="O65" i="2" s="1"/>
  <c r="N60" i="2"/>
  <c r="N65" i="2" s="1"/>
  <c r="M60" i="2"/>
  <c r="M65" i="2" s="1"/>
  <c r="M68" i="2" s="1"/>
  <c r="L60" i="2"/>
  <c r="L65" i="2" s="1"/>
  <c r="K60" i="2"/>
  <c r="K65" i="2" s="1"/>
  <c r="J60" i="2"/>
  <c r="J65" i="2" s="1"/>
  <c r="I60" i="2"/>
  <c r="I65" i="2" s="1"/>
  <c r="H60" i="2"/>
  <c r="H65" i="2" s="1"/>
  <c r="G60" i="2"/>
  <c r="G65" i="2" s="1"/>
  <c r="F60" i="2"/>
  <c r="F65" i="2" s="1"/>
  <c r="E60" i="2"/>
  <c r="E65" i="2" s="1"/>
  <c r="D60" i="2"/>
  <c r="D65" i="2" s="1"/>
  <c r="C60" i="2"/>
  <c r="C65" i="2" s="1"/>
  <c r="T47" i="2"/>
  <c r="T54" i="2" s="1"/>
  <c r="S47" i="2"/>
  <c r="S54" i="2" s="1"/>
  <c r="R47" i="2"/>
  <c r="R54" i="2" s="1"/>
  <c r="R70" i="2" s="1"/>
  <c r="R71" i="2" s="1"/>
  <c r="R81" i="2" s="1"/>
  <c r="Q47" i="2"/>
  <c r="Q54" i="2" s="1"/>
  <c r="P47" i="2"/>
  <c r="P54" i="2" s="1"/>
  <c r="O47" i="2"/>
  <c r="O54" i="2" s="1"/>
  <c r="N47" i="2"/>
  <c r="N54" i="2" s="1"/>
  <c r="M47" i="2"/>
  <c r="M54" i="2" s="1"/>
  <c r="M70" i="2" s="1"/>
  <c r="M71" i="2" s="1"/>
  <c r="M81" i="2" s="1"/>
  <c r="L47" i="2"/>
  <c r="L54" i="2" s="1"/>
  <c r="K47" i="2"/>
  <c r="K54" i="2" s="1"/>
  <c r="J47" i="2"/>
  <c r="J54" i="2" s="1"/>
  <c r="I47" i="2"/>
  <c r="I54" i="2" s="1"/>
  <c r="H47" i="2"/>
  <c r="H54" i="2" s="1"/>
  <c r="G47" i="2"/>
  <c r="G54" i="2" s="1"/>
  <c r="F47" i="2"/>
  <c r="F54" i="2" s="1"/>
  <c r="E47" i="2"/>
  <c r="E54" i="2" s="1"/>
  <c r="D47" i="2"/>
  <c r="D54" i="2" s="1"/>
  <c r="C47" i="2"/>
  <c r="C54" i="2" s="1"/>
  <c r="U60" i="2"/>
  <c r="U65" i="2" s="1"/>
  <c r="U68" i="2" s="1"/>
  <c r="U47" i="2"/>
  <c r="U54" i="2" s="1"/>
  <c r="U70" i="2" s="1"/>
  <c r="U71" i="2" s="1"/>
  <c r="Q31" i="2"/>
  <c r="U31" i="2"/>
  <c r="Q30" i="2"/>
  <c r="U30" i="2"/>
  <c r="U26" i="2"/>
  <c r="U25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T6" i="2"/>
  <c r="S6" i="2"/>
  <c r="R6" i="2"/>
  <c r="Q6" i="2"/>
  <c r="T83" i="2" s="1"/>
  <c r="P6" i="2"/>
  <c r="S82" i="2" s="1"/>
  <c r="O6" i="2"/>
  <c r="R82" i="2" s="1"/>
  <c r="N6" i="2"/>
  <c r="M6" i="2"/>
  <c r="L6" i="2"/>
  <c r="K6" i="2"/>
  <c r="J6" i="2"/>
  <c r="I6" i="2"/>
  <c r="H6" i="2"/>
  <c r="G6" i="2"/>
  <c r="F6" i="2"/>
  <c r="E6" i="2"/>
  <c r="D6" i="2"/>
  <c r="C6" i="2"/>
  <c r="U15" i="2"/>
  <c r="U9" i="2"/>
  <c r="U6" i="2"/>
  <c r="V27" i="2" s="1"/>
  <c r="V82" i="2" l="1"/>
  <c r="V83" i="2"/>
  <c r="AK17" i="2"/>
  <c r="AL17" i="2" s="1"/>
  <c r="AM17" i="2" s="1"/>
  <c r="V98" i="2"/>
  <c r="AG14" i="2"/>
  <c r="AH14" i="2"/>
  <c r="AI14" i="2" s="1"/>
  <c r="AJ14" i="2" s="1"/>
  <c r="AK14" i="2" s="1"/>
  <c r="AL14" i="2" s="1"/>
  <c r="V24" i="2"/>
  <c r="AC9" i="2"/>
  <c r="V10" i="2"/>
  <c r="V29" i="2" s="1"/>
  <c r="AC13" i="2"/>
  <c r="AC12" i="2"/>
  <c r="AC36" i="2" s="1"/>
  <c r="U82" i="2"/>
  <c r="S83" i="2"/>
  <c r="Q24" i="2"/>
  <c r="T82" i="2"/>
  <c r="R83" i="2"/>
  <c r="S27" i="2"/>
  <c r="AC6" i="2"/>
  <c r="M24" i="2"/>
  <c r="M36" i="2"/>
  <c r="N36" i="2"/>
  <c r="N27" i="2"/>
  <c r="AB29" i="2"/>
  <c r="AB16" i="2"/>
  <c r="O36" i="2"/>
  <c r="O27" i="2"/>
  <c r="S70" i="2"/>
  <c r="S71" i="2" s="1"/>
  <c r="S81" i="2" s="1"/>
  <c r="R36" i="2"/>
  <c r="R24" i="2"/>
  <c r="R27" i="2"/>
  <c r="K10" i="2"/>
  <c r="K16" i="2" s="1"/>
  <c r="K18" i="2" s="1"/>
  <c r="K20" i="2" s="1"/>
  <c r="S36" i="2"/>
  <c r="S24" i="2"/>
  <c r="U36" i="2"/>
  <c r="U27" i="2"/>
  <c r="U75" i="2"/>
  <c r="U79" i="2" s="1"/>
  <c r="U83" i="2" s="1"/>
  <c r="C10" i="2"/>
  <c r="C16" i="2" s="1"/>
  <c r="C18" i="2" s="1"/>
  <c r="C20" i="2" s="1"/>
  <c r="D10" i="2"/>
  <c r="D16" i="2" s="1"/>
  <c r="D18" i="2" s="1"/>
  <c r="D20" i="2" s="1"/>
  <c r="P36" i="2"/>
  <c r="P27" i="2"/>
  <c r="Q36" i="2"/>
  <c r="Q27" i="2"/>
  <c r="T70" i="2"/>
  <c r="T71" i="2" s="1"/>
  <c r="T81" i="2" s="1"/>
  <c r="T24" i="2"/>
  <c r="T36" i="2"/>
  <c r="T27" i="2"/>
  <c r="O10" i="2"/>
  <c r="S10" i="2"/>
  <c r="U81" i="2"/>
  <c r="P10" i="2"/>
  <c r="T10" i="2"/>
  <c r="E10" i="2"/>
  <c r="E16" i="2" s="1"/>
  <c r="E18" i="2" s="1"/>
  <c r="E20" i="2" s="1"/>
  <c r="G10" i="2"/>
  <c r="G16" i="2" s="1"/>
  <c r="G18" i="2" s="1"/>
  <c r="G20" i="2" s="1"/>
  <c r="H10" i="2"/>
  <c r="H16" i="2" s="1"/>
  <c r="H18" i="2" s="1"/>
  <c r="H20" i="2" s="1"/>
  <c r="N10" i="2"/>
  <c r="N29" i="2" s="1"/>
  <c r="R10" i="2"/>
  <c r="F10" i="2"/>
  <c r="F16" i="2" s="1"/>
  <c r="F18" i="2" s="1"/>
  <c r="F20" i="2" s="1"/>
  <c r="I10" i="2"/>
  <c r="I16" i="2" s="1"/>
  <c r="I18" i="2" s="1"/>
  <c r="I20" i="2" s="1"/>
  <c r="I21" i="2" s="1"/>
  <c r="U24" i="2"/>
  <c r="U10" i="2"/>
  <c r="Q10" i="2"/>
  <c r="Q29" i="2" s="1"/>
  <c r="J10" i="2"/>
  <c r="J16" i="2" s="1"/>
  <c r="J18" i="2" s="1"/>
  <c r="J20" i="2" s="1"/>
  <c r="L10" i="2"/>
  <c r="L16" i="2" s="1"/>
  <c r="L18" i="2" s="1"/>
  <c r="L20" i="2" s="1"/>
  <c r="M10" i="2"/>
  <c r="N16" i="2" l="1"/>
  <c r="AC10" i="2"/>
  <c r="AC29" i="2" s="1"/>
  <c r="AD6" i="2"/>
  <c r="AC24" i="2"/>
  <c r="M16" i="2"/>
  <c r="M29" i="2"/>
  <c r="AB18" i="2"/>
  <c r="AB32" i="2"/>
  <c r="AC11" i="2"/>
  <c r="AC15" i="2" s="1"/>
  <c r="V15" i="2"/>
  <c r="V16" i="2" s="1"/>
  <c r="V32" i="2" s="1"/>
  <c r="AM14" i="2"/>
  <c r="N18" i="2"/>
  <c r="N32" i="2"/>
  <c r="R16" i="2"/>
  <c r="R29" i="2"/>
  <c r="O16" i="2"/>
  <c r="O29" i="2"/>
  <c r="P16" i="2"/>
  <c r="P29" i="2"/>
  <c r="T16" i="2"/>
  <c r="T29" i="2"/>
  <c r="S16" i="2"/>
  <c r="S29" i="2"/>
  <c r="U16" i="2"/>
  <c r="U29" i="2"/>
  <c r="Q16" i="2"/>
  <c r="AC16" i="2" l="1"/>
  <c r="AC32" i="2" s="1"/>
  <c r="AB20" i="2"/>
  <c r="AB34" i="2"/>
  <c r="AC18" i="2"/>
  <c r="M18" i="2"/>
  <c r="M32" i="2"/>
  <c r="V18" i="2"/>
  <c r="AE6" i="2"/>
  <c r="AD13" i="2"/>
  <c r="AD9" i="2"/>
  <c r="AD10" i="2" s="1"/>
  <c r="AD12" i="2"/>
  <c r="AD11" i="2"/>
  <c r="R18" i="2"/>
  <c r="R32" i="2"/>
  <c r="N20" i="2"/>
  <c r="N34" i="2"/>
  <c r="S18" i="2"/>
  <c r="S32" i="2"/>
  <c r="T18" i="2"/>
  <c r="T32" i="2"/>
  <c r="P18" i="2"/>
  <c r="P32" i="2"/>
  <c r="O18" i="2"/>
  <c r="O32" i="2"/>
  <c r="Q18" i="2"/>
  <c r="Q32" i="2"/>
  <c r="U18" i="2"/>
  <c r="U32" i="2"/>
  <c r="AD15" i="2" l="1"/>
  <c r="AC19" i="2"/>
  <c r="V34" i="2"/>
  <c r="V20" i="2"/>
  <c r="V33" i="2" s="1"/>
  <c r="M20" i="2"/>
  <c r="M34" i="2"/>
  <c r="AD16" i="2"/>
  <c r="AE12" i="2"/>
  <c r="AE9" i="2"/>
  <c r="AE10" i="2" s="1"/>
  <c r="AF6" i="2"/>
  <c r="AE11" i="2"/>
  <c r="AE13" i="2"/>
  <c r="AB85" i="2"/>
  <c r="AB21" i="2"/>
  <c r="AB84" i="2" s="1"/>
  <c r="AB33" i="2"/>
  <c r="N21" i="2"/>
  <c r="N33" i="2"/>
  <c r="R20" i="2"/>
  <c r="R34" i="2"/>
  <c r="O20" i="2"/>
  <c r="O34" i="2"/>
  <c r="P20" i="2"/>
  <c r="P34" i="2"/>
  <c r="T20" i="2"/>
  <c r="T34" i="2"/>
  <c r="S20" i="2"/>
  <c r="S34" i="2"/>
  <c r="U20" i="2"/>
  <c r="U34" i="2"/>
  <c r="Q20" i="2"/>
  <c r="Q34" i="2"/>
  <c r="S85" i="2" l="1"/>
  <c r="T85" i="2"/>
  <c r="V85" i="2"/>
  <c r="AC20" i="2"/>
  <c r="AC34" i="2"/>
  <c r="V21" i="2"/>
  <c r="AD18" i="2"/>
  <c r="AD32" i="2"/>
  <c r="AF9" i="2"/>
  <c r="AF10" i="2" s="1"/>
  <c r="AF11" i="2"/>
  <c r="AF13" i="2"/>
  <c r="AF12" i="2"/>
  <c r="AG6" i="2"/>
  <c r="R85" i="2"/>
  <c r="AE15" i="2"/>
  <c r="AE16" i="2" s="1"/>
  <c r="M33" i="2"/>
  <c r="M21" i="2"/>
  <c r="U85" i="2"/>
  <c r="R21" i="2"/>
  <c r="R33" i="2"/>
  <c r="S21" i="2"/>
  <c r="S33" i="2"/>
  <c r="T21" i="2"/>
  <c r="T33" i="2"/>
  <c r="P21" i="2"/>
  <c r="P33" i="2"/>
  <c r="O21" i="2"/>
  <c r="O33" i="2"/>
  <c r="Q21" i="2"/>
  <c r="Q33" i="2"/>
  <c r="U21" i="2"/>
  <c r="U33" i="2"/>
  <c r="T84" i="2" l="1"/>
  <c r="C36" i="1"/>
  <c r="V84" i="2"/>
  <c r="AC21" i="2"/>
  <c r="AC33" i="2"/>
  <c r="AG13" i="2"/>
  <c r="AG12" i="2"/>
  <c r="AH6" i="2"/>
  <c r="AG11" i="2"/>
  <c r="AG9" i="2"/>
  <c r="AG10" i="2" s="1"/>
  <c r="R84" i="2"/>
  <c r="AF15" i="2"/>
  <c r="AF16" i="2" s="1"/>
  <c r="S84" i="2"/>
  <c r="AE18" i="2"/>
  <c r="AE19" i="2" s="1"/>
  <c r="AE20" i="2" s="1"/>
  <c r="AE32" i="2"/>
  <c r="AD19" i="2"/>
  <c r="AD20" i="2" s="1"/>
  <c r="U84" i="2"/>
  <c r="C8" i="1"/>
  <c r="C34" i="1" s="1"/>
  <c r="C11" i="1"/>
  <c r="AP26" i="2" s="1"/>
  <c r="AG15" i="2" l="1"/>
  <c r="AD33" i="2"/>
  <c r="AD21" i="2"/>
  <c r="AF18" i="2"/>
  <c r="AF19" i="2" s="1"/>
  <c r="AF20" i="2" s="1"/>
  <c r="AF32" i="2"/>
  <c r="AG16" i="2"/>
  <c r="AH11" i="2"/>
  <c r="AH12" i="2"/>
  <c r="AH9" i="2"/>
  <c r="AH10" i="2" s="1"/>
  <c r="AI6" i="2"/>
  <c r="AH13" i="2"/>
  <c r="AE33" i="2"/>
  <c r="AE21" i="2"/>
  <c r="C12" i="1"/>
  <c r="AH15" i="2" l="1"/>
  <c r="C37" i="1"/>
  <c r="C35" i="1"/>
  <c r="AH16" i="2"/>
  <c r="AG18" i="2"/>
  <c r="AG19" i="2" s="1"/>
  <c r="AG20" i="2" s="1"/>
  <c r="AG32" i="2"/>
  <c r="AF21" i="2"/>
  <c r="AF33" i="2"/>
  <c r="AI11" i="2"/>
  <c r="AI9" i="2"/>
  <c r="AI10" i="2" s="1"/>
  <c r="AI13" i="2"/>
  <c r="AJ6" i="2"/>
  <c r="AI12" i="2"/>
  <c r="AI15" i="2" l="1"/>
  <c r="AI16" i="2" s="1"/>
  <c r="AG21" i="2"/>
  <c r="AG33" i="2"/>
  <c r="AJ11" i="2"/>
  <c r="AJ12" i="2"/>
  <c r="AJ13" i="2"/>
  <c r="AK6" i="2"/>
  <c r="AJ9" i="2"/>
  <c r="AJ10" i="2" s="1"/>
  <c r="AH32" i="2"/>
  <c r="AH18" i="2"/>
  <c r="AH19" i="2" s="1"/>
  <c r="AH20" i="2" s="1"/>
  <c r="AI18" i="2"/>
  <c r="AI19" i="2" s="1"/>
  <c r="AI20" i="2" s="1"/>
  <c r="AI32" i="2"/>
  <c r="AK11" i="2" l="1"/>
  <c r="AK9" i="2"/>
  <c r="AK10" i="2" s="1"/>
  <c r="AK12" i="2"/>
  <c r="AK13" i="2"/>
  <c r="AL6" i="2"/>
  <c r="AJ15" i="2"/>
  <c r="AJ16" i="2" s="1"/>
  <c r="AI33" i="2"/>
  <c r="AI21" i="2"/>
  <c r="AH21" i="2"/>
  <c r="AH33" i="2"/>
  <c r="AL11" i="2" l="1"/>
  <c r="AL12" i="2"/>
  <c r="AL9" i="2"/>
  <c r="AL10" i="2" s="1"/>
  <c r="AL13" i="2"/>
  <c r="AM6" i="2"/>
  <c r="AJ32" i="2"/>
  <c r="AJ18" i="2"/>
  <c r="AJ19" i="2" s="1"/>
  <c r="AJ20" i="2" s="1"/>
  <c r="AK15" i="2"/>
  <c r="AK16" i="2" s="1"/>
  <c r="AK32" i="2" l="1"/>
  <c r="AK18" i="2"/>
  <c r="AK19" i="2" s="1"/>
  <c r="AK20" i="2" s="1"/>
  <c r="AJ33" i="2"/>
  <c r="AJ21" i="2"/>
  <c r="AM11" i="2"/>
  <c r="AM13" i="2"/>
  <c r="AM12" i="2"/>
  <c r="AM9" i="2"/>
  <c r="AM10" i="2" s="1"/>
  <c r="AL15" i="2"/>
  <c r="AL16" i="2" s="1"/>
  <c r="AM15" i="2" l="1"/>
  <c r="AL18" i="2"/>
  <c r="AL19" i="2" s="1"/>
  <c r="AL20" i="2" s="1"/>
  <c r="AL32" i="2"/>
  <c r="AM16" i="2"/>
  <c r="AK21" i="2"/>
  <c r="AK33" i="2"/>
  <c r="AM18" i="2" l="1"/>
  <c r="AM19" i="2" s="1"/>
  <c r="AM20" i="2" s="1"/>
  <c r="AM32" i="2"/>
  <c r="AL33" i="2"/>
  <c r="AL21" i="2"/>
  <c r="AN20" i="2" l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BP20" i="2" s="1"/>
  <c r="BQ20" i="2" s="1"/>
  <c r="BR20" i="2" s="1"/>
  <c r="BS20" i="2" s="1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CD20" i="2" s="1"/>
  <c r="CE20" i="2" s="1"/>
  <c r="CF20" i="2" s="1"/>
  <c r="CG20" i="2" s="1"/>
  <c r="CH20" i="2" s="1"/>
  <c r="CI20" i="2" s="1"/>
  <c r="AP25" i="2" s="1"/>
  <c r="AP27" i="2" s="1"/>
  <c r="AP28" i="2" s="1"/>
  <c r="AP30" i="2" s="1"/>
  <c r="AM21" i="2"/>
  <c r="AM3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Charlie George</author>
  </authors>
  <commentList>
    <comment ref="T22" authorId="0" shapeId="0" xr:uid="{F295F52E-E1C1-874B-B243-216813FEA568}">
      <text>
        <r>
          <rPr>
            <b/>
            <sz val="10"/>
            <color rgb="FF000000"/>
            <rFont val="Tahoma"/>
            <family val="2"/>
          </rPr>
          <t>Charlie George: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10:1 Stock Split</t>
        </r>
      </text>
    </comment>
  </commentList>
</comments>
</file>

<file path=xl/sharedStrings.xml><?xml version="1.0" encoding="utf-8"?>
<sst xmlns="http://schemas.openxmlformats.org/spreadsheetml/2006/main" count="207" uniqueCount="156">
  <si>
    <t>$SHOP</t>
  </si>
  <si>
    <t>Shopify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</si>
  <si>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</si>
  <si>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</si>
  <si>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</si>
  <si>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</si>
  <si>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</si>
  <si>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</si>
  <si>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</si>
  <si>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</si>
  <si>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</si>
  <si>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</si>
  <si>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</si>
  <si>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</si>
  <si>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CTO</t>
  </si>
  <si>
    <t>Profile</t>
  </si>
  <si>
    <t>HQ</t>
  </si>
  <si>
    <t>Founded</t>
  </si>
  <si>
    <t>IPO</t>
  </si>
  <si>
    <t>Update</t>
  </si>
  <si>
    <t>IR</t>
  </si>
  <si>
    <t>Valuation Metrics</t>
  </si>
  <si>
    <t>P/B</t>
  </si>
  <si>
    <t>P/S</t>
  </si>
  <si>
    <t>EV/S</t>
  </si>
  <si>
    <t>P/E</t>
  </si>
  <si>
    <t>EV/E</t>
  </si>
  <si>
    <t>ROCE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</si>
  <si>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</si>
  <si>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</si>
  <si>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</si>
  <si>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</si>
  <si>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</si>
  <si>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</si>
  <si>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</si>
  <si>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</si>
  <si>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</si>
  <si>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</si>
  <si>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</si>
  <si>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</si>
  <si>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</si>
  <si>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</si>
  <si>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</si>
  <si>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</si>
  <si>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</si>
  <si>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</si>
  <si>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</si>
  <si>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</si>
  <si>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</si>
  <si>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</si>
  <si>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</si>
  <si>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</si>
  <si>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</si>
  <si>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</si>
  <si>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</si>
  <si>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</si>
  <si>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</si>
  <si>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</si>
  <si>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</si>
  <si>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</si>
  <si>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</si>
  <si>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</si>
  <si>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</si>
  <si>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</si>
  <si>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Key Events</t>
  </si>
  <si>
    <t>Founder</t>
  </si>
  <si>
    <t>Tobias Lutke</t>
  </si>
  <si>
    <t>Allan Leinwand</t>
  </si>
  <si>
    <t>Jeff Hoffmeister</t>
  </si>
  <si>
    <t>Kaz Nejatian</t>
  </si>
  <si>
    <t>Ottowa, Canada</t>
  </si>
  <si>
    <t>Subscription Revenue</t>
  </si>
  <si>
    <t>Merchant Revenue</t>
  </si>
  <si>
    <t>Revenue</t>
  </si>
  <si>
    <t>Subscription COGS</t>
  </si>
  <si>
    <t>Merchant COGS</t>
  </si>
  <si>
    <t>COGS</t>
  </si>
  <si>
    <t>Gross Profit</t>
  </si>
  <si>
    <t>S&amp;M</t>
  </si>
  <si>
    <t>R&amp;D</t>
  </si>
  <si>
    <t>G&amp;A</t>
  </si>
  <si>
    <t>Transaction &amp; Loan Losses</t>
  </si>
  <si>
    <t>Operating Expenses</t>
  </si>
  <si>
    <t>Operating Income</t>
  </si>
  <si>
    <t>Other Income, Net</t>
  </si>
  <si>
    <t>Pretax Income</t>
  </si>
  <si>
    <t>Taxes</t>
  </si>
  <si>
    <t>Net Income</t>
  </si>
  <si>
    <t>EPS</t>
  </si>
  <si>
    <t>Revenue Y/Y</t>
  </si>
  <si>
    <t>Subscription Y/Y</t>
  </si>
  <si>
    <t>Merchant Y/Y</t>
  </si>
  <si>
    <t>Revenue Q/Q</t>
  </si>
  <si>
    <t>Gross Margin</t>
  </si>
  <si>
    <t>Operating Margin</t>
  </si>
  <si>
    <t>Net Margin</t>
  </si>
  <si>
    <t>Tax Rate</t>
  </si>
  <si>
    <t>R&amp;D Budget</t>
  </si>
  <si>
    <t>Balance Sheet</t>
  </si>
  <si>
    <t>Cashflow Statement</t>
  </si>
  <si>
    <t>CFFO</t>
  </si>
  <si>
    <t>CapEx</t>
  </si>
  <si>
    <t>CFFI</t>
  </si>
  <si>
    <t>FCF</t>
  </si>
  <si>
    <t>Shopify POS</t>
  </si>
  <si>
    <t>SaaS Model</t>
  </si>
  <si>
    <t>Merchant Sales</t>
  </si>
  <si>
    <t>Business Model</t>
  </si>
  <si>
    <t>In-person physical retail POS system</t>
  </si>
  <si>
    <t>connected to the Shopify platform</t>
  </si>
  <si>
    <t>Subscription Gross Margin</t>
  </si>
  <si>
    <t>Merchant Gross Margin</t>
  </si>
  <si>
    <t>Marketable Securities</t>
  </si>
  <si>
    <t>Trade &amp; A/R</t>
  </si>
  <si>
    <t>Merchant Cash Advances</t>
  </si>
  <si>
    <t>Income Tax Receivables</t>
  </si>
  <si>
    <t>Other Current Assets</t>
  </si>
  <si>
    <t>TCA</t>
  </si>
  <si>
    <t>PP&amp;E</t>
  </si>
  <si>
    <t>ROU</t>
  </si>
  <si>
    <t>Intangibles</t>
  </si>
  <si>
    <t>Deferred Taxes</t>
  </si>
  <si>
    <t>Equity &amp; Other Investments</t>
  </si>
  <si>
    <t>Goodwill</t>
  </si>
  <si>
    <t>Assets</t>
  </si>
  <si>
    <t>A/P</t>
  </si>
  <si>
    <t>Income Tax Payable</t>
  </si>
  <si>
    <t>Deferred Revenues</t>
  </si>
  <si>
    <t>Lease Liabilities</t>
  </si>
  <si>
    <t>TCL</t>
  </si>
  <si>
    <t>Convertible Senior Notes</t>
  </si>
  <si>
    <t>Liabilities</t>
  </si>
  <si>
    <t>S/E</t>
  </si>
  <si>
    <t>S/E+L</t>
  </si>
  <si>
    <t>Book Value</t>
  </si>
  <si>
    <t>Book Value per Share</t>
  </si>
  <si>
    <t>Share Price</t>
  </si>
  <si>
    <t>MCAP</t>
  </si>
  <si>
    <t>3-Tier subscription model to host eCommerce</t>
  </si>
  <si>
    <t>Purchase of Marketable Securities</t>
  </si>
  <si>
    <t>Matuirity of Marketable Securities</t>
  </si>
  <si>
    <t>Purchase of Equity &amp; Other Investments</t>
  </si>
  <si>
    <t>Acquistiions of PP&amp;E</t>
  </si>
  <si>
    <t>Acquistiions of Businesses</t>
  </si>
  <si>
    <t>Shopify complete a 10:1 share split after share price touches $1,000</t>
  </si>
  <si>
    <t>Maturity Rate</t>
  </si>
  <si>
    <t>Discount Rate</t>
  </si>
  <si>
    <t>NPV</t>
  </si>
  <si>
    <t>Total Value</t>
  </si>
  <si>
    <t>Per Share</t>
  </si>
  <si>
    <t>Current Share Price</t>
  </si>
  <si>
    <t>Upside</t>
  </si>
  <si>
    <t>(Projected)</t>
  </si>
  <si>
    <t>312/12/2022</t>
  </si>
  <si>
    <t>-</t>
  </si>
  <si>
    <t>Q123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</si>
</sst>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\x"/>
    <numFmt numFmtId="166" formatCode="#,##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i/>
      <sz val="10"/>
      <color theme="1"/>
      <name val="Arial"/>
      <family val="2"/>
    </font>
    <font>
      <b/>
      <i/>
      <sz val="8"/>
      <color theme="1" tint="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1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1" fillId="4" borderId="0" xfId="0" applyFont="1" applyFill="1"/>
    <xf numFmtId="0" fontId="2" fillId="4" borderId="0" xfId="0" applyFont="1" applyFill="1"/>
    <xf numFmtId="0" fontId="2" fillId="4" borderId="4" xfId="0" applyFont="1" applyFill="1" applyBorder="1" applyAlignment="1">
      <alignment horizontal="center"/>
    </xf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/>
    <xf numFmtId="3" fontId="1" fillId="0" borderId="0" xfId="0" applyNumberFormat="1" applyFont="1"/>
    <xf numFmtId="3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7" fillId="0" borderId="0" xfId="1" applyFont="1" applyAlignment="1">
      <alignment horizontal="right"/>
    </xf>
    <xf numFmtId="17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1" fillId="0" borderId="0" xfId="0" applyFont="1" applyAlignment="1">
      <alignment horizontal="left" indent="1"/>
    </xf>
    <xf numFmtId="0" fontId="8" fillId="0" borderId="0" xfId="0" applyFont="1"/>
    <xf numFmtId="2" fontId="1" fillId="0" borderId="0" xfId="0" applyNumberFormat="1" applyFont="1"/>
    <xf numFmtId="164" fontId="8" fillId="0" borderId="0" xfId="0" applyNumberFormat="1" applyFont="1" applyAlignment="1">
      <alignment horizontal="left" indent="1"/>
    </xf>
    <xf numFmtId="164" fontId="8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4" fontId="1" fillId="0" borderId="0" xfId="0" applyNumberFormat="1" applyFont="1"/>
    <xf numFmtId="0" fontId="9" fillId="0" borderId="0" xfId="0" applyFont="1"/>
    <xf numFmtId="0" fontId="1" fillId="4" borderId="0" xfId="0" applyFont="1" applyFill="1" applyAlignment="1">
      <alignment horizontal="left" indent="1"/>
    </xf>
    <xf numFmtId="0" fontId="1" fillId="4" borderId="0" xfId="0" applyFont="1" applyFill="1" applyAlignment="1">
      <alignment horizontal="left" indent="2"/>
    </xf>
    <xf numFmtId="9" fontId="8" fillId="0" borderId="0" xfId="0" applyNumberFormat="1" applyFont="1" applyAlignment="1">
      <alignment horizontal="left" indent="1"/>
    </xf>
    <xf numFmtId="9" fontId="8" fillId="0" borderId="0" xfId="0" applyNumberFormat="1" applyFont="1"/>
    <xf numFmtId="17" fontId="1" fillId="4" borderId="5" xfId="0" applyNumberFormat="1" applyFont="1" applyFill="1" applyBorder="1" applyAlignment="1">
      <alignment horizontal="center"/>
    </xf>
    <xf numFmtId="165" fontId="1" fillId="0" borderId="0" xfId="0" applyNumberFormat="1" applyFont="1"/>
    <xf numFmtId="17" fontId="2" fillId="3" borderId="4" xfId="0" applyNumberFormat="1" applyFont="1" applyFill="1" applyBorder="1" applyAlignment="1">
      <alignment horizontal="center"/>
    </xf>
    <xf numFmtId="166" fontId="2" fillId="0" borderId="0" xfId="0" applyNumberFormat="1" applyFont="1"/>
    <xf numFmtId="164" fontId="8" fillId="5" borderId="0" xfId="0" applyNumberFormat="1" applyFont="1" applyFill="1"/>
    <xf numFmtId="9" fontId="8" fillId="5" borderId="0" xfId="0" applyNumberFormat="1" applyFont="1" applyFill="1"/>
    <xf numFmtId="0" fontId="8" fillId="5" borderId="0" xfId="0" applyFont="1" applyFill="1"/>
    <xf numFmtId="0" fontId="12" fillId="5" borderId="0" xfId="0" applyFont="1" applyFill="1" applyAlignment="1">
      <alignment horizontal="right"/>
    </xf>
    <xf numFmtId="0" fontId="13" fillId="5" borderId="0" xfId="0" applyFont="1" applyFill="1" applyAlignment="1">
      <alignment horizontal="right"/>
    </xf>
    <xf numFmtId="164" fontId="12" fillId="5" borderId="0" xfId="0" applyNumberFormat="1" applyFont="1" applyFill="1"/>
    <xf numFmtId="0" fontId="12" fillId="5" borderId="0" xfId="0" applyFont="1" applyFill="1"/>
    <xf numFmtId="9" fontId="12" fillId="5" borderId="0" xfId="0" applyNumberFormat="1" applyFont="1" applyFill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164" fontId="12" fillId="0" borderId="0" xfId="0" applyNumberFormat="1" applyFont="1"/>
    <xf numFmtId="9" fontId="12" fillId="0" borderId="0" xfId="0" applyNumberFormat="1" applyFont="1"/>
    <xf numFmtId="0" fontId="12" fillId="0" borderId="0" xfId="0" applyFont="1"/>
    <xf numFmtId="4" fontId="8" fillId="0" borderId="0" xfId="0" applyNumberFormat="1" applyFont="1"/>
    <xf numFmtId="0" fontId="1" fillId="3" borderId="1" xfId="0" applyFont="1" applyFill="1" applyBorder="1"/>
    <xf numFmtId="0" fontId="1" fillId="3" borderId="4" xfId="0" applyFont="1" applyFill="1" applyBorder="1"/>
    <xf numFmtId="9" fontId="1" fillId="3" borderId="4" xfId="0" applyNumberFormat="1" applyFont="1" applyFill="1" applyBorder="1"/>
    <xf numFmtId="9" fontId="1" fillId="0" borderId="5" xfId="0" applyNumberFormat="1" applyFont="1" applyBorder="1"/>
    <xf numFmtId="9" fontId="1" fillId="3" borderId="6" xfId="0" applyNumberFormat="1" applyFont="1" applyFill="1" applyBorder="1"/>
    <xf numFmtId="9" fontId="1" fillId="0" borderId="8" xfId="0" applyNumberFormat="1" applyFont="1" applyBorder="1"/>
    <xf numFmtId="9" fontId="1" fillId="0" borderId="3" xfId="0" applyNumberFormat="1" applyFont="1" applyBorder="1"/>
    <xf numFmtId="164" fontId="1" fillId="0" borderId="5" xfId="0" applyNumberFormat="1" applyFont="1" applyBorder="1"/>
    <xf numFmtId="3" fontId="1" fillId="0" borderId="5" xfId="0" applyNumberFormat="1" applyFont="1" applyBorder="1"/>
    <xf numFmtId="2" fontId="2" fillId="0" borderId="5" xfId="0" applyNumberFormat="1" applyFont="1" applyBorder="1"/>
    <xf numFmtId="4" fontId="1" fillId="0" borderId="5" xfId="0" applyNumberFormat="1" applyFont="1" applyBorder="1"/>
    <xf numFmtId="2" fontId="8" fillId="0" borderId="0" xfId="0" applyNumberFormat="1" applyFont="1"/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165" fontId="1" fillId="4" borderId="0" xfId="0" applyNumberFormat="1" applyFont="1" applyFill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2" borderId="0" xfId="0" applyFont="1" applyFill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  <xf numFmtId="0" fontId="1" fillId="4" borderId="0" xfId="0" applyFont="1" applyFill="1"/>
    <xf numFmtId="0" fontId="1" fillId="4" borderId="5" xfId="0" applyFont="1" applyFill="1" applyBorder="1"/>
    <xf numFmtId="0" fontId="12" fillId="0" borderId="0" xfId="0" applyFont="1" applyFill="1" applyAlignment="1">
      <alignment horizontal="right"/>
    </xf>
    <xf numFmtId="14" fontId="13" fillId="0" borderId="0" xfId="0" applyNumberFormat="1" applyFont="1" applyFill="1" applyAlignment="1">
      <alignment horizontal="right"/>
    </xf>
    <xf numFmtId="17" fontId="13" fillId="0" borderId="0" xfId="0" applyNumberFormat="1" applyFont="1" applyFill="1" applyAlignment="1">
      <alignment horizontal="right"/>
    </xf>
    <xf numFmtId="164" fontId="8" fillId="0" borderId="0" xfId="0" applyNumberFormat="1" applyFont="1" applyFill="1"/>
    <xf numFmtId="164" fontId="12" fillId="0" borderId="0" xfId="0" applyNumberFormat="1" applyFont="1" applyFill="1"/>
    <xf numFmtId="2" fontId="8" fillId="0" borderId="0" xfId="0" applyNumberFormat="1" applyFont="1" applyFill="1"/>
    <xf numFmtId="0" fontId="8" fillId="0" borderId="0" xfId="0" applyFont="1" applyFill="1"/>
    <xf numFmtId="9" fontId="12" fillId="0" borderId="0" xfId="0" applyNumberFormat="1" applyFont="1" applyFill="1"/>
    <xf numFmtId="9" fontId="8" fillId="0" borderId="0" xfId="0" applyNumberFormat="1" applyFont="1" applyFill="1"/>
    <xf numFmtId="0" fontId="12" fillId="0" borderId="0" xfId="0" applyFont="1" applyFill="1"/>
    <xf numFmtId="164" fontId="1" fillId="5" borderId="0" xfId="0" applyNumberFormat="1" applyFont="1" applyFill="1"/>
    <xf numFmtId="4" fontId="8" fillId="5" borderId="0" xfId="0" applyNumberFormat="1" applyFont="1" applyFill="1"/>
    <xf numFmtId="9" fontId="1" fillId="5" borderId="0" xfId="0" applyNumberFormat="1" applyFont="1" applyFill="1"/>
    <xf numFmtId="0" fontId="2" fillId="5" borderId="0" xfId="0" applyFont="1" applyFill="1" applyAlignment="1">
      <alignment horizontal="right"/>
    </xf>
    <xf numFmtId="0" fontId="5" fillId="5" borderId="0" xfId="0" applyFont="1" applyFill="1" applyAlignment="1">
      <alignment horizontal="right"/>
    </xf>
    <xf numFmtId="17" fontId="5" fillId="5" borderId="0" xfId="0" applyNumberFormat="1" applyFont="1" applyFill="1" applyAlignment="1">
      <alignment horizontal="right"/>
    </xf>
    <xf numFmtId="164" fontId="2" fillId="5" borderId="0" xfId="0" applyNumberFormat="1" applyFont="1" applyFill="1"/>
    <xf numFmtId="2" fontId="1" fillId="5" borderId="0" xfId="0" applyNumberFormat="1" applyFont="1" applyFill="1"/>
    <xf numFmtId="0" fontId="1" fillId="5" borderId="0" xfId="0" applyFont="1" applyFill="1"/>
    <xf numFmtId="9" fontId="2" fillId="5" borderId="0" xfId="0" applyNumberFormat="1" applyFont="1" applyFill="1"/>
    <xf numFmtId="0" fontId="1" fillId="6" borderId="0" xfId="0" applyFont="1" applyFill="1"/>
    <xf numFmtId="164" fontId="8" fillId="6" borderId="0" xfId="0" applyNumberFormat="1" applyFont="1" applyFill="1"/>
    <xf numFmtId="164" fontId="2" fillId="6" borderId="0" xfId="0" applyNumberFormat="1" applyFont="1" applyFill="1"/>
    <xf numFmtId="164" fontId="1" fillId="6" borderId="0" xfId="0" applyNumberFormat="1" applyFont="1" applyFill="1"/>
    <xf numFmtId="2" fontId="1" fillId="6" borderId="0" xfId="0" applyNumberFormat="1" applyFont="1" applyFill="1"/>
    <xf numFmtId="9" fontId="2" fillId="6" borderId="0" xfId="0" applyNumberFormat="1" applyFont="1" applyFill="1"/>
    <xf numFmtId="9" fontId="1" fillId="6" borderId="0" xfId="0" applyNumberFormat="1" applyFont="1" applyFill="1"/>
    <xf numFmtId="9" fontId="8" fillId="6" borderId="0" xfId="0" applyNumberFormat="1" applyFont="1" applyFill="1"/>
    <xf numFmtId="0" fontId="2" fillId="6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4" fontId="1" fillId="5" borderId="0" xfId="0" applyNumberFormat="1" applyFont="1" applyFill="1"/>
    <xf numFmtId="0" fontId="2" fillId="5" borderId="0" xfId="0" applyFont="1" applyFill="1"/>
    <xf numFmtId="0" fontId="8" fillId="0" borderId="0" xfId="0" applyFon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600075</xdr:colOff>
      <xdr:row>0</xdr:row>
      <xdr:rowOff>0</xdr:rowOff>
    </xdr:from>
    <xdr:to>
      <xdr:col>4</xdr:col>
      <xdr:colOff>561975</xdr:colOff>
      <xdr:row>3</xdr:row>
      <xdr:rowOff>134302</xdr:rowOff>
    </xdr:to>
    <xdr:pic>
      <xdr:nvPicPr>
        <xdr:cNvPr id="2" name="Picture 1" descr="Shopify Reviews 2023: Details, Pricing, &amp; Features | G2">
          <a:extLst>
            <a:ext uri="{FF2B5EF4-FFF2-40B4-BE49-F238E27FC236}">
              <a16:creationId xmlns:a16="http://schemas.microsoft.com/office/drawing/2014/main" id="{BAD20166-8B39-4BE8-BDBA-22050F997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5" y="0"/>
          <a:ext cx="1181100" cy="620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682625</xdr:colOff>
      <xdr:row>0</xdr:row>
      <xdr:rowOff>0</xdr:rowOff>
    </xdr:from>
    <xdr:to>
      <xdr:col>21</xdr:col>
      <xdr:colOff>682625</xdr:colOff>
      <xdr:row>129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126BAFA-615E-48E1-B724-44563A8700E0}"/>
            </a:ext>
          </a:extLst>
        </xdr:cNvPr>
        <xdr:cNvCxnSpPr/>
      </xdr:nvCxnSpPr>
      <xdr:spPr>
        <a:xfrm>
          <a:off x="16113125" y="0"/>
          <a:ext cx="0" cy="213550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695325</xdr:colOff>
      <xdr:row>0</xdr:row>
      <xdr:rowOff>0</xdr:rowOff>
    </xdr:from>
    <xdr:to>
      <xdr:col>28</xdr:col>
      <xdr:colOff>695325</xdr:colOff>
      <xdr:row>129</xdr:row>
      <xdr:rowOff>57150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AF274CF-C328-4A6B-8D83-99EBC85C9CF7}"/>
            </a:ext>
          </a:extLst>
        </xdr:cNvPr>
        <xdr:cNvCxnSpPr/>
      </xdr:nvCxnSpPr>
      <xdr:spPr>
        <a:xfrm>
          <a:off x="21015325" y="0"/>
          <a:ext cx="0" cy="213550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shopify.com/home/default.asp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v" TargetMode="External"/><Relationship Id="rId7" Type="http://schemas.openxmlformats.org/officeDocument/2006/relationships/hyperlink" Target="https://s27.q4cdn.com/572064924/files/doc_financials/2022/q4/Q4-2022-Press-Release.pdf" TargetMode="External"/><Relationship Id="rId2" Type="http://schemas.openxmlformats.org/officeDocument/2006/relationships/hyperlink" Target="https://s27.q4cdn.com/572064924/files/doc_financials/2022/q2/Press-Release-Q2-2022.pdf" TargetMode="External"/><Relationship Id="rId1" Type="http://schemas.openxmlformats.org/officeDocument/2006/relationships/hyperlink" Target="https://s27.q4cdn.com/572064924/files/doc_financials/2022/q3/Exhibit-99.1-Press-Release-Q3-2022-(FINAL).pdf" TargetMode="External"/><Relationship Id="rId6" Type="http://schemas.openxmlformats.org/officeDocument/2006/relationships/hyperlink" Target="https://s27.q4cdn.com/572064924/files/doc_financials/2020/q3/Press-Release-Q3-2020.pdf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27.q4cdn.com/572064924/files/doc_financials/2021/q4/Exhibit-99-1-Press-Release-Q4-2021.pdf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27.q4cdn.com/572064924/files/doc_financials/2021/q4/Exhibit-99-1-Press-Release-Q4-2021.pdf" TargetMode="External"/><Relationship Id="rId9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F6E83-3251-4909-AC6D-F91B7A570587}">
  <dimension ref="A2:X38"/>
  <sheetViews>
    <sheetView workbookViewId="0">
      <selection activeCell="J17" sqref="J17"/>
    </sheetView>
  </sheetViews>
  <sheetFormatPr baseColWidth="10" defaultColWidth="9.1640625" defaultRowHeight="13" x14ac:dyDescent="0.15"/>
  <cols>
    <col min="1" max="16384" width="9.1640625" style="1"/>
  </cols>
  <sheetData>
    <row r="2" spans="1:24" ht="14" x14ac:dyDescent="0.2">
      <c r="B2" s="2" t="s">
        <v>0</v>
      </c>
      <c r="D2" s="15"/>
    </row>
    <row r="3" spans="1:24" x14ac:dyDescent="0.15">
      <c r="B3" s="2" t="s">
        <v>1</v>
      </c>
    </row>
    <row r="5" spans="1:24" x14ac:dyDescent="0.15">
      <c r="B5" s="74" t="s">
        <v>2</v>
      </c>
      <c r="C5" s="75"/>
      <c r="D5" s="76"/>
      <c r="G5" s="74" t="s">
        <v>64</v>
      </c>
      <c r="H5" s="75"/>
      <c r="I5" s="75"/>
      <c r="J5" s="75"/>
      <c r="K5" s="75"/>
      <c r="L5" s="75"/>
      <c r="M5" s="75"/>
      <c r="N5" s="75"/>
      <c r="O5" s="75"/>
      <c r="P5" s="75"/>
      <c r="Q5" s="76"/>
      <c r="T5" s="83" t="s">
        <v>107</v>
      </c>
      <c r="U5" s="83"/>
      <c r="V5" s="83"/>
      <c r="W5" s="83"/>
      <c r="X5" s="83"/>
    </row>
    <row r="6" spans="1:24" x14ac:dyDescent="0.15">
      <c r="B6" s="3" t="s">
        <v>3</v>
      </c>
      <c r="C6" s="1">
        <v>48.2</v>
      </c>
      <c r="D6" s="18"/>
      <c r="G6" s="12"/>
      <c r="H6" s="5"/>
      <c r="I6" s="5"/>
      <c r="J6" s="5"/>
      <c r="K6" s="5"/>
      <c r="L6" s="5"/>
      <c r="M6" s="5"/>
      <c r="N6" s="5"/>
      <c r="O6" s="5"/>
      <c r="P6" s="5"/>
      <c r="Q6" s="8"/>
      <c r="T6" s="6" t="s">
        <v>104</v>
      </c>
      <c r="U6" s="5"/>
      <c r="V6" s="5"/>
      <c r="W6" s="5"/>
      <c r="X6" s="5"/>
    </row>
    <row r="7" spans="1:24" x14ac:dyDescent="0.15">
      <c r="B7" s="3" t="s">
        <v>4</v>
      </c>
      <c r="C7" s="16">
        <f>'Financial Model'!V22</f>
        <v>1273.338804</v>
      </c>
      <c r="D7" s="18" t="str">
        <f>$C$28</f>
        <v>Q422</v>
      </c>
      <c r="G7" s="12"/>
      <c r="H7" s="5"/>
      <c r="I7" s="5"/>
      <c r="J7" s="5"/>
      <c r="K7" s="5"/>
      <c r="L7" s="5"/>
      <c r="M7" s="5"/>
      <c r="N7" s="5"/>
      <c r="O7" s="5"/>
      <c r="P7" s="5"/>
      <c r="Q7" s="8"/>
      <c r="T7" s="38" t="s">
        <v>108</v>
      </c>
      <c r="U7" s="5"/>
      <c r="V7" s="5"/>
      <c r="W7" s="5"/>
      <c r="X7" s="5"/>
    </row>
    <row r="8" spans="1:24" x14ac:dyDescent="0.15">
      <c r="B8" s="3" t="s">
        <v>5</v>
      </c>
      <c r="C8" s="16">
        <f>C6*C7</f>
        <v>61374.930352800002</v>
      </c>
      <c r="D8" s="18"/>
      <c r="G8" s="12"/>
      <c r="H8" s="5"/>
      <c r="I8" s="5"/>
      <c r="J8" s="5"/>
      <c r="K8" s="5"/>
      <c r="L8" s="5"/>
      <c r="M8" s="5"/>
      <c r="N8" s="5"/>
      <c r="O8" s="5"/>
      <c r="P8" s="5"/>
      <c r="Q8" s="8"/>
      <c r="T8" s="39" t="s">
        <v>109</v>
      </c>
      <c r="U8" s="5"/>
      <c r="V8" s="5"/>
      <c r="W8" s="5"/>
      <c r="X8" s="5"/>
    </row>
    <row r="9" spans="1:24" x14ac:dyDescent="0.15">
      <c r="B9" s="3" t="s">
        <v>6</v>
      </c>
      <c r="C9" s="16">
        <f>'Financial Model'!V73</f>
        <v>5052.95</v>
      </c>
      <c r="D9" s="18" t="str">
        <f t="shared" ref="D9:D11" si="0">$C$28</f>
        <v>Q422</v>
      </c>
      <c r="G9" s="12"/>
      <c r="H9" s="5"/>
      <c r="I9" s="5"/>
      <c r="J9" s="5"/>
      <c r="K9" s="5"/>
      <c r="L9" s="5"/>
      <c r="M9" s="5"/>
      <c r="N9" s="5"/>
      <c r="O9" s="5"/>
      <c r="P9" s="5"/>
      <c r="Q9" s="8"/>
      <c r="T9" s="6" t="s">
        <v>106</v>
      </c>
      <c r="U9" s="5"/>
      <c r="V9" s="5"/>
      <c r="W9" s="5"/>
      <c r="X9" s="5"/>
    </row>
    <row r="10" spans="1:24" x14ac:dyDescent="0.15">
      <c r="B10" s="3" t="s">
        <v>7</v>
      </c>
      <c r="C10" s="16">
        <f>'Financial Model'!V74</f>
        <v>913.31200000000001</v>
      </c>
      <c r="D10" s="18" t="str">
        <f t="shared" si="0"/>
        <v>Q422</v>
      </c>
      <c r="G10" s="12"/>
      <c r="H10" s="5"/>
      <c r="I10" s="5"/>
      <c r="J10" s="5"/>
      <c r="K10" s="5"/>
      <c r="L10" s="5"/>
      <c r="M10" s="5"/>
      <c r="N10" s="5"/>
      <c r="O10" s="5"/>
      <c r="P10" s="5"/>
      <c r="Q10" s="8"/>
      <c r="T10" s="5"/>
      <c r="U10" s="5"/>
      <c r="V10" s="5"/>
      <c r="W10" s="5"/>
      <c r="X10" s="5"/>
    </row>
    <row r="11" spans="1:24" x14ac:dyDescent="0.15">
      <c r="B11" s="3" t="s">
        <v>8</v>
      </c>
      <c r="C11" s="16">
        <f>C9-C10</f>
        <v>4139.6379999999999</v>
      </c>
      <c r="D11" s="18" t="str">
        <f t="shared" si="0"/>
        <v>Q422</v>
      </c>
      <c r="G11" s="12"/>
      <c r="H11" s="5"/>
      <c r="I11" s="5"/>
      <c r="J11" s="5"/>
      <c r="K11" s="5"/>
      <c r="L11" s="5"/>
      <c r="M11" s="5"/>
      <c r="N11" s="5"/>
      <c r="O11" s="5"/>
      <c r="P11" s="5"/>
      <c r="Q11" s="8"/>
      <c r="T11" s="5"/>
      <c r="U11" s="5"/>
      <c r="V11" s="5"/>
      <c r="W11" s="5"/>
      <c r="X11" s="5"/>
    </row>
    <row r="12" spans="1:24" x14ac:dyDescent="0.15">
      <c r="B12" s="4" t="s">
        <v>9</v>
      </c>
      <c r="C12" s="17">
        <f>C8-C11</f>
        <v>57235.292352800003</v>
      </c>
      <c r="D12" s="19"/>
      <c r="G12" s="44">
        <v>44713</v>
      </c>
      <c r="H12" s="5" t="s">
        <v>144</v>
      </c>
      <c r="I12" s="5"/>
      <c r="J12" s="5"/>
      <c r="K12" s="5"/>
      <c r="L12" s="5"/>
      <c r="M12" s="5"/>
      <c r="N12" s="5"/>
      <c r="O12" s="5"/>
      <c r="P12" s="5"/>
      <c r="Q12" s="8"/>
      <c r="T12" s="6" t="s">
        <v>105</v>
      </c>
      <c r="U12" s="5"/>
      <c r="V12" s="5"/>
      <c r="W12" s="5"/>
      <c r="X12" s="5"/>
    </row>
    <row r="13" spans="1:24" x14ac:dyDescent="0.15">
      <c r="G13" s="12"/>
      <c r="H13" s="5"/>
      <c r="I13" s="5"/>
      <c r="J13" s="5"/>
      <c r="K13" s="5"/>
      <c r="L13" s="5"/>
      <c r="M13" s="5"/>
      <c r="N13" s="5"/>
      <c r="O13" s="5"/>
      <c r="P13" s="5"/>
      <c r="Q13" s="8"/>
      <c r="T13" s="38" t="s">
        <v>138</v>
      </c>
      <c r="U13" s="5"/>
      <c r="V13" s="5"/>
      <c r="W13" s="5"/>
      <c r="X13" s="5"/>
    </row>
    <row r="14" spans="1:24" x14ac:dyDescent="0.15">
      <c r="G14" s="12"/>
      <c r="H14" s="5"/>
      <c r="I14" s="5"/>
      <c r="J14" s="5"/>
      <c r="K14" s="5"/>
      <c r="L14" s="5"/>
      <c r="M14" s="5"/>
      <c r="N14" s="5"/>
      <c r="O14" s="5"/>
      <c r="P14" s="5"/>
      <c r="Q14" s="8"/>
      <c r="T14" s="5"/>
      <c r="U14" s="5"/>
      <c r="V14" s="5"/>
      <c r="W14" s="5"/>
      <c r="X14" s="5"/>
    </row>
    <row r="15" spans="1:24" x14ac:dyDescent="0.15">
      <c r="B15" s="74" t="s">
        <v>10</v>
      </c>
      <c r="C15" s="75"/>
      <c r="D15" s="76"/>
      <c r="G15" s="12"/>
      <c r="H15" s="5"/>
      <c r="I15" s="5"/>
      <c r="J15" s="5"/>
      <c r="K15" s="5"/>
      <c r="L15" s="5"/>
      <c r="M15" s="5"/>
      <c r="N15" s="5"/>
      <c r="O15" s="5"/>
      <c r="P15" s="5"/>
      <c r="Q15" s="8"/>
      <c r="T15" s="5"/>
      <c r="U15" s="5"/>
      <c r="V15" s="5"/>
      <c r="W15" s="5"/>
      <c r="X15" s="5"/>
    </row>
    <row r="16" spans="1:24" x14ac:dyDescent="0.15">
      <c r="A16" s="20" t="s">
        <v>65</v>
      </c>
      <c r="B16" s="7" t="s">
        <v>11</v>
      </c>
      <c r="C16" s="77" t="s">
        <v>66</v>
      </c>
      <c r="D16" s="78"/>
      <c r="G16" s="12"/>
      <c r="H16" s="5"/>
      <c r="I16" s="5"/>
      <c r="J16" s="5"/>
      <c r="K16" s="5"/>
      <c r="L16" s="5"/>
      <c r="M16" s="5"/>
      <c r="N16" s="5"/>
      <c r="O16" s="5"/>
      <c r="P16" s="5"/>
      <c r="Q16" s="8"/>
      <c r="T16" s="5"/>
      <c r="U16" s="5"/>
      <c r="V16" s="5"/>
      <c r="W16" s="5"/>
      <c r="X16" s="5"/>
    </row>
    <row r="17" spans="2:17" x14ac:dyDescent="0.15">
      <c r="B17" s="7" t="s">
        <v>12</v>
      </c>
      <c r="C17" s="77" t="s">
        <v>68</v>
      </c>
      <c r="D17" s="78"/>
      <c r="G17" s="12"/>
      <c r="H17" s="5"/>
      <c r="I17" s="5"/>
      <c r="J17" s="5"/>
      <c r="K17" s="5"/>
      <c r="L17" s="5"/>
      <c r="M17" s="5"/>
      <c r="N17" s="5"/>
      <c r="O17" s="5"/>
      <c r="P17" s="5"/>
      <c r="Q17" s="8"/>
    </row>
    <row r="18" spans="2:17" x14ac:dyDescent="0.15">
      <c r="B18" s="7" t="s">
        <v>13</v>
      </c>
      <c r="C18" s="77" t="s">
        <v>69</v>
      </c>
      <c r="D18" s="78"/>
      <c r="G18" s="12"/>
      <c r="H18" s="5"/>
      <c r="I18" s="5"/>
      <c r="J18" s="5"/>
      <c r="K18" s="5"/>
      <c r="L18" s="5"/>
      <c r="M18" s="5"/>
      <c r="N18" s="5"/>
      <c r="O18" s="5"/>
      <c r="P18" s="5"/>
      <c r="Q18" s="8"/>
    </row>
    <row r="19" spans="2:17" x14ac:dyDescent="0.15">
      <c r="B19" s="9" t="s">
        <v>14</v>
      </c>
      <c r="C19" s="72" t="s">
        <v>67</v>
      </c>
      <c r="D19" s="73"/>
      <c r="G19" s="12"/>
      <c r="H19" s="5"/>
      <c r="I19" s="5"/>
      <c r="J19" s="5"/>
      <c r="K19" s="5"/>
      <c r="L19" s="5"/>
      <c r="M19" s="5"/>
      <c r="N19" s="5"/>
      <c r="O19" s="5"/>
      <c r="P19" s="5"/>
      <c r="Q19" s="8"/>
    </row>
    <row r="20" spans="2:17" x14ac:dyDescent="0.15">
      <c r="G20" s="12"/>
      <c r="H20" s="5"/>
      <c r="I20" s="5"/>
      <c r="J20" s="5"/>
      <c r="K20" s="5"/>
      <c r="L20" s="5"/>
      <c r="M20" s="5"/>
      <c r="N20" s="5"/>
      <c r="O20" s="5"/>
      <c r="P20" s="5"/>
      <c r="Q20" s="8"/>
    </row>
    <row r="21" spans="2:17" x14ac:dyDescent="0.15">
      <c r="G21" s="12"/>
      <c r="H21" s="5"/>
      <c r="I21" s="5"/>
      <c r="J21" s="5"/>
      <c r="K21" s="5"/>
      <c r="L21" s="5"/>
      <c r="M21" s="5"/>
      <c r="N21" s="5"/>
      <c r="O21" s="5"/>
      <c r="P21" s="5"/>
      <c r="Q21" s="8"/>
    </row>
    <row r="22" spans="2:17" x14ac:dyDescent="0.15">
      <c r="B22" s="74" t="s">
        <v>15</v>
      </c>
      <c r="C22" s="75"/>
      <c r="D22" s="76"/>
      <c r="G22" s="12"/>
      <c r="H22" s="5"/>
      <c r="I22" s="5"/>
      <c r="J22" s="5"/>
      <c r="K22" s="5"/>
      <c r="L22" s="5"/>
      <c r="M22" s="5"/>
      <c r="N22" s="5"/>
      <c r="O22" s="5"/>
      <c r="P22" s="5"/>
      <c r="Q22" s="8"/>
    </row>
    <row r="23" spans="2:17" x14ac:dyDescent="0.15">
      <c r="B23" s="12" t="s">
        <v>16</v>
      </c>
      <c r="C23" s="77" t="s">
        <v>70</v>
      </c>
      <c r="D23" s="78"/>
      <c r="G23" s="12"/>
      <c r="H23" s="5"/>
      <c r="I23" s="5"/>
      <c r="J23" s="5"/>
      <c r="K23" s="5"/>
      <c r="L23" s="5"/>
      <c r="M23" s="5"/>
      <c r="N23" s="5"/>
      <c r="O23" s="5"/>
      <c r="P23" s="5"/>
      <c r="Q23" s="8"/>
    </row>
    <row r="24" spans="2:17" x14ac:dyDescent="0.15">
      <c r="B24" s="12" t="s">
        <v>17</v>
      </c>
      <c r="C24" s="77">
        <v>2004</v>
      </c>
      <c r="D24" s="78"/>
      <c r="G24" s="12"/>
      <c r="H24" s="5"/>
      <c r="I24" s="5"/>
      <c r="J24" s="5"/>
      <c r="K24" s="5"/>
      <c r="L24" s="5"/>
      <c r="M24" s="5"/>
      <c r="N24" s="5"/>
      <c r="O24" s="5"/>
      <c r="P24" s="5"/>
      <c r="Q24" s="8"/>
    </row>
    <row r="25" spans="2:17" x14ac:dyDescent="0.15">
      <c r="B25" s="12" t="s">
        <v>18</v>
      </c>
      <c r="C25" s="77">
        <v>2015</v>
      </c>
      <c r="D25" s="78"/>
      <c r="G25" s="12"/>
      <c r="H25" s="5"/>
      <c r="I25" s="5"/>
      <c r="J25" s="5"/>
      <c r="K25" s="5"/>
      <c r="L25" s="5"/>
      <c r="M25" s="5"/>
      <c r="N25" s="5"/>
      <c r="O25" s="5"/>
      <c r="P25" s="5"/>
      <c r="Q25" s="8"/>
    </row>
    <row r="26" spans="2:17" x14ac:dyDescent="0.15">
      <c r="B26" s="12"/>
      <c r="C26" s="86"/>
      <c r="D26" s="87"/>
      <c r="G26" s="12"/>
      <c r="H26" s="5"/>
      <c r="I26" s="5"/>
      <c r="J26" s="5"/>
      <c r="K26" s="5"/>
      <c r="L26" s="5"/>
      <c r="M26" s="5"/>
      <c r="N26" s="5"/>
      <c r="O26" s="5"/>
      <c r="P26" s="5"/>
      <c r="Q26" s="8"/>
    </row>
    <row r="27" spans="2:17" x14ac:dyDescent="0.15">
      <c r="B27" s="12"/>
      <c r="C27" s="86"/>
      <c r="D27" s="87"/>
      <c r="G27" s="12"/>
      <c r="H27" s="5"/>
      <c r="I27" s="5"/>
      <c r="J27" s="5"/>
      <c r="K27" s="5"/>
      <c r="L27" s="5"/>
      <c r="M27" s="5"/>
      <c r="N27" s="5"/>
      <c r="O27" s="5"/>
      <c r="P27" s="5"/>
      <c r="Q27" s="8"/>
    </row>
    <row r="28" spans="2:17" x14ac:dyDescent="0.15">
      <c r="B28" s="12" t="s">
        <v>19</v>
      </c>
      <c r="C28" s="14" t="s">
        <v>48</v>
      </c>
      <c r="D28" s="42">
        <v>42036</v>
      </c>
      <c r="G28" s="12"/>
      <c r="H28" s="5"/>
      <c r="I28" s="5"/>
      <c r="J28" s="5"/>
      <c r="K28" s="5"/>
      <c r="L28" s="5"/>
      <c r="M28" s="5"/>
      <c r="N28" s="5"/>
      <c r="O28" s="5"/>
      <c r="P28" s="5"/>
      <c r="Q28" s="8"/>
    </row>
    <row r="29" spans="2:17" x14ac:dyDescent="0.15">
      <c r="B29" s="13" t="s">
        <v>20</v>
      </c>
      <c r="C29" s="84" t="s">
        <v>28</v>
      </c>
      <c r="D29" s="85"/>
      <c r="G29" s="13"/>
      <c r="H29" s="10"/>
      <c r="I29" s="10"/>
      <c r="J29" s="10"/>
      <c r="K29" s="10"/>
      <c r="L29" s="10"/>
      <c r="M29" s="10"/>
      <c r="N29" s="10"/>
      <c r="O29" s="10"/>
      <c r="P29" s="10"/>
      <c r="Q29" s="11"/>
    </row>
    <row r="32" spans="2:17" x14ac:dyDescent="0.15">
      <c r="B32" s="74" t="s">
        <v>21</v>
      </c>
      <c r="C32" s="75"/>
      <c r="D32" s="76"/>
    </row>
    <row r="33" spans="2:4" x14ac:dyDescent="0.15">
      <c r="B33" s="12" t="s">
        <v>22</v>
      </c>
      <c r="C33" s="79">
        <f>C6/'Financial Model'!V71</f>
        <v>7.4494182835574083</v>
      </c>
      <c r="D33" s="80"/>
    </row>
    <row r="34" spans="2:4" x14ac:dyDescent="0.15">
      <c r="B34" s="12" t="s">
        <v>23</v>
      </c>
      <c r="C34" s="79">
        <f>C8/SUM('Financial Model'!S6:V6)</f>
        <v>10.960075164825431</v>
      </c>
      <c r="D34" s="80"/>
    </row>
    <row r="35" spans="2:4" x14ac:dyDescent="0.15">
      <c r="B35" s="12" t="s">
        <v>24</v>
      </c>
      <c r="C35" s="79">
        <f>C12/SUM('Financial Model'!S6:V6)</f>
        <v>10.220836140449125</v>
      </c>
      <c r="D35" s="80"/>
    </row>
    <row r="36" spans="2:4" x14ac:dyDescent="0.15">
      <c r="B36" s="12" t="s">
        <v>25</v>
      </c>
      <c r="C36" s="79">
        <f>C6/SUM('Financial Model'!S21:V21)</f>
        <v>-3.6325285629149069</v>
      </c>
      <c r="D36" s="80"/>
    </row>
    <row r="37" spans="2:4" x14ac:dyDescent="0.15">
      <c r="B37" s="12" t="s">
        <v>26</v>
      </c>
      <c r="C37" s="79">
        <f>C12/SUM('Financial Model'!S20:V20)</f>
        <v>-16.539993825254641</v>
      </c>
      <c r="D37" s="80"/>
    </row>
    <row r="38" spans="2:4" x14ac:dyDescent="0.15">
      <c r="B38" s="13" t="s">
        <v>27</v>
      </c>
      <c r="C38" s="81"/>
      <c r="D38" s="82"/>
    </row>
  </sheetData>
  <mergeCells count="22">
    <mergeCell ref="C36:D36"/>
    <mergeCell ref="C37:D37"/>
    <mergeCell ref="C38:D38"/>
    <mergeCell ref="G5:Q5"/>
    <mergeCell ref="T5:X5"/>
    <mergeCell ref="C29:D29"/>
    <mergeCell ref="B32:D32"/>
    <mergeCell ref="C33:D33"/>
    <mergeCell ref="C34:D34"/>
    <mergeCell ref="C35:D35"/>
    <mergeCell ref="B22:D22"/>
    <mergeCell ref="C23:D23"/>
    <mergeCell ref="C24:D24"/>
    <mergeCell ref="C25:D25"/>
    <mergeCell ref="C26:D26"/>
    <mergeCell ref="C27:D27"/>
    <mergeCell ref="C19:D19"/>
    <mergeCell ref="B5:D5"/>
    <mergeCell ref="B15:D15"/>
    <mergeCell ref="C16:D16"/>
    <mergeCell ref="C17:D17"/>
    <mergeCell ref="C18:D18"/>
  </mergeCells>
  <hyperlinks>
    <hyperlink ref="C29:D29" r:id="rId1" display="Link" xr:uid="{2A54B12F-EBE0-4DCB-A8AD-3BBE3B84923D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EB027-C354-42BF-BB7E-A89113FA6041}">
  <dimension ref="B1:CI102"/>
  <sheetViews>
    <sheetView tabSelected="1" workbookViewId="0">
      <pane xSplit="2" ySplit="3" topLeftCell="T4" activePane="bottomRight" state="frozen"/>
      <selection pane="topRight" activeCell="C1" sqref="C1"/>
      <selection pane="bottomLeft" activeCell="A4" sqref="A4"/>
      <selection pane="bottomRight" activeCell="AF36" sqref="AF36"/>
    </sheetView>
  </sheetViews>
  <sheetFormatPr baseColWidth="10" defaultColWidth="9.1640625" defaultRowHeight="13" x14ac:dyDescent="0.15"/>
  <cols>
    <col min="1" max="1" width="4.33203125" style="1" customWidth="1"/>
    <col min="2" max="2" width="24" style="1" bestFit="1" customWidth="1"/>
    <col min="3" max="22" width="9.1640625" style="1"/>
    <col min="23" max="23" width="9.1640625" style="106"/>
    <col min="24" max="28" width="9.1640625" style="1"/>
    <col min="29" max="29" width="9.1640625" style="94"/>
    <col min="30" max="30" width="9.1640625" style="48"/>
    <col min="31" max="39" width="9.1640625" style="28"/>
    <col min="40" max="40" width="9.1640625" style="1"/>
    <col min="41" max="41" width="16.5" style="1" bestFit="1" customWidth="1"/>
    <col min="42" max="42" width="9.6640625" style="1" bestFit="1" customWidth="1"/>
    <col min="43" max="16384" width="9.1640625" style="1"/>
  </cols>
  <sheetData>
    <row r="1" spans="2:39" s="21" customFormat="1" x14ac:dyDescent="0.15">
      <c r="C1" s="21" t="s">
        <v>29</v>
      </c>
      <c r="D1" s="21" t="s">
        <v>30</v>
      </c>
      <c r="E1" s="21" t="s">
        <v>31</v>
      </c>
      <c r="F1" s="21" t="s">
        <v>32</v>
      </c>
      <c r="G1" s="21" t="s">
        <v>33</v>
      </c>
      <c r="H1" s="21" t="s">
        <v>34</v>
      </c>
      <c r="I1" s="21" t="s">
        <v>35</v>
      </c>
      <c r="J1" s="21" t="s">
        <v>36</v>
      </c>
      <c r="K1" s="21" t="s">
        <v>37</v>
      </c>
      <c r="L1" s="21" t="s">
        <v>38</v>
      </c>
      <c r="M1" s="24" t="s">
        <v>39</v>
      </c>
      <c r="N1" s="21" t="s">
        <v>40</v>
      </c>
      <c r="O1" s="21" t="s">
        <v>41</v>
      </c>
      <c r="P1" s="21" t="s">
        <v>42</v>
      </c>
      <c r="Q1" s="21" t="s">
        <v>43</v>
      </c>
      <c r="R1" s="24" t="s">
        <v>44</v>
      </c>
      <c r="S1" s="24" t="s">
        <v>45</v>
      </c>
      <c r="T1" s="24" t="s">
        <v>46</v>
      </c>
      <c r="U1" s="24" t="s">
        <v>47</v>
      </c>
      <c r="V1" s="24" t="s">
        <v>48</v>
      </c>
      <c r="W1" s="101" t="s">
        <v>155</v>
      </c>
      <c r="Y1" s="21" t="s">
        <v>49</v>
      </c>
      <c r="Z1" s="21" t="s">
        <v>50</v>
      </c>
      <c r="AA1" s="21" t="s">
        <v>51</v>
      </c>
      <c r="AB1" s="24" t="s">
        <v>52</v>
      </c>
      <c r="AC1" s="88" t="s">
        <v>53</v>
      </c>
      <c r="AD1" s="49" t="s">
        <v>54</v>
      </c>
      <c r="AE1" s="54" t="s">
        <v>55</v>
      </c>
      <c r="AF1" s="54" t="s">
        <v>56</v>
      </c>
      <c r="AG1" s="54" t="s">
        <v>57</v>
      </c>
      <c r="AH1" s="54" t="s">
        <v>58</v>
      </c>
      <c r="AI1" s="54" t="s">
        <v>59</v>
      </c>
      <c r="AJ1" s="54" t="s">
        <v>60</v>
      </c>
      <c r="AK1" s="54" t="s">
        <v>61</v>
      </c>
      <c r="AL1" s="54" t="s">
        <v>62</v>
      </c>
      <c r="AM1" s="54" t="s">
        <v>63</v>
      </c>
    </row>
    <row r="2" spans="2:39" s="23" customFormat="1" x14ac:dyDescent="0.15">
      <c r="B2" s="22"/>
      <c r="I2" s="26">
        <v>43738</v>
      </c>
      <c r="M2" s="26">
        <v>44104</v>
      </c>
      <c r="N2" s="26">
        <v>44196</v>
      </c>
      <c r="O2" s="26">
        <v>44286</v>
      </c>
      <c r="P2" s="26">
        <v>44377</v>
      </c>
      <c r="Q2" s="26">
        <v>44469</v>
      </c>
      <c r="R2" s="26">
        <v>44561</v>
      </c>
      <c r="S2" s="26">
        <v>44651</v>
      </c>
      <c r="T2" s="26">
        <v>44742</v>
      </c>
      <c r="U2" s="26">
        <v>44834</v>
      </c>
      <c r="V2" s="26">
        <v>44926</v>
      </c>
      <c r="W2" s="102"/>
      <c r="AB2" s="26">
        <f>R2</f>
        <v>44561</v>
      </c>
      <c r="AC2" s="89">
        <f>V2</f>
        <v>44926</v>
      </c>
      <c r="AD2" s="50"/>
      <c r="AE2" s="55"/>
      <c r="AF2" s="55"/>
      <c r="AG2" s="55"/>
      <c r="AH2" s="55"/>
      <c r="AI2" s="55"/>
      <c r="AJ2" s="55"/>
      <c r="AK2" s="55"/>
      <c r="AL2" s="55"/>
      <c r="AM2" s="55"/>
    </row>
    <row r="3" spans="2:39" s="23" customFormat="1" x14ac:dyDescent="0.15">
      <c r="B3" s="22"/>
      <c r="M3" s="25">
        <v>47392</v>
      </c>
      <c r="R3" s="25">
        <v>42401</v>
      </c>
      <c r="S3" s="25">
        <v>38473</v>
      </c>
      <c r="T3" s="25">
        <v>46569</v>
      </c>
      <c r="U3" s="25">
        <v>46661</v>
      </c>
      <c r="V3" s="25">
        <v>42036</v>
      </c>
      <c r="W3" s="102"/>
      <c r="AB3" s="25">
        <f>R3</f>
        <v>42401</v>
      </c>
      <c r="AC3" s="90">
        <f>V3</f>
        <v>42036</v>
      </c>
      <c r="AD3" s="50"/>
      <c r="AE3" s="55"/>
      <c r="AF3" s="55"/>
      <c r="AG3" s="55"/>
      <c r="AH3" s="55"/>
      <c r="AI3" s="55"/>
      <c r="AJ3" s="55"/>
      <c r="AK3" s="55"/>
      <c r="AL3" s="55"/>
      <c r="AM3" s="55"/>
    </row>
    <row r="4" spans="2:39" s="31" customFormat="1" x14ac:dyDescent="0.15">
      <c r="B4" s="30" t="s">
        <v>71</v>
      </c>
      <c r="I4" s="31">
        <v>165.577</v>
      </c>
      <c r="M4" s="31">
        <v>245.274</v>
      </c>
      <c r="N4" s="31">
        <v>279.44</v>
      </c>
      <c r="O4" s="31">
        <v>320.68099999999998</v>
      </c>
      <c r="P4" s="31">
        <v>334.23700000000002</v>
      </c>
      <c r="Q4" s="31">
        <v>336.20800000000003</v>
      </c>
      <c r="R4" s="31">
        <v>351.20800000000003</v>
      </c>
      <c r="S4" s="31">
        <v>344.76100000000002</v>
      </c>
      <c r="T4" s="31">
        <v>366.44299999999998</v>
      </c>
      <c r="U4" s="31">
        <v>376.30099999999999</v>
      </c>
      <c r="V4" s="31">
        <v>400.25400000000002</v>
      </c>
      <c r="W4" s="46"/>
      <c r="AB4" s="31">
        <f>SUM(O4:R4)</f>
        <v>1342.3340000000001</v>
      </c>
      <c r="AC4" s="91">
        <f>SUM(S4:V4)</f>
        <v>1487.759</v>
      </c>
      <c r="AD4" s="46"/>
    </row>
    <row r="5" spans="2:39" s="31" customFormat="1" x14ac:dyDescent="0.15">
      <c r="B5" s="30" t="s">
        <v>72</v>
      </c>
      <c r="I5" s="31">
        <v>224.97499999999999</v>
      </c>
      <c r="M5" s="31">
        <v>522.13099999999997</v>
      </c>
      <c r="N5" s="31">
        <v>698.30399999999997</v>
      </c>
      <c r="O5" s="31">
        <v>667.96600000000001</v>
      </c>
      <c r="P5" s="31">
        <v>785.20799999999997</v>
      </c>
      <c r="Q5" s="31">
        <v>787.53200000000004</v>
      </c>
      <c r="R5" s="31">
        <v>1028.816</v>
      </c>
      <c r="S5" s="31">
        <v>858.86199999999997</v>
      </c>
      <c r="T5" s="31">
        <v>928.62</v>
      </c>
      <c r="U5" s="31">
        <v>989.899</v>
      </c>
      <c r="V5" s="31">
        <v>1334.7239999999999</v>
      </c>
      <c r="W5" s="46"/>
      <c r="AB5" s="31">
        <f t="shared" ref="AB5:AB8" si="0">SUM(O5:R5)</f>
        <v>3269.5219999999999</v>
      </c>
      <c r="AC5" s="91">
        <f>SUM(S5:V5)</f>
        <v>4112.1049999999996</v>
      </c>
      <c r="AD5" s="46"/>
    </row>
    <row r="6" spans="2:39" s="32" customFormat="1" x14ac:dyDescent="0.15">
      <c r="B6" s="32" t="s">
        <v>73</v>
      </c>
      <c r="C6" s="32">
        <f t="shared" ref="C6:T6" si="1">C4+C5</f>
        <v>0</v>
      </c>
      <c r="D6" s="32">
        <f t="shared" si="1"/>
        <v>0</v>
      </c>
      <c r="E6" s="32">
        <f t="shared" si="1"/>
        <v>0</v>
      </c>
      <c r="F6" s="32">
        <f t="shared" si="1"/>
        <v>0</v>
      </c>
      <c r="G6" s="32">
        <f t="shared" si="1"/>
        <v>0</v>
      </c>
      <c r="H6" s="32">
        <f t="shared" si="1"/>
        <v>0</v>
      </c>
      <c r="I6" s="32">
        <f t="shared" si="1"/>
        <v>390.55200000000002</v>
      </c>
      <c r="J6" s="32">
        <f t="shared" si="1"/>
        <v>0</v>
      </c>
      <c r="K6" s="32">
        <f t="shared" si="1"/>
        <v>0</v>
      </c>
      <c r="L6" s="32">
        <f t="shared" si="1"/>
        <v>0</v>
      </c>
      <c r="M6" s="32">
        <f t="shared" si="1"/>
        <v>767.40499999999997</v>
      </c>
      <c r="N6" s="32">
        <f t="shared" si="1"/>
        <v>977.74399999999991</v>
      </c>
      <c r="O6" s="32">
        <f t="shared" si="1"/>
        <v>988.64699999999993</v>
      </c>
      <c r="P6" s="32">
        <f t="shared" si="1"/>
        <v>1119.4449999999999</v>
      </c>
      <c r="Q6" s="32">
        <f t="shared" si="1"/>
        <v>1123.74</v>
      </c>
      <c r="R6" s="32">
        <f t="shared" si="1"/>
        <v>1380.0240000000001</v>
      </c>
      <c r="S6" s="32">
        <f t="shared" si="1"/>
        <v>1203.623</v>
      </c>
      <c r="T6" s="32">
        <f t="shared" si="1"/>
        <v>1295.0630000000001</v>
      </c>
      <c r="U6" s="32">
        <f>U4+U5</f>
        <v>1366.2</v>
      </c>
      <c r="V6" s="32">
        <f>V4+V5</f>
        <v>1734.9780000000001</v>
      </c>
      <c r="W6" s="104">
        <f>V6*(1+W24)</f>
        <v>2220.7718400000003</v>
      </c>
      <c r="AA6" s="32">
        <v>2929.491</v>
      </c>
      <c r="AB6" s="32">
        <f>AB4+AB5</f>
        <v>4611.8559999999998</v>
      </c>
      <c r="AC6" s="92">
        <f>SUM(S6:V6)</f>
        <v>5599.8640000000005</v>
      </c>
      <c r="AD6" s="51">
        <f>AC6*(1+AD24)</f>
        <v>7279.8232000000007</v>
      </c>
      <c r="AE6" s="56">
        <f t="shared" ref="AE6:AM6" si="2">AD6*(1+AE24)</f>
        <v>10191.752480000001</v>
      </c>
      <c r="AF6" s="56">
        <f t="shared" si="2"/>
        <v>15287.628720000001</v>
      </c>
      <c r="AG6" s="56">
        <f t="shared" si="2"/>
        <v>22167.061644000001</v>
      </c>
      <c r="AH6" s="56">
        <f t="shared" si="2"/>
        <v>31033.8863016</v>
      </c>
      <c r="AI6" s="56">
        <f t="shared" si="2"/>
        <v>40344.052192080002</v>
      </c>
      <c r="AJ6" s="56">
        <f t="shared" si="2"/>
        <v>48412.862630495998</v>
      </c>
      <c r="AK6" s="56">
        <f t="shared" si="2"/>
        <v>57127.177903985277</v>
      </c>
      <c r="AL6" s="56">
        <f t="shared" si="2"/>
        <v>64553.711031503357</v>
      </c>
      <c r="AM6" s="56">
        <f t="shared" si="2"/>
        <v>69718.007914023634</v>
      </c>
    </row>
    <row r="7" spans="2:39" s="31" customFormat="1" x14ac:dyDescent="0.15">
      <c r="B7" s="30" t="s">
        <v>74</v>
      </c>
      <c r="I7" s="31">
        <v>33.262999999999998</v>
      </c>
      <c r="M7" s="31">
        <v>52.17</v>
      </c>
      <c r="N7" s="31">
        <v>59.25</v>
      </c>
      <c r="O7" s="31">
        <v>58.381999999999998</v>
      </c>
      <c r="P7" s="31">
        <v>63.027000000000001</v>
      </c>
      <c r="Q7" s="31">
        <v>67.355000000000004</v>
      </c>
      <c r="R7" s="31">
        <v>75.587000000000003</v>
      </c>
      <c r="S7" s="31">
        <v>77.545000000000002</v>
      </c>
      <c r="T7" s="31">
        <v>85.238</v>
      </c>
      <c r="U7" s="31">
        <v>82.313000000000002</v>
      </c>
      <c r="V7" s="31">
        <v>85.771000000000001</v>
      </c>
      <c r="W7" s="46"/>
      <c r="AB7" s="31">
        <f t="shared" si="0"/>
        <v>264.351</v>
      </c>
      <c r="AC7" s="91">
        <f>SUM(S7:V7)</f>
        <v>330.86700000000002</v>
      </c>
      <c r="AD7" s="46"/>
    </row>
    <row r="8" spans="2:39" s="31" customFormat="1" x14ac:dyDescent="0.15">
      <c r="B8" s="30" t="s">
        <v>75</v>
      </c>
      <c r="I8" s="31">
        <v>140.59299999999999</v>
      </c>
      <c r="M8" s="31">
        <v>310.08699999999999</v>
      </c>
      <c r="N8" s="31">
        <v>414.10599999999999</v>
      </c>
      <c r="O8" s="31">
        <v>371.54899999999998</v>
      </c>
      <c r="P8" s="31">
        <v>435.55799999999999</v>
      </c>
      <c r="Q8" s="31">
        <v>447.476</v>
      </c>
      <c r="R8" s="31">
        <v>611.77800000000002</v>
      </c>
      <c r="S8" s="31">
        <v>488.44099999999997</v>
      </c>
      <c r="T8" s="31">
        <v>554.18299999999999</v>
      </c>
      <c r="U8" s="31">
        <v>621.55499999999995</v>
      </c>
      <c r="V8" s="31">
        <v>850.69899999999996</v>
      </c>
      <c r="W8" s="46"/>
      <c r="AB8" s="31">
        <f t="shared" si="0"/>
        <v>1866.3610000000001</v>
      </c>
      <c r="AC8" s="91">
        <f>SUM(S8:V8)</f>
        <v>2514.8780000000002</v>
      </c>
      <c r="AD8" s="46"/>
    </row>
    <row r="9" spans="2:39" s="33" customFormat="1" x14ac:dyDescent="0.15">
      <c r="B9" s="33" t="s">
        <v>76</v>
      </c>
      <c r="C9" s="33">
        <f t="shared" ref="C9:T9" si="3">C7+C8</f>
        <v>0</v>
      </c>
      <c r="D9" s="33">
        <f t="shared" si="3"/>
        <v>0</v>
      </c>
      <c r="E9" s="33">
        <f t="shared" si="3"/>
        <v>0</v>
      </c>
      <c r="F9" s="33">
        <f t="shared" si="3"/>
        <v>0</v>
      </c>
      <c r="G9" s="33">
        <f t="shared" si="3"/>
        <v>0</v>
      </c>
      <c r="H9" s="33">
        <f t="shared" si="3"/>
        <v>0</v>
      </c>
      <c r="I9" s="33">
        <f t="shared" si="3"/>
        <v>173.85599999999999</v>
      </c>
      <c r="J9" s="33">
        <f t="shared" si="3"/>
        <v>0</v>
      </c>
      <c r="K9" s="33">
        <f t="shared" si="3"/>
        <v>0</v>
      </c>
      <c r="L9" s="33">
        <f t="shared" si="3"/>
        <v>0</v>
      </c>
      <c r="M9" s="33">
        <f t="shared" si="3"/>
        <v>362.25700000000001</v>
      </c>
      <c r="N9" s="33">
        <f t="shared" si="3"/>
        <v>473.35599999999999</v>
      </c>
      <c r="O9" s="33">
        <f t="shared" si="3"/>
        <v>429.93099999999998</v>
      </c>
      <c r="P9" s="33">
        <f t="shared" si="3"/>
        <v>498.58499999999998</v>
      </c>
      <c r="Q9" s="33">
        <f t="shared" si="3"/>
        <v>514.83100000000002</v>
      </c>
      <c r="R9" s="33">
        <f t="shared" si="3"/>
        <v>687.36500000000001</v>
      </c>
      <c r="S9" s="33">
        <f t="shared" si="3"/>
        <v>565.98599999999999</v>
      </c>
      <c r="T9" s="33">
        <f t="shared" si="3"/>
        <v>639.42100000000005</v>
      </c>
      <c r="U9" s="33">
        <f>U7+U8</f>
        <v>703.86799999999994</v>
      </c>
      <c r="V9" s="33">
        <f>V7+V8</f>
        <v>936.46999999999991</v>
      </c>
      <c r="W9" s="98">
        <f>W6*(1-W29)</f>
        <v>1199.2167936000003</v>
      </c>
      <c r="X9" s="31"/>
      <c r="Y9" s="31"/>
      <c r="AA9" s="33">
        <v>1387.971</v>
      </c>
      <c r="AB9" s="33">
        <f>AB7+AB8</f>
        <v>2130.712</v>
      </c>
      <c r="AC9" s="91">
        <f>SUM(S9:V9)</f>
        <v>2845.7449999999999</v>
      </c>
      <c r="AD9" s="98">
        <f t="shared" ref="AD9:AM9" si="4">AD6*(1-AD29)</f>
        <v>3785.5080640000006</v>
      </c>
      <c r="AE9" s="33">
        <f t="shared" si="4"/>
        <v>4993.9587152000004</v>
      </c>
      <c r="AF9" s="33">
        <f t="shared" si="4"/>
        <v>7490.9380728000006</v>
      </c>
      <c r="AG9" s="33">
        <f t="shared" si="4"/>
        <v>10640.18958912</v>
      </c>
      <c r="AH9" s="33">
        <f t="shared" si="4"/>
        <v>14585.926561752</v>
      </c>
      <c r="AI9" s="33">
        <f t="shared" si="4"/>
        <v>18154.823486435998</v>
      </c>
      <c r="AJ9" s="33">
        <f t="shared" si="4"/>
        <v>21785.788183723198</v>
      </c>
      <c r="AK9" s="33">
        <f t="shared" si="4"/>
        <v>25707.230056793371</v>
      </c>
      <c r="AL9" s="33">
        <f t="shared" si="4"/>
        <v>29049.169964176508</v>
      </c>
      <c r="AM9" s="33">
        <f t="shared" si="4"/>
        <v>31373.103561310632</v>
      </c>
    </row>
    <row r="10" spans="2:39" s="32" customFormat="1" x14ac:dyDescent="0.15">
      <c r="B10" s="32" t="s">
        <v>77</v>
      </c>
      <c r="C10" s="32">
        <f t="shared" ref="C10:T10" si="5">C6-C9</f>
        <v>0</v>
      </c>
      <c r="D10" s="32">
        <f t="shared" si="5"/>
        <v>0</v>
      </c>
      <c r="E10" s="32">
        <f t="shared" si="5"/>
        <v>0</v>
      </c>
      <c r="F10" s="32">
        <f t="shared" si="5"/>
        <v>0</v>
      </c>
      <c r="G10" s="32">
        <f t="shared" si="5"/>
        <v>0</v>
      </c>
      <c r="H10" s="32">
        <f t="shared" si="5"/>
        <v>0</v>
      </c>
      <c r="I10" s="32">
        <f t="shared" si="5"/>
        <v>216.69600000000003</v>
      </c>
      <c r="J10" s="32">
        <f t="shared" si="5"/>
        <v>0</v>
      </c>
      <c r="K10" s="32">
        <f t="shared" si="5"/>
        <v>0</v>
      </c>
      <c r="L10" s="32">
        <f t="shared" si="5"/>
        <v>0</v>
      </c>
      <c r="M10" s="32">
        <f t="shared" si="5"/>
        <v>405.14799999999997</v>
      </c>
      <c r="N10" s="32">
        <f t="shared" si="5"/>
        <v>504.38799999999992</v>
      </c>
      <c r="O10" s="32">
        <f t="shared" si="5"/>
        <v>558.71599999999989</v>
      </c>
      <c r="P10" s="32">
        <f t="shared" si="5"/>
        <v>620.8599999999999</v>
      </c>
      <c r="Q10" s="32">
        <f t="shared" si="5"/>
        <v>608.90899999999999</v>
      </c>
      <c r="R10" s="32">
        <f t="shared" si="5"/>
        <v>692.65900000000011</v>
      </c>
      <c r="S10" s="32">
        <f t="shared" si="5"/>
        <v>637.63700000000006</v>
      </c>
      <c r="T10" s="32">
        <f t="shared" si="5"/>
        <v>655.64200000000005</v>
      </c>
      <c r="U10" s="32">
        <f>U6-U9</f>
        <v>662.33200000000011</v>
      </c>
      <c r="V10" s="32">
        <f>V6-V9</f>
        <v>798.50800000000015</v>
      </c>
      <c r="W10" s="104">
        <f>W6-W9</f>
        <v>1021.5550464</v>
      </c>
      <c r="AA10" s="32">
        <f>AA6-AA9</f>
        <v>1541.52</v>
      </c>
      <c r="AB10" s="32">
        <f>AB6-AB9</f>
        <v>2481.1439999999998</v>
      </c>
      <c r="AC10" s="92">
        <f>AC6-AC9</f>
        <v>2754.1190000000006</v>
      </c>
      <c r="AD10" s="51">
        <f>AD6-AD9</f>
        <v>3494.3151360000002</v>
      </c>
      <c r="AE10" s="56">
        <f t="shared" ref="AE10:AM10" si="6">AE6-AE9</f>
        <v>5197.7937648000006</v>
      </c>
      <c r="AF10" s="56">
        <f t="shared" si="6"/>
        <v>7796.6906472000001</v>
      </c>
      <c r="AG10" s="56">
        <f t="shared" si="6"/>
        <v>11526.872054880001</v>
      </c>
      <c r="AH10" s="56">
        <f t="shared" si="6"/>
        <v>16447.959739848</v>
      </c>
      <c r="AI10" s="56">
        <f t="shared" si="6"/>
        <v>22189.228705644004</v>
      </c>
      <c r="AJ10" s="56">
        <f t="shared" si="6"/>
        <v>26627.0744467728</v>
      </c>
      <c r="AK10" s="56">
        <f t="shared" si="6"/>
        <v>31419.947847191906</v>
      </c>
      <c r="AL10" s="56">
        <f t="shared" si="6"/>
        <v>35504.541067326849</v>
      </c>
      <c r="AM10" s="56">
        <f t="shared" si="6"/>
        <v>38344.904352712998</v>
      </c>
    </row>
    <row r="11" spans="2:39" s="33" customFormat="1" x14ac:dyDescent="0.15">
      <c r="B11" s="33" t="s">
        <v>78</v>
      </c>
      <c r="I11" s="33">
        <v>116.54600000000001</v>
      </c>
      <c r="M11" s="33">
        <v>147.608</v>
      </c>
      <c r="N11" s="33">
        <v>154.72800000000001</v>
      </c>
      <c r="O11" s="33">
        <v>186.22300000000001</v>
      </c>
      <c r="P11" s="33">
        <v>201.91</v>
      </c>
      <c r="Q11" s="33">
        <v>237.94900000000001</v>
      </c>
      <c r="R11" s="33">
        <v>275.47500000000002</v>
      </c>
      <c r="S11" s="33">
        <v>303.37099999999998</v>
      </c>
      <c r="T11" s="33">
        <v>326.90199999999999</v>
      </c>
      <c r="U11" s="33">
        <v>302.476</v>
      </c>
      <c r="V11" s="33">
        <v>297.74099999999999</v>
      </c>
      <c r="W11" s="98"/>
      <c r="X11" s="36"/>
      <c r="Y11" s="36"/>
      <c r="Z11" s="36"/>
      <c r="AB11" s="33">
        <f>SUM(O11:R11)</f>
        <v>901.55700000000013</v>
      </c>
      <c r="AC11" s="91">
        <f>SUM(S11:V11)</f>
        <v>1230.4899999999998</v>
      </c>
      <c r="AD11" s="98">
        <f>AD6*0.18</f>
        <v>1310.3681760000002</v>
      </c>
      <c r="AE11" s="33">
        <f>AE6*0.15</f>
        <v>1528.762872</v>
      </c>
      <c r="AF11" s="33">
        <f t="shared" ref="AF11:AG11" si="7">AF6*0.15</f>
        <v>2293.1443079999999</v>
      </c>
      <c r="AG11" s="33">
        <f t="shared" si="7"/>
        <v>3325.0592466000003</v>
      </c>
      <c r="AH11" s="33">
        <f>AH6*0.1</f>
        <v>3103.38863016</v>
      </c>
      <c r="AI11" s="33">
        <f t="shared" ref="AI11:AM11" si="8">AI6*0.1</f>
        <v>4034.4052192080003</v>
      </c>
      <c r="AJ11" s="33">
        <f t="shared" si="8"/>
        <v>4841.2862630496002</v>
      </c>
      <c r="AK11" s="33">
        <f t="shared" si="8"/>
        <v>5712.7177903985285</v>
      </c>
      <c r="AL11" s="33">
        <f t="shared" si="8"/>
        <v>6455.3711031503362</v>
      </c>
      <c r="AM11" s="33">
        <f t="shared" si="8"/>
        <v>6971.8007914023638</v>
      </c>
    </row>
    <row r="12" spans="2:39" s="33" customFormat="1" x14ac:dyDescent="0.15">
      <c r="B12" s="33" t="s">
        <v>79</v>
      </c>
      <c r="I12" s="33">
        <v>90.387</v>
      </c>
      <c r="M12" s="33">
        <v>143.42699999999999</v>
      </c>
      <c r="N12" s="33">
        <v>159.077</v>
      </c>
      <c r="O12" s="33">
        <v>175.886</v>
      </c>
      <c r="P12" s="33">
        <v>183.55699999999999</v>
      </c>
      <c r="Q12" s="33">
        <v>221.02799999999999</v>
      </c>
      <c r="R12" s="33">
        <v>273.91199999999998</v>
      </c>
      <c r="S12" s="33">
        <v>303.661</v>
      </c>
      <c r="T12" s="33">
        <v>346.66699999999997</v>
      </c>
      <c r="U12" s="33">
        <v>412.35899999999998</v>
      </c>
      <c r="V12" s="33">
        <v>440.54700000000003</v>
      </c>
      <c r="W12" s="98"/>
      <c r="AB12" s="33">
        <f t="shared" ref="AB12:AB14" si="9">SUM(O12:R12)</f>
        <v>854.38300000000004</v>
      </c>
      <c r="AC12" s="91">
        <f t="shared" ref="AC12:AC19" si="10">SUM(S12:V12)</f>
        <v>1503.2339999999999</v>
      </c>
      <c r="AD12" s="46">
        <f>AD6*AD36</f>
        <v>1819.9558000000002</v>
      </c>
      <c r="AE12" s="31">
        <f t="shared" ref="AE12:AM12" si="11">AE6*AE36</f>
        <v>2547.9381200000003</v>
      </c>
      <c r="AF12" s="31">
        <f t="shared" si="11"/>
        <v>3057.5257440000005</v>
      </c>
      <c r="AG12" s="31">
        <f t="shared" si="11"/>
        <v>3990.0710959200001</v>
      </c>
      <c r="AH12" s="31">
        <f t="shared" si="11"/>
        <v>5586.0995342879996</v>
      </c>
      <c r="AI12" s="31">
        <f t="shared" si="11"/>
        <v>6051.6078288119998</v>
      </c>
      <c r="AJ12" s="31">
        <f t="shared" si="11"/>
        <v>7261.9293945743993</v>
      </c>
      <c r="AK12" s="31">
        <f t="shared" si="11"/>
        <v>8569.0766855977909</v>
      </c>
      <c r="AL12" s="31">
        <f t="shared" si="11"/>
        <v>9683.0566547255039</v>
      </c>
      <c r="AM12" s="31">
        <f t="shared" si="11"/>
        <v>10457.701187103545</v>
      </c>
    </row>
    <row r="13" spans="2:39" s="33" customFormat="1" x14ac:dyDescent="0.15">
      <c r="B13" s="33" t="s">
        <v>80</v>
      </c>
      <c r="I13" s="33">
        <v>38.021999999999998</v>
      </c>
      <c r="M13" s="33">
        <v>51.798999999999999</v>
      </c>
      <c r="N13" s="33">
        <v>65.394999999999996</v>
      </c>
      <c r="O13" s="33">
        <v>67.102000000000004</v>
      </c>
      <c r="P13" s="33">
        <v>77.965999999999994</v>
      </c>
      <c r="Q13" s="33">
        <v>128.72200000000001</v>
      </c>
      <c r="R13" s="33">
        <v>101.054</v>
      </c>
      <c r="S13" s="33">
        <v>108.08799999999999</v>
      </c>
      <c r="T13" s="33">
        <v>129.90100000000001</v>
      </c>
      <c r="U13" s="33">
        <v>255.125</v>
      </c>
      <c r="V13" s="33">
        <v>214.65100000000001</v>
      </c>
      <c r="W13" s="118"/>
      <c r="X13" s="36"/>
      <c r="Y13" s="36"/>
      <c r="AB13" s="33">
        <f t="shared" si="9"/>
        <v>374.84399999999994</v>
      </c>
      <c r="AC13" s="91">
        <f t="shared" si="10"/>
        <v>707.7650000000001</v>
      </c>
      <c r="AD13" s="46">
        <f>AD6*0.28</f>
        <v>2038.3504960000005</v>
      </c>
      <c r="AE13" s="31">
        <f>AE6*0.28</f>
        <v>2853.6906944000007</v>
      </c>
      <c r="AF13" s="31">
        <f>AF6*0.225</f>
        <v>3439.7164620000003</v>
      </c>
      <c r="AG13" s="31">
        <f t="shared" ref="AG13:AM13" si="12">AG6*0.225</f>
        <v>4987.5888699000006</v>
      </c>
      <c r="AH13" s="31">
        <f t="shared" si="12"/>
        <v>6982.62441786</v>
      </c>
      <c r="AI13" s="31">
        <f t="shared" si="12"/>
        <v>9077.411743218001</v>
      </c>
      <c r="AJ13" s="31">
        <f t="shared" si="12"/>
        <v>10892.894091861599</v>
      </c>
      <c r="AK13" s="31">
        <f t="shared" si="12"/>
        <v>12853.615028396687</v>
      </c>
      <c r="AL13" s="31">
        <f t="shared" si="12"/>
        <v>14524.584982088256</v>
      </c>
      <c r="AM13" s="31">
        <f t="shared" si="12"/>
        <v>15686.551780655318</v>
      </c>
    </row>
    <row r="14" spans="2:39" s="33" customFormat="1" x14ac:dyDescent="0.15">
      <c r="B14" s="33" t="s">
        <v>81</v>
      </c>
      <c r="I14" s="33">
        <v>7.399</v>
      </c>
      <c r="M14" s="33">
        <v>11.753</v>
      </c>
      <c r="N14" s="33">
        <v>12.647</v>
      </c>
      <c r="O14" s="33">
        <v>10.606</v>
      </c>
      <c r="P14" s="33">
        <v>17.986000000000001</v>
      </c>
      <c r="Q14" s="33">
        <v>25.311</v>
      </c>
      <c r="R14" s="33">
        <v>27.814</v>
      </c>
      <c r="S14" s="33">
        <v>20.492999999999999</v>
      </c>
      <c r="T14" s="33">
        <v>42.38</v>
      </c>
      <c r="U14" s="33">
        <v>37.738</v>
      </c>
      <c r="V14" s="33">
        <v>34.317999999999998</v>
      </c>
      <c r="W14" s="98"/>
      <c r="AB14" s="33">
        <f t="shared" si="9"/>
        <v>81.716999999999999</v>
      </c>
      <c r="AC14" s="91">
        <f t="shared" si="10"/>
        <v>134.929</v>
      </c>
      <c r="AD14" s="46">
        <f>AVERAGE(Y14:AC14)</f>
        <v>108.32300000000001</v>
      </c>
      <c r="AE14" s="31">
        <f t="shared" ref="AE14:AM14" si="13">AVERAGE(Z14:AD14)</f>
        <v>108.32300000000002</v>
      </c>
      <c r="AF14" s="31">
        <f t="shared" si="13"/>
        <v>108.32300000000002</v>
      </c>
      <c r="AG14" s="31">
        <f t="shared" si="13"/>
        <v>108.32300000000002</v>
      </c>
      <c r="AH14" s="31">
        <f t="shared" si="13"/>
        <v>113.64420000000003</v>
      </c>
      <c r="AI14" s="31">
        <f t="shared" si="13"/>
        <v>109.38724000000002</v>
      </c>
      <c r="AJ14" s="31">
        <f t="shared" si="13"/>
        <v>109.600088</v>
      </c>
      <c r="AK14" s="31">
        <f t="shared" si="13"/>
        <v>109.85550560000001</v>
      </c>
      <c r="AL14" s="31">
        <f t="shared" si="13"/>
        <v>110.16200672000002</v>
      </c>
      <c r="AM14" s="31">
        <f t="shared" si="13"/>
        <v>110.52980806400001</v>
      </c>
    </row>
    <row r="15" spans="2:39" s="33" customFormat="1" x14ac:dyDescent="0.15">
      <c r="B15" s="33" t="s">
        <v>82</v>
      </c>
      <c r="C15" s="33">
        <f t="shared" ref="C15:T15" si="14">SUM(C11:C14)</f>
        <v>0</v>
      </c>
      <c r="D15" s="33">
        <f t="shared" si="14"/>
        <v>0</v>
      </c>
      <c r="E15" s="33">
        <f t="shared" si="14"/>
        <v>0</v>
      </c>
      <c r="F15" s="33">
        <f t="shared" si="14"/>
        <v>0</v>
      </c>
      <c r="G15" s="33">
        <f t="shared" si="14"/>
        <v>0</v>
      </c>
      <c r="H15" s="33">
        <f t="shared" si="14"/>
        <v>0</v>
      </c>
      <c r="I15" s="33">
        <f t="shared" si="14"/>
        <v>252.35399999999998</v>
      </c>
      <c r="J15" s="33">
        <f t="shared" si="14"/>
        <v>0</v>
      </c>
      <c r="K15" s="33">
        <f t="shared" si="14"/>
        <v>0</v>
      </c>
      <c r="L15" s="33">
        <f t="shared" si="14"/>
        <v>0</v>
      </c>
      <c r="M15" s="33">
        <f t="shared" si="14"/>
        <v>354.58699999999993</v>
      </c>
      <c r="N15" s="33">
        <f t="shared" si="14"/>
        <v>391.84699999999998</v>
      </c>
      <c r="O15" s="33">
        <f t="shared" si="14"/>
        <v>439.81700000000001</v>
      </c>
      <c r="P15" s="33">
        <f t="shared" si="14"/>
        <v>481.41899999999998</v>
      </c>
      <c r="Q15" s="33">
        <f t="shared" si="14"/>
        <v>613.01</v>
      </c>
      <c r="R15" s="33">
        <f t="shared" si="14"/>
        <v>678.25499999999988</v>
      </c>
      <c r="S15" s="33">
        <f t="shared" si="14"/>
        <v>735.61299999999994</v>
      </c>
      <c r="T15" s="33">
        <f t="shared" si="14"/>
        <v>845.85</v>
      </c>
      <c r="U15" s="33">
        <f>SUM(U11:U14)</f>
        <v>1007.6980000000001</v>
      </c>
      <c r="V15" s="33">
        <f t="shared" ref="V15" si="15">SUM(V11:V14)</f>
        <v>987.25700000000006</v>
      </c>
      <c r="W15" s="98"/>
      <c r="AB15" s="33">
        <f>SUM(AB11:AB14)</f>
        <v>2212.5010000000002</v>
      </c>
      <c r="AC15" s="91">
        <f>SUM(AC11:AC14)</f>
        <v>3576.4179999999997</v>
      </c>
      <c r="AD15" s="46">
        <f t="shared" ref="AD15:AM15" si="16">SUM(AD11:AD14)</f>
        <v>5276.9974720000009</v>
      </c>
      <c r="AE15" s="31">
        <f t="shared" si="16"/>
        <v>7038.7146864000006</v>
      </c>
      <c r="AF15" s="31">
        <f t="shared" si="16"/>
        <v>8898.7095140000019</v>
      </c>
      <c r="AG15" s="31">
        <f t="shared" si="16"/>
        <v>12411.042212420001</v>
      </c>
      <c r="AH15" s="31">
        <f t="shared" si="16"/>
        <v>15785.756782308001</v>
      </c>
      <c r="AI15" s="31">
        <f t="shared" si="16"/>
        <v>19272.812031238002</v>
      </c>
      <c r="AJ15" s="31">
        <f t="shared" si="16"/>
        <v>23105.7098374856</v>
      </c>
      <c r="AK15" s="31">
        <f t="shared" si="16"/>
        <v>27245.265009993007</v>
      </c>
      <c r="AL15" s="31">
        <f t="shared" si="16"/>
        <v>30773.174746684097</v>
      </c>
      <c r="AM15" s="31">
        <f t="shared" si="16"/>
        <v>33226.583567225221</v>
      </c>
    </row>
    <row r="16" spans="2:39" s="32" customFormat="1" x14ac:dyDescent="0.15">
      <c r="B16" s="32" t="s">
        <v>83</v>
      </c>
      <c r="C16" s="32">
        <f t="shared" ref="C16:T16" si="17">C10-C15</f>
        <v>0</v>
      </c>
      <c r="D16" s="32">
        <f t="shared" si="17"/>
        <v>0</v>
      </c>
      <c r="E16" s="32">
        <f t="shared" si="17"/>
        <v>0</v>
      </c>
      <c r="F16" s="32">
        <f t="shared" si="17"/>
        <v>0</v>
      </c>
      <c r="G16" s="32">
        <f t="shared" si="17"/>
        <v>0</v>
      </c>
      <c r="H16" s="32">
        <f t="shared" si="17"/>
        <v>0</v>
      </c>
      <c r="I16" s="32">
        <f t="shared" si="17"/>
        <v>-35.657999999999959</v>
      </c>
      <c r="J16" s="32">
        <f t="shared" si="17"/>
        <v>0</v>
      </c>
      <c r="K16" s="32">
        <f t="shared" si="17"/>
        <v>0</v>
      </c>
      <c r="L16" s="32">
        <f t="shared" si="17"/>
        <v>0</v>
      </c>
      <c r="M16" s="32">
        <f t="shared" si="17"/>
        <v>50.561000000000035</v>
      </c>
      <c r="N16" s="32">
        <f t="shared" si="17"/>
        <v>112.54099999999994</v>
      </c>
      <c r="O16" s="32">
        <f t="shared" si="17"/>
        <v>118.89899999999989</v>
      </c>
      <c r="P16" s="32">
        <f t="shared" si="17"/>
        <v>139.44099999999992</v>
      </c>
      <c r="Q16" s="32">
        <f t="shared" si="17"/>
        <v>-4.1009999999999991</v>
      </c>
      <c r="R16" s="32">
        <f t="shared" si="17"/>
        <v>14.404000000000224</v>
      </c>
      <c r="S16" s="32">
        <f t="shared" si="17"/>
        <v>-97.975999999999885</v>
      </c>
      <c r="T16" s="32">
        <f t="shared" si="17"/>
        <v>-190.20799999999997</v>
      </c>
      <c r="U16" s="32">
        <f>U10-U15</f>
        <v>-345.36599999999999</v>
      </c>
      <c r="V16" s="32">
        <f t="shared" ref="V16" si="18">V10-V15</f>
        <v>-188.74899999999991</v>
      </c>
      <c r="W16" s="104"/>
      <c r="AB16" s="32">
        <f>AB10-AB15</f>
        <v>268.64299999999957</v>
      </c>
      <c r="AC16" s="92">
        <f>AC10-AC15</f>
        <v>-822.29899999999907</v>
      </c>
      <c r="AD16" s="51">
        <f t="shared" ref="AD16:AM16" si="19">AD10-AD15</f>
        <v>-1782.6823360000008</v>
      </c>
      <c r="AE16" s="56">
        <f t="shared" si="19"/>
        <v>-1840.9209215999999</v>
      </c>
      <c r="AF16" s="56">
        <f t="shared" si="19"/>
        <v>-1102.0188668000019</v>
      </c>
      <c r="AG16" s="56">
        <f t="shared" si="19"/>
        <v>-884.17015754000022</v>
      </c>
      <c r="AH16" s="56">
        <f t="shared" si="19"/>
        <v>662.20295753999926</v>
      </c>
      <c r="AI16" s="56">
        <f t="shared" si="19"/>
        <v>2916.4166744060021</v>
      </c>
      <c r="AJ16" s="56">
        <f t="shared" si="19"/>
        <v>3521.3646092872004</v>
      </c>
      <c r="AK16" s="56">
        <f t="shared" si="19"/>
        <v>4174.6828371988995</v>
      </c>
      <c r="AL16" s="56">
        <f t="shared" si="19"/>
        <v>4731.3663206427518</v>
      </c>
      <c r="AM16" s="56">
        <f t="shared" si="19"/>
        <v>5118.3207854877764</v>
      </c>
    </row>
    <row r="17" spans="2:87" s="33" customFormat="1" x14ac:dyDescent="0.15">
      <c r="B17" s="33" t="s">
        <v>84</v>
      </c>
      <c r="I17" s="33">
        <v>11.212</v>
      </c>
      <c r="M17" s="33">
        <v>135.80600000000001</v>
      </c>
      <c r="N17" s="33">
        <v>-2.7879999999999998</v>
      </c>
      <c r="O17" s="33">
        <v>1250.645</v>
      </c>
      <c r="P17" s="33">
        <v>779.87400000000002</v>
      </c>
      <c r="Q17" s="33">
        <v>1344.5530000000001</v>
      </c>
      <c r="R17" s="33">
        <v>-503.12299999999999</v>
      </c>
      <c r="S17" s="33">
        <v>-1554.8810000000001</v>
      </c>
      <c r="T17" s="33">
        <v>-1008.042</v>
      </c>
      <c r="U17" s="33">
        <v>188.233</v>
      </c>
      <c r="V17" s="33">
        <v>-425.85899999999998</v>
      </c>
      <c r="W17" s="98"/>
      <c r="AB17" s="33">
        <f t="shared" ref="AB17" si="20">SUM(O17:R17)</f>
        <v>2871.9490000000001</v>
      </c>
      <c r="AC17" s="91">
        <f t="shared" si="10"/>
        <v>-2800.549</v>
      </c>
      <c r="AD17" s="46">
        <f>AVERAGE(Y17:AC17)</f>
        <v>35.700000000000045</v>
      </c>
      <c r="AE17" s="31">
        <f t="shared" ref="AE17:AM17" si="21">AVERAGE(Z17:AD17)</f>
        <v>35.700000000000045</v>
      </c>
      <c r="AF17" s="31">
        <f t="shared" si="21"/>
        <v>35.700000000000045</v>
      </c>
      <c r="AG17" s="31">
        <f t="shared" si="21"/>
        <v>35.700000000000045</v>
      </c>
      <c r="AH17" s="31">
        <f t="shared" si="21"/>
        <v>-531.54980000000012</v>
      </c>
      <c r="AI17" s="31">
        <f t="shared" si="21"/>
        <v>-77.749959999999987</v>
      </c>
      <c r="AJ17" s="31">
        <f t="shared" si="21"/>
        <v>-100.43995199999999</v>
      </c>
      <c r="AK17" s="31">
        <f t="shared" si="21"/>
        <v>-127.66794239999999</v>
      </c>
      <c r="AL17" s="31">
        <f t="shared" si="21"/>
        <v>-160.34153087999999</v>
      </c>
      <c r="AM17" s="31">
        <f t="shared" si="21"/>
        <v>-199.54983705600003</v>
      </c>
    </row>
    <row r="18" spans="2:87" s="33" customFormat="1" x14ac:dyDescent="0.15">
      <c r="B18" s="33" t="s">
        <v>85</v>
      </c>
      <c r="C18" s="33">
        <f t="shared" ref="C18:T18" si="22">C16+C17</f>
        <v>0</v>
      </c>
      <c r="D18" s="33">
        <f t="shared" si="22"/>
        <v>0</v>
      </c>
      <c r="E18" s="33">
        <f t="shared" si="22"/>
        <v>0</v>
      </c>
      <c r="F18" s="33">
        <f t="shared" si="22"/>
        <v>0</v>
      </c>
      <c r="G18" s="33">
        <f t="shared" si="22"/>
        <v>0</v>
      </c>
      <c r="H18" s="33">
        <f t="shared" si="22"/>
        <v>0</v>
      </c>
      <c r="I18" s="33">
        <f t="shared" si="22"/>
        <v>-24.445999999999959</v>
      </c>
      <c r="J18" s="33">
        <f t="shared" si="22"/>
        <v>0</v>
      </c>
      <c r="K18" s="33">
        <f t="shared" si="22"/>
        <v>0</v>
      </c>
      <c r="L18" s="33">
        <f t="shared" si="22"/>
        <v>0</v>
      </c>
      <c r="M18" s="33">
        <f t="shared" si="22"/>
        <v>186.36700000000005</v>
      </c>
      <c r="N18" s="33">
        <f t="shared" si="22"/>
        <v>109.75299999999994</v>
      </c>
      <c r="O18" s="33">
        <f t="shared" si="22"/>
        <v>1369.5439999999999</v>
      </c>
      <c r="P18" s="33">
        <f t="shared" si="22"/>
        <v>919.31499999999994</v>
      </c>
      <c r="Q18" s="33">
        <f t="shared" si="22"/>
        <v>1340.4520000000002</v>
      </c>
      <c r="R18" s="33">
        <f t="shared" si="22"/>
        <v>-488.71899999999977</v>
      </c>
      <c r="S18" s="33">
        <f t="shared" si="22"/>
        <v>-1652.857</v>
      </c>
      <c r="T18" s="33">
        <f t="shared" si="22"/>
        <v>-1198.25</v>
      </c>
      <c r="U18" s="33">
        <f>U16+U17</f>
        <v>-157.13299999999998</v>
      </c>
      <c r="V18" s="33">
        <f t="shared" ref="V18" si="23">V16+V17</f>
        <v>-614.60799999999995</v>
      </c>
      <c r="W18" s="98"/>
      <c r="AB18" s="33">
        <f>AB16+AB17</f>
        <v>3140.5919999999996</v>
      </c>
      <c r="AC18" s="91">
        <f>AC16+AC17</f>
        <v>-3622.847999999999</v>
      </c>
      <c r="AD18" s="46">
        <f t="shared" ref="AD18:AM18" si="24">AD16+AD17</f>
        <v>-1746.9823360000007</v>
      </c>
      <c r="AE18" s="31">
        <f t="shared" si="24"/>
        <v>-1805.2209215999999</v>
      </c>
      <c r="AF18" s="31">
        <f t="shared" si="24"/>
        <v>-1066.3188668000018</v>
      </c>
      <c r="AG18" s="31">
        <f t="shared" si="24"/>
        <v>-848.47015754000017</v>
      </c>
      <c r="AH18" s="31">
        <f t="shared" si="24"/>
        <v>130.65315753999914</v>
      </c>
      <c r="AI18" s="31">
        <f t="shared" si="24"/>
        <v>2838.666714406002</v>
      </c>
      <c r="AJ18" s="31">
        <f t="shared" si="24"/>
        <v>3420.9246572872003</v>
      </c>
      <c r="AK18" s="31">
        <f t="shared" si="24"/>
        <v>4047.0148947988996</v>
      </c>
      <c r="AL18" s="31">
        <f t="shared" si="24"/>
        <v>4571.0247897627514</v>
      </c>
      <c r="AM18" s="31">
        <f t="shared" si="24"/>
        <v>4918.7709484317766</v>
      </c>
    </row>
    <row r="19" spans="2:87" s="33" customFormat="1" x14ac:dyDescent="0.15">
      <c r="B19" s="33" t="s">
        <v>86</v>
      </c>
      <c r="I19" s="33">
        <v>48.338000000000001</v>
      </c>
      <c r="M19" s="33">
        <v>-4.7009999999999996</v>
      </c>
      <c r="N19" s="33">
        <v>-14.119</v>
      </c>
      <c r="O19" s="33">
        <v>111.099</v>
      </c>
      <c r="P19" s="33">
        <v>40.222000000000001</v>
      </c>
      <c r="Q19" s="33">
        <v>192.02</v>
      </c>
      <c r="R19" s="33">
        <v>-117.408</v>
      </c>
      <c r="S19" s="33">
        <v>-178.44900000000001</v>
      </c>
      <c r="T19" s="33">
        <v>5.657</v>
      </c>
      <c r="U19" s="33">
        <v>1.276</v>
      </c>
      <c r="V19" s="33">
        <v>9.0860000000000003</v>
      </c>
      <c r="W19" s="98"/>
      <c r="AB19" s="33">
        <f t="shared" ref="AB19" si="25">SUM(O19:R19)</f>
        <v>225.93299999999999</v>
      </c>
      <c r="AC19" s="91">
        <f t="shared" si="10"/>
        <v>-162.42999999999998</v>
      </c>
      <c r="AD19" s="46">
        <f>AD18*AD36</f>
        <v>-436.74558400000018</v>
      </c>
      <c r="AE19" s="31">
        <f t="shared" ref="AE19:AM19" si="26">AE18*AE36</f>
        <v>-451.30523039999997</v>
      </c>
      <c r="AF19" s="31">
        <f t="shared" si="26"/>
        <v>-213.26377336000039</v>
      </c>
      <c r="AG19" s="31">
        <f t="shared" si="26"/>
        <v>-152.72462835720003</v>
      </c>
      <c r="AH19" s="31">
        <f t="shared" si="26"/>
        <v>23.517568357199846</v>
      </c>
      <c r="AI19" s="31">
        <f t="shared" si="26"/>
        <v>425.80000716090029</v>
      </c>
      <c r="AJ19" s="31">
        <f t="shared" si="26"/>
        <v>513.13869859307999</v>
      </c>
      <c r="AK19" s="31">
        <f t="shared" si="26"/>
        <v>607.05223421983487</v>
      </c>
      <c r="AL19" s="31">
        <f t="shared" si="26"/>
        <v>685.65371846441269</v>
      </c>
      <c r="AM19" s="31">
        <f t="shared" si="26"/>
        <v>737.81564226476644</v>
      </c>
    </row>
    <row r="20" spans="2:87" s="32" customFormat="1" x14ac:dyDescent="0.15">
      <c r="B20" s="32" t="s">
        <v>87</v>
      </c>
      <c r="C20" s="32">
        <f t="shared" ref="C20:T20" si="27">C18-C19</f>
        <v>0</v>
      </c>
      <c r="D20" s="32">
        <f t="shared" si="27"/>
        <v>0</v>
      </c>
      <c r="E20" s="32">
        <f t="shared" si="27"/>
        <v>0</v>
      </c>
      <c r="F20" s="32">
        <f t="shared" si="27"/>
        <v>0</v>
      </c>
      <c r="G20" s="32">
        <f t="shared" si="27"/>
        <v>0</v>
      </c>
      <c r="H20" s="32">
        <f t="shared" si="27"/>
        <v>0</v>
      </c>
      <c r="I20" s="32">
        <f t="shared" si="27"/>
        <v>-72.783999999999963</v>
      </c>
      <c r="J20" s="32">
        <f t="shared" si="27"/>
        <v>0</v>
      </c>
      <c r="K20" s="32">
        <f t="shared" si="27"/>
        <v>0</v>
      </c>
      <c r="L20" s="32">
        <f t="shared" si="27"/>
        <v>0</v>
      </c>
      <c r="M20" s="32">
        <f t="shared" si="27"/>
        <v>191.06800000000004</v>
      </c>
      <c r="N20" s="32">
        <f t="shared" si="27"/>
        <v>123.87199999999994</v>
      </c>
      <c r="O20" s="32">
        <f t="shared" si="27"/>
        <v>1258.4449999999999</v>
      </c>
      <c r="P20" s="32">
        <f t="shared" si="27"/>
        <v>879.09299999999996</v>
      </c>
      <c r="Q20" s="32">
        <f t="shared" si="27"/>
        <v>1148.4320000000002</v>
      </c>
      <c r="R20" s="32">
        <f t="shared" si="27"/>
        <v>-371.31099999999975</v>
      </c>
      <c r="S20" s="32">
        <f t="shared" si="27"/>
        <v>-1474.4079999999999</v>
      </c>
      <c r="T20" s="32">
        <f t="shared" si="27"/>
        <v>-1203.9069999999999</v>
      </c>
      <c r="U20" s="32">
        <f>U18-U19</f>
        <v>-158.40899999999999</v>
      </c>
      <c r="V20" s="32">
        <f t="shared" ref="V20" si="28">V18-V19</f>
        <v>-623.69399999999996</v>
      </c>
      <c r="W20" s="104"/>
      <c r="AB20" s="32">
        <f>AB18-AB19</f>
        <v>2914.6589999999997</v>
      </c>
      <c r="AC20" s="92">
        <f>AC18-AC19</f>
        <v>-3460.4179999999992</v>
      </c>
      <c r="AD20" s="51">
        <f t="shared" ref="AD20:AM20" si="29">AD18-AD19</f>
        <v>-1310.2367520000005</v>
      </c>
      <c r="AE20" s="56">
        <f t="shared" si="29"/>
        <v>-1353.9156911999999</v>
      </c>
      <c r="AF20" s="56">
        <f t="shared" si="29"/>
        <v>-853.05509344000143</v>
      </c>
      <c r="AG20" s="56">
        <f t="shared" si="29"/>
        <v>-695.74552918280017</v>
      </c>
      <c r="AH20" s="56">
        <f t="shared" si="29"/>
        <v>107.13558918279929</v>
      </c>
      <c r="AI20" s="56">
        <f t="shared" si="29"/>
        <v>2412.8667072451017</v>
      </c>
      <c r="AJ20" s="56">
        <f t="shared" si="29"/>
        <v>2907.7859586941204</v>
      </c>
      <c r="AK20" s="56">
        <f t="shared" si="29"/>
        <v>3439.9626605790645</v>
      </c>
      <c r="AL20" s="56">
        <f t="shared" si="29"/>
        <v>3885.3710712983388</v>
      </c>
      <c r="AM20" s="56">
        <f t="shared" si="29"/>
        <v>4180.9553061670103</v>
      </c>
      <c r="AN20" s="32">
        <f>AM20*(1+$AP$23)</f>
        <v>4264.5744122903507</v>
      </c>
      <c r="AO20" s="32">
        <f t="shared" ref="AO20:CI20" si="30">AN20*(1+$AP$23)</f>
        <v>4349.8659005361578</v>
      </c>
      <c r="AP20" s="32">
        <f t="shared" si="30"/>
        <v>4436.8632185468814</v>
      </c>
      <c r="AQ20" s="32">
        <f t="shared" si="30"/>
        <v>4525.6004829178191</v>
      </c>
      <c r="AR20" s="32">
        <f t="shared" si="30"/>
        <v>4616.112492576176</v>
      </c>
      <c r="AS20" s="32">
        <f t="shared" si="30"/>
        <v>4708.4347424276993</v>
      </c>
      <c r="AT20" s="32">
        <f t="shared" si="30"/>
        <v>4802.6034372762533</v>
      </c>
      <c r="AU20" s="32">
        <f t="shared" si="30"/>
        <v>4898.6555060217788</v>
      </c>
      <c r="AV20" s="32">
        <f t="shared" si="30"/>
        <v>4996.6286161422149</v>
      </c>
      <c r="AW20" s="32">
        <f t="shared" si="30"/>
        <v>5096.5611884650589</v>
      </c>
      <c r="AX20" s="32">
        <f t="shared" si="30"/>
        <v>5198.49241223436</v>
      </c>
      <c r="AY20" s="32">
        <f t="shared" si="30"/>
        <v>5302.4622604790475</v>
      </c>
      <c r="AZ20" s="32">
        <f t="shared" si="30"/>
        <v>5408.5115056886289</v>
      </c>
      <c r="BA20" s="32">
        <f t="shared" si="30"/>
        <v>5516.6817358024018</v>
      </c>
      <c r="BB20" s="32">
        <f t="shared" si="30"/>
        <v>5627.0153705184503</v>
      </c>
      <c r="BC20" s="32">
        <f t="shared" si="30"/>
        <v>5739.555677928819</v>
      </c>
      <c r="BD20" s="32">
        <f t="shared" si="30"/>
        <v>5854.3467914873954</v>
      </c>
      <c r="BE20" s="32">
        <f t="shared" si="30"/>
        <v>5971.4337273171432</v>
      </c>
      <c r="BF20" s="32">
        <f t="shared" si="30"/>
        <v>6090.8624018634864</v>
      </c>
      <c r="BG20" s="32">
        <f t="shared" si="30"/>
        <v>6212.679649900756</v>
      </c>
      <c r="BH20" s="32">
        <f t="shared" si="30"/>
        <v>6336.9332428987709</v>
      </c>
      <c r="BI20" s="32">
        <f t="shared" si="30"/>
        <v>6463.6719077567468</v>
      </c>
      <c r="BJ20" s="32">
        <f t="shared" si="30"/>
        <v>6592.9453459118822</v>
      </c>
      <c r="BK20" s="32">
        <f t="shared" si="30"/>
        <v>6724.8042528301203</v>
      </c>
      <c r="BL20" s="32">
        <f t="shared" si="30"/>
        <v>6859.3003378867224</v>
      </c>
      <c r="BM20" s="32">
        <f t="shared" si="30"/>
        <v>6996.4863446444569</v>
      </c>
      <c r="BN20" s="32">
        <f t="shared" si="30"/>
        <v>7136.4160715373464</v>
      </c>
      <c r="BO20" s="32">
        <f t="shared" si="30"/>
        <v>7279.1443929680936</v>
      </c>
      <c r="BP20" s="32">
        <f t="shared" si="30"/>
        <v>7424.7272808274556</v>
      </c>
      <c r="BQ20" s="32">
        <f t="shared" si="30"/>
        <v>7573.2218264440053</v>
      </c>
      <c r="BR20" s="32">
        <f t="shared" si="30"/>
        <v>7724.6862629728857</v>
      </c>
      <c r="BS20" s="32">
        <f t="shared" si="30"/>
        <v>7879.1799882323439</v>
      </c>
      <c r="BT20" s="32">
        <f t="shared" si="30"/>
        <v>8036.7635879969912</v>
      </c>
      <c r="BU20" s="32">
        <f t="shared" si="30"/>
        <v>8197.4988597569318</v>
      </c>
      <c r="BV20" s="32">
        <f t="shared" si="30"/>
        <v>8361.4488369520714</v>
      </c>
      <c r="BW20" s="32">
        <f t="shared" si="30"/>
        <v>8528.6778136911125</v>
      </c>
      <c r="BX20" s="32">
        <f t="shared" si="30"/>
        <v>8699.2513699649353</v>
      </c>
      <c r="BY20" s="32">
        <f t="shared" si="30"/>
        <v>8873.236397364235</v>
      </c>
      <c r="BZ20" s="32">
        <f t="shared" si="30"/>
        <v>9050.7011253115197</v>
      </c>
      <c r="CA20" s="32">
        <f t="shared" si="30"/>
        <v>9231.7151478177511</v>
      </c>
      <c r="CB20" s="32">
        <f t="shared" si="30"/>
        <v>9416.349450774107</v>
      </c>
      <c r="CC20" s="32">
        <f t="shared" si="30"/>
        <v>9604.6764397895895</v>
      </c>
      <c r="CD20" s="32">
        <f t="shared" si="30"/>
        <v>9796.7699685853822</v>
      </c>
      <c r="CE20" s="32">
        <f t="shared" si="30"/>
        <v>9992.7053679570909</v>
      </c>
      <c r="CF20" s="32">
        <f t="shared" si="30"/>
        <v>10192.559475316233</v>
      </c>
      <c r="CG20" s="32">
        <f t="shared" si="30"/>
        <v>10396.410664822559</v>
      </c>
      <c r="CH20" s="32">
        <f t="shared" si="30"/>
        <v>10604.33887811901</v>
      </c>
      <c r="CI20" s="32">
        <f t="shared" si="30"/>
        <v>10816.425655681391</v>
      </c>
    </row>
    <row r="21" spans="2:87" x14ac:dyDescent="0.15">
      <c r="B21" s="1" t="s">
        <v>88</v>
      </c>
      <c r="I21" s="36">
        <f t="shared" ref="I21" si="31">I20/I22</f>
        <v>-0.64361068850382475</v>
      </c>
      <c r="M21" s="36">
        <f t="shared" ref="M21:P21" si="32">M20/M22</f>
        <v>1.5854754556005637</v>
      </c>
      <c r="N21" s="36">
        <f t="shared" si="32"/>
        <v>1.0138395664853699</v>
      </c>
      <c r="O21" s="36">
        <f t="shared" si="32"/>
        <v>10.211033185076877</v>
      </c>
      <c r="P21" s="36">
        <f t="shared" si="32"/>
        <v>7.058293271184958</v>
      </c>
      <c r="Q21" s="36">
        <f t="shared" ref="Q21:V21" si="33">Q20/Q22</f>
        <v>9.1822067160645613</v>
      </c>
      <c r="R21" s="29">
        <f t="shared" si="33"/>
        <v>-2.9531293873360611</v>
      </c>
      <c r="S21" s="29">
        <f t="shared" si="33"/>
        <v>-11.700437476856566</v>
      </c>
      <c r="T21" s="29">
        <f t="shared" si="33"/>
        <v>-0.95395869419321089</v>
      </c>
      <c r="U21" s="29">
        <f t="shared" si="33"/>
        <v>-0.12478797234804595</v>
      </c>
      <c r="V21" s="29">
        <f t="shared" si="33"/>
        <v>-0.48980993749720042</v>
      </c>
      <c r="X21" s="33"/>
      <c r="AB21" s="33">
        <f>AB20/AB22</f>
        <v>23.181013077887648</v>
      </c>
      <c r="AC21" s="93">
        <f>AC20/AC22</f>
        <v>-2.732768715959693</v>
      </c>
      <c r="AD21" s="99">
        <f>AD20/AD22</f>
        <v>-1.0347229746135411</v>
      </c>
      <c r="AE21" s="59">
        <f t="shared" ref="AE21:AM21" si="34">AE20/AE22</f>
        <v>-1.0692172000487525</v>
      </c>
      <c r="AF21" s="59">
        <f t="shared" si="34"/>
        <v>-0.67367649582880129</v>
      </c>
      <c r="AG21" s="59">
        <f t="shared" si="34"/>
        <v>-0.54944564975086196</v>
      </c>
      <c r="AH21" s="59">
        <f t="shared" si="34"/>
        <v>8.4607346998155614E-2</v>
      </c>
      <c r="AI21" s="59">
        <f t="shared" si="34"/>
        <v>1.9054942649529885</v>
      </c>
      <c r="AJ21" s="59">
        <f t="shared" si="34"/>
        <v>2.2963429564365221</v>
      </c>
      <c r="AK21" s="59">
        <f t="shared" si="34"/>
        <v>2.716614681492219</v>
      </c>
      <c r="AL21" s="59">
        <f t="shared" si="34"/>
        <v>3.0683635657712163</v>
      </c>
      <c r="AM21" s="59">
        <f t="shared" si="34"/>
        <v>3.3017929809401316</v>
      </c>
    </row>
    <row r="22" spans="2:87" x14ac:dyDescent="0.15">
      <c r="B22" s="1" t="s">
        <v>4</v>
      </c>
      <c r="C22" s="33"/>
      <c r="D22" s="33"/>
      <c r="E22" s="33"/>
      <c r="F22" s="33"/>
      <c r="G22" s="33"/>
      <c r="H22" s="33"/>
      <c r="I22" s="33">
        <v>113.086997</v>
      </c>
      <c r="J22" s="33"/>
      <c r="K22" s="33"/>
      <c r="L22" s="33"/>
      <c r="M22" s="33">
        <v>120.511484</v>
      </c>
      <c r="N22" s="33">
        <v>122.181067</v>
      </c>
      <c r="O22" s="33">
        <v>123.24365</v>
      </c>
      <c r="P22" s="33">
        <f>1245.47531/10</f>
        <v>124.54753100000001</v>
      </c>
      <c r="Q22" s="33">
        <f>1250.7146/10</f>
        <v>125.07146</v>
      </c>
      <c r="R22" s="33">
        <v>125.73475500000001</v>
      </c>
      <c r="S22" s="33">
        <v>126.01306599999999</v>
      </c>
      <c r="T22" s="33">
        <v>1262.011665</v>
      </c>
      <c r="U22" s="33">
        <v>1269.4252260000001</v>
      </c>
      <c r="V22" s="33">
        <v>1273.338804</v>
      </c>
      <c r="X22" s="33"/>
      <c r="AB22" s="33">
        <f>R22</f>
        <v>125.73475500000001</v>
      </c>
      <c r="AC22" s="91">
        <v>1266.268155</v>
      </c>
      <c r="AD22" s="46">
        <f>AC22</f>
        <v>1266.268155</v>
      </c>
      <c r="AE22" s="31">
        <f t="shared" ref="AE22:AM22" si="35">AD22</f>
        <v>1266.268155</v>
      </c>
      <c r="AF22" s="31">
        <f t="shared" si="35"/>
        <v>1266.268155</v>
      </c>
      <c r="AG22" s="31">
        <f t="shared" si="35"/>
        <v>1266.268155</v>
      </c>
      <c r="AH22" s="31">
        <f t="shared" si="35"/>
        <v>1266.268155</v>
      </c>
      <c r="AI22" s="31">
        <f t="shared" si="35"/>
        <v>1266.268155</v>
      </c>
      <c r="AJ22" s="31">
        <f t="shared" si="35"/>
        <v>1266.268155</v>
      </c>
      <c r="AK22" s="31">
        <f t="shared" si="35"/>
        <v>1266.268155</v>
      </c>
      <c r="AL22" s="31">
        <f t="shared" si="35"/>
        <v>1266.268155</v>
      </c>
      <c r="AM22" s="31">
        <f t="shared" si="35"/>
        <v>1266.268155</v>
      </c>
    </row>
    <row r="23" spans="2:87" x14ac:dyDescent="0.15">
      <c r="AO23" s="60" t="s">
        <v>145</v>
      </c>
      <c r="AP23" s="66">
        <v>0.02</v>
      </c>
    </row>
    <row r="24" spans="2:87" s="2" customFormat="1" x14ac:dyDescent="0.15">
      <c r="B24" s="2" t="s">
        <v>89</v>
      </c>
      <c r="M24" s="34">
        <f t="shared" ref="M24" si="36">M6/I6-1</f>
        <v>0.96492400499805386</v>
      </c>
      <c r="Q24" s="34">
        <f t="shared" ref="Q24" si="37">Q6/M6-1</f>
        <v>0.46433760530619428</v>
      </c>
      <c r="R24" s="34">
        <f t="shared" ref="R24" si="38">R6/N6-1</f>
        <v>0.4114369405488556</v>
      </c>
      <c r="S24" s="34">
        <f t="shared" ref="S24" si="39">S6/O6-1</f>
        <v>0.2174446491012465</v>
      </c>
      <c r="T24" s="34">
        <f t="shared" ref="T24" si="40">T6/P6-1</f>
        <v>0.15687952512182401</v>
      </c>
      <c r="U24" s="34">
        <f>U6/Q6-1</f>
        <v>0.2157616530514177</v>
      </c>
      <c r="V24" s="34">
        <f>V6/R6-1</f>
        <v>0.25720857028573407</v>
      </c>
      <c r="W24" s="107">
        <v>0.28000000000000003</v>
      </c>
      <c r="AB24" s="34">
        <f>AB6/AA6-1</f>
        <v>0.57428577182862139</v>
      </c>
      <c r="AC24" s="95">
        <f>AC6/AB6-1</f>
        <v>0.21423218764853047</v>
      </c>
      <c r="AD24" s="53">
        <v>0.3</v>
      </c>
      <c r="AE24" s="57">
        <v>0.4</v>
      </c>
      <c r="AF24" s="57">
        <v>0.5</v>
      </c>
      <c r="AG24" s="57">
        <v>0.45</v>
      </c>
      <c r="AH24" s="57">
        <v>0.4</v>
      </c>
      <c r="AI24" s="57">
        <v>0.3</v>
      </c>
      <c r="AJ24" s="57">
        <v>0.2</v>
      </c>
      <c r="AK24" s="57">
        <v>0.18</v>
      </c>
      <c r="AL24" s="57">
        <v>0.13</v>
      </c>
      <c r="AM24" s="57">
        <v>0.08</v>
      </c>
      <c r="AO24" s="61" t="s">
        <v>146</v>
      </c>
      <c r="AP24" s="63">
        <v>7.0000000000000007E-2</v>
      </c>
    </row>
    <row r="25" spans="2:87" x14ac:dyDescent="0.15">
      <c r="B25" s="27" t="s">
        <v>90</v>
      </c>
      <c r="M25" s="35">
        <f t="shared" ref="M25:M26" si="41">M4/I4-1</f>
        <v>0.48132892853476039</v>
      </c>
      <c r="Q25" s="35">
        <f t="shared" ref="Q25:Q26" si="42">Q4/M4-1</f>
        <v>0.37074455506902493</v>
      </c>
      <c r="R25" s="35">
        <f t="shared" ref="R25:R26" si="43">R4/N4-1</f>
        <v>0.25682794159748079</v>
      </c>
      <c r="S25" s="35">
        <f t="shared" ref="S25:S26" si="44">S4/O4-1</f>
        <v>7.5090198670953567E-2</v>
      </c>
      <c r="T25" s="35">
        <f t="shared" ref="T25:T26" si="45">T4/P4-1</f>
        <v>9.6356776778154352E-2</v>
      </c>
      <c r="U25" s="35">
        <f>U4/Q4-1</f>
        <v>0.11925058297244551</v>
      </c>
      <c r="V25" s="35">
        <f t="shared" ref="V25:V26" si="46">V4/R4-1</f>
        <v>0.13964943850937339</v>
      </c>
      <c r="AC25" s="96">
        <f>AC4/AB4-1</f>
        <v>0.10833741825804899</v>
      </c>
      <c r="AO25" s="61" t="s">
        <v>147</v>
      </c>
      <c r="AP25" s="67">
        <f>NPV(AP24,AC20:CI20)</f>
        <v>38915.346323985468</v>
      </c>
    </row>
    <row r="26" spans="2:87" x14ac:dyDescent="0.15">
      <c r="B26" s="27" t="s">
        <v>91</v>
      </c>
      <c r="M26" s="35">
        <f t="shared" si="41"/>
        <v>1.3208400933437048</v>
      </c>
      <c r="Q26" s="35">
        <f t="shared" si="42"/>
        <v>0.50830347173410528</v>
      </c>
      <c r="R26" s="35">
        <f t="shared" si="43"/>
        <v>0.47330675465126948</v>
      </c>
      <c r="S26" s="35">
        <f t="shared" si="44"/>
        <v>0.28578700113478828</v>
      </c>
      <c r="T26" s="35">
        <f t="shared" si="45"/>
        <v>0.18264205153284241</v>
      </c>
      <c r="U26" s="35">
        <f>U5/Q5-1</f>
        <v>0.25696352656146026</v>
      </c>
      <c r="V26" s="35">
        <f t="shared" si="46"/>
        <v>0.29733985474564917</v>
      </c>
      <c r="AC26" s="96">
        <f>AC5/AB5-1</f>
        <v>0.25770831332531174</v>
      </c>
      <c r="AO26" s="61" t="s">
        <v>8</v>
      </c>
      <c r="AP26" s="68">
        <f>Main!C11</f>
        <v>4139.6379999999999</v>
      </c>
    </row>
    <row r="27" spans="2:87" x14ac:dyDescent="0.15">
      <c r="B27" s="1" t="s">
        <v>92</v>
      </c>
      <c r="M27" s="35"/>
      <c r="N27" s="35">
        <f t="shared" ref="N27" si="47">N6/M6-1</f>
        <v>0.27409125559515513</v>
      </c>
      <c r="O27" s="35">
        <f t="shared" ref="O27:Q27" si="48">O6/N6-1</f>
        <v>1.1151180677150707E-2</v>
      </c>
      <c r="P27" s="35">
        <f t="shared" si="48"/>
        <v>0.13230000192181834</v>
      </c>
      <c r="Q27" s="35">
        <f t="shared" si="48"/>
        <v>3.8367226616762284E-3</v>
      </c>
      <c r="R27" s="35">
        <f t="shared" ref="R27:S27" si="49">R6/Q6-1</f>
        <v>0.22806343104276805</v>
      </c>
      <c r="S27" s="35">
        <f t="shared" si="49"/>
        <v>-0.12782458855788015</v>
      </c>
      <c r="T27" s="35">
        <f>T6/S6-1</f>
        <v>7.5970632000219362E-2</v>
      </c>
      <c r="U27" s="35">
        <f>U6/T6-1</f>
        <v>5.4929374092225647E-2</v>
      </c>
      <c r="V27" s="35">
        <f>V6/U6-1</f>
        <v>0.26992973210364513</v>
      </c>
      <c r="AB27" s="20" t="s">
        <v>154</v>
      </c>
      <c r="AC27" s="120" t="s">
        <v>154</v>
      </c>
      <c r="AO27" s="61" t="s">
        <v>148</v>
      </c>
      <c r="AP27" s="67">
        <f>AP25-AP26</f>
        <v>34775.708323985469</v>
      </c>
    </row>
    <row r="28" spans="2:87" x14ac:dyDescent="0.15">
      <c r="AO28" s="3" t="s">
        <v>149</v>
      </c>
      <c r="AP28" s="69">
        <f>AP27/Main!C7</f>
        <v>27.310648363768447</v>
      </c>
    </row>
    <row r="29" spans="2:87" s="34" customFormat="1" x14ac:dyDescent="0.15">
      <c r="B29" s="34" t="s">
        <v>93</v>
      </c>
      <c r="M29" s="34">
        <f t="shared" ref="M29" si="50">M10/M6</f>
        <v>0.52794547859344154</v>
      </c>
      <c r="N29" s="34">
        <f t="shared" ref="N29:O29" si="51">N10/N6</f>
        <v>0.51586918457183062</v>
      </c>
      <c r="O29" s="34">
        <f t="shared" si="51"/>
        <v>0.56513194294829194</v>
      </c>
      <c r="P29" s="34">
        <f t="shared" ref="P29" si="52">P10/P6</f>
        <v>0.55461411681681538</v>
      </c>
      <c r="Q29" s="34">
        <f>Q10/Q6</f>
        <v>0.54185932689056182</v>
      </c>
      <c r="R29" s="34">
        <f t="shared" ref="R29" si="53">R10/R6</f>
        <v>0.501918082584071</v>
      </c>
      <c r="S29" s="34">
        <f t="shared" ref="S29" si="54">S10/S6</f>
        <v>0.52976471868683139</v>
      </c>
      <c r="T29" s="34">
        <f t="shared" ref="T29" si="55">T10/T6</f>
        <v>0.50626262969446278</v>
      </c>
      <c r="U29" s="34">
        <f>U10/U6</f>
        <v>0.48479871175523354</v>
      </c>
      <c r="V29" s="34">
        <f t="shared" ref="V29" si="56">V10/V6</f>
        <v>0.46024099441030381</v>
      </c>
      <c r="W29" s="107">
        <v>0.46</v>
      </c>
      <c r="AB29" s="34">
        <f>AB10/AB6</f>
        <v>0.53799251320943231</v>
      </c>
      <c r="AC29" s="34">
        <f t="shared" ref="AC29" si="57">AC10/AC6</f>
        <v>0.49181890845920551</v>
      </c>
      <c r="AD29" s="53">
        <v>0.48</v>
      </c>
      <c r="AE29" s="57">
        <v>0.51</v>
      </c>
      <c r="AF29" s="57">
        <v>0.51</v>
      </c>
      <c r="AG29" s="57">
        <v>0.52</v>
      </c>
      <c r="AH29" s="57">
        <v>0.53</v>
      </c>
      <c r="AI29" s="57">
        <v>0.55000000000000004</v>
      </c>
      <c r="AJ29" s="57">
        <v>0.55000000000000004</v>
      </c>
      <c r="AK29" s="57">
        <v>0.55000000000000004</v>
      </c>
      <c r="AL29" s="57">
        <v>0.55000000000000004</v>
      </c>
      <c r="AM29" s="57">
        <v>0.55000000000000004</v>
      </c>
      <c r="AO29" s="62" t="s">
        <v>150</v>
      </c>
      <c r="AP29" s="70">
        <f>Main!C6</f>
        <v>48.2</v>
      </c>
    </row>
    <row r="30" spans="2:87" s="41" customFormat="1" x14ac:dyDescent="0.15">
      <c r="B30" s="40" t="s">
        <v>110</v>
      </c>
      <c r="M30" s="41">
        <f t="shared" ref="M30" si="58">(M4-M7)/M4</f>
        <v>0.78729910222852806</v>
      </c>
      <c r="N30" s="41">
        <f t="shared" ref="N30:O30" si="59">(N4-N7)/N4</f>
        <v>0.78796879473232173</v>
      </c>
      <c r="O30" s="41">
        <f t="shared" si="59"/>
        <v>0.81794368858772426</v>
      </c>
      <c r="P30" s="41">
        <f t="shared" ref="P30" si="60">(P4-P7)/P4</f>
        <v>0.81143021269338833</v>
      </c>
      <c r="Q30" s="41">
        <f>(Q4-Q7)/Q4</f>
        <v>0.79966270879931467</v>
      </c>
      <c r="R30" s="41">
        <f t="shared" ref="R30:R31" si="61">(R4-R7)/R4</f>
        <v>0.78477995945422663</v>
      </c>
      <c r="S30" s="41">
        <f t="shared" ref="S30" si="62">(S4-S7)/S4</f>
        <v>0.77507606718857414</v>
      </c>
      <c r="T30" s="41">
        <f t="shared" ref="T30" si="63">(T4-T7)/T4</f>
        <v>0.76739083568249356</v>
      </c>
      <c r="U30" s="41">
        <f>(U4-U7)/U4</f>
        <v>0.78125755711518174</v>
      </c>
      <c r="V30" s="41">
        <f t="shared" ref="V30:V31" si="64">(V4-V7)/V4</f>
        <v>0.78570857505484015</v>
      </c>
      <c r="W30" s="47"/>
      <c r="AB30" s="41">
        <f>(AB4-AB7)/AB4</f>
        <v>0.80306615194132025</v>
      </c>
      <c r="AC30" s="41">
        <f t="shared" ref="AC30:AC31" si="65">(AC4-AC7)/AC4</f>
        <v>0.77760712588530811</v>
      </c>
      <c r="AD30" s="47"/>
      <c r="AO30" s="64" t="s">
        <v>151</v>
      </c>
      <c r="AP30" s="65">
        <f>AP28/AP29-1</f>
        <v>-0.43338903809609031</v>
      </c>
    </row>
    <row r="31" spans="2:87" s="41" customFormat="1" x14ac:dyDescent="0.15">
      <c r="B31" s="40" t="s">
        <v>111</v>
      </c>
      <c r="M31" s="41">
        <f t="shared" ref="M31" si="66">(M5-M8)/M5</f>
        <v>0.406112642229632</v>
      </c>
      <c r="N31" s="41">
        <f t="shared" ref="N31:O31" si="67">(N5-N8)/N5</f>
        <v>0.40698320502245439</v>
      </c>
      <c r="O31" s="41">
        <f t="shared" si="67"/>
        <v>0.4437606105699991</v>
      </c>
      <c r="P31" s="41">
        <f t="shared" ref="P31" si="68">(P5-P8)/P5</f>
        <v>0.44529602347403491</v>
      </c>
      <c r="Q31" s="41">
        <f>(Q5-Q8)/Q5</f>
        <v>0.43179959671480017</v>
      </c>
      <c r="R31" s="41">
        <f t="shared" si="61"/>
        <v>0.40535722617066611</v>
      </c>
      <c r="S31" s="41">
        <f t="shared" ref="S31" si="69">(S5-S8)/S5</f>
        <v>0.43129280373331225</v>
      </c>
      <c r="T31" s="41">
        <f t="shared" ref="T31" si="70">(T5-T8)/T5</f>
        <v>0.40321875471129204</v>
      </c>
      <c r="U31" s="41">
        <f>(U5-U8)/U5</f>
        <v>0.37210260844793264</v>
      </c>
      <c r="V31" s="41">
        <f t="shared" si="64"/>
        <v>0.36264051594187263</v>
      </c>
      <c r="W31" s="47"/>
      <c r="AB31" s="41">
        <f>(AB5-AB8)/AB5</f>
        <v>0.42916395730018025</v>
      </c>
      <c r="AC31" s="41">
        <f t="shared" si="65"/>
        <v>0.38842077232950023</v>
      </c>
      <c r="AD31" s="47"/>
    </row>
    <row r="32" spans="2:87" s="35" customFormat="1" x14ac:dyDescent="0.15">
      <c r="B32" s="35" t="s">
        <v>94</v>
      </c>
      <c r="M32" s="35">
        <f t="shared" ref="M32" si="71">M16/M6</f>
        <v>6.5885679660674656E-2</v>
      </c>
      <c r="N32" s="35">
        <f t="shared" ref="N32:O32" si="72">N16/N6</f>
        <v>0.11510272627599857</v>
      </c>
      <c r="O32" s="35">
        <f t="shared" si="72"/>
        <v>0.12026436129376804</v>
      </c>
      <c r="P32" s="35">
        <f t="shared" ref="P32" si="73">P16/P6</f>
        <v>0.12456261808306789</v>
      </c>
      <c r="Q32" s="35">
        <f>Q16/Q6</f>
        <v>-3.6494206844999723E-3</v>
      </c>
      <c r="R32" s="35">
        <f t="shared" ref="R32" si="74">R16/R6</f>
        <v>1.0437499637687623E-2</v>
      </c>
      <c r="S32" s="35">
        <f t="shared" ref="S32" si="75">S16/S6</f>
        <v>-8.1400903771363525E-2</v>
      </c>
      <c r="T32" s="35">
        <f t="shared" ref="T32" si="76">T16/T6</f>
        <v>-0.14687161937295712</v>
      </c>
      <c r="U32" s="35">
        <f>U16/U6</f>
        <v>-0.2527931488801054</v>
      </c>
      <c r="V32" s="35">
        <f t="shared" ref="V32" si="77">V16/V6</f>
        <v>-0.10879042846652805</v>
      </c>
      <c r="W32" s="100"/>
      <c r="AB32" s="35">
        <f>AB16/AB6</f>
        <v>5.8250517795872113E-2</v>
      </c>
      <c r="AC32" s="35">
        <f t="shared" ref="AC32" si="78">AC16/AC6</f>
        <v>-0.14684267332206621</v>
      </c>
      <c r="AD32" s="47">
        <f>AD16/AD6</f>
        <v>-0.24487989433589549</v>
      </c>
      <c r="AE32" s="41">
        <f t="shared" ref="AE32:AM32" si="79">AE16/AE6</f>
        <v>-0.18062849595421099</v>
      </c>
      <c r="AF32" s="41">
        <f t="shared" si="79"/>
        <v>-7.208566396947412E-2</v>
      </c>
      <c r="AG32" s="41">
        <f t="shared" si="79"/>
        <v>-3.9886664806533807E-2</v>
      </c>
      <c r="AH32" s="41">
        <f t="shared" si="79"/>
        <v>2.1338060953901811E-2</v>
      </c>
      <c r="AI32" s="41">
        <f t="shared" si="79"/>
        <v>7.2288640231794266E-2</v>
      </c>
      <c r="AJ32" s="41">
        <f t="shared" si="79"/>
        <v>7.2736137008949334E-2</v>
      </c>
      <c r="AK32" s="41">
        <f t="shared" si="79"/>
        <v>7.3077001006690151E-2</v>
      </c>
      <c r="AL32" s="41">
        <f t="shared" si="79"/>
        <v>7.3293482977822316E-2</v>
      </c>
      <c r="AM32" s="41">
        <f t="shared" si="79"/>
        <v>7.3414616088854662E-2</v>
      </c>
    </row>
    <row r="33" spans="2:40" s="35" customFormat="1" x14ac:dyDescent="0.15">
      <c r="B33" s="35" t="s">
        <v>95</v>
      </c>
      <c r="M33" s="35">
        <f t="shared" ref="M33" si="80">M20/M6</f>
        <v>0.24897935249314254</v>
      </c>
      <c r="N33" s="35">
        <f t="shared" ref="N33:O33" si="81">N20/N6</f>
        <v>0.12669164934788651</v>
      </c>
      <c r="O33" s="35">
        <f t="shared" si="81"/>
        <v>1.272896190450181</v>
      </c>
      <c r="P33" s="35">
        <f t="shared" ref="P33" si="82">P20/P6</f>
        <v>0.78529360531334724</v>
      </c>
      <c r="Q33" s="35">
        <f>Q20/Q6</f>
        <v>1.0219730542652217</v>
      </c>
      <c r="R33" s="35">
        <f t="shared" ref="R33" si="83">R20/R6</f>
        <v>-0.26906126270267744</v>
      </c>
      <c r="S33" s="35">
        <f t="shared" ref="S33" si="84">S20/S6</f>
        <v>-1.2249749298576047</v>
      </c>
      <c r="T33" s="35">
        <f t="shared" ref="T33" si="85">T20/T6</f>
        <v>-0.9296126906567479</v>
      </c>
      <c r="U33" s="35">
        <f>U20/U6</f>
        <v>-0.11594861660079051</v>
      </c>
      <c r="V33" s="35">
        <f t="shared" ref="V33" si="86">V20/V6</f>
        <v>-0.35948236807613693</v>
      </c>
      <c r="W33" s="100"/>
      <c r="AB33" s="35">
        <f>AB20/AB6</f>
        <v>0.63199262943162138</v>
      </c>
      <c r="AC33" s="35">
        <f t="shared" ref="AC33" si="87">AC20/AC6</f>
        <v>-0.61794679299354394</v>
      </c>
      <c r="AD33" s="100">
        <f t="shared" ref="AD33:AM33" si="88">AD20/AD6</f>
        <v>-0.17998194681431279</v>
      </c>
      <c r="AE33" s="35">
        <f t="shared" si="88"/>
        <v>-0.13284424772450906</v>
      </c>
      <c r="AF33" s="35">
        <f t="shared" si="88"/>
        <v>-5.5800353937428784E-2</v>
      </c>
      <c r="AG33" s="35">
        <f t="shared" si="88"/>
        <v>-3.1386457093699603E-2</v>
      </c>
      <c r="AH33" s="35">
        <f t="shared" si="88"/>
        <v>3.4522131112298287E-3</v>
      </c>
      <c r="AI33" s="35">
        <f t="shared" si="88"/>
        <v>5.9807247317580435E-2</v>
      </c>
      <c r="AJ33" s="35">
        <f t="shared" si="88"/>
        <v>6.0062260331254648E-2</v>
      </c>
      <c r="AK33" s="35">
        <f t="shared" si="88"/>
        <v>6.0215868992525318E-2</v>
      </c>
      <c r="AL33" s="35">
        <f t="shared" si="88"/>
        <v>6.0188190720781472E-2</v>
      </c>
      <c r="AM33" s="35">
        <f t="shared" si="88"/>
        <v>5.9969517650632985E-2</v>
      </c>
    </row>
    <row r="34" spans="2:40" s="35" customFormat="1" x14ac:dyDescent="0.15">
      <c r="B34" s="35" t="s">
        <v>96</v>
      </c>
      <c r="M34" s="35">
        <f t="shared" ref="M34" si="89">M19/M18</f>
        <v>-2.5224422778710814E-2</v>
      </c>
      <c r="N34" s="35">
        <f t="shared" ref="N34:O34" si="90">N19/N18</f>
        <v>-0.12864340838063659</v>
      </c>
      <c r="O34" s="35">
        <f t="shared" si="90"/>
        <v>8.1121161496089222E-2</v>
      </c>
      <c r="P34" s="35">
        <f t="shared" ref="P34" si="91">P19/P18</f>
        <v>4.3752141540168502E-2</v>
      </c>
      <c r="Q34" s="35">
        <f>Q19/Q18</f>
        <v>0.14325018725027078</v>
      </c>
      <c r="R34" s="35">
        <f t="shared" ref="R34" si="92">R19/R18</f>
        <v>0.24023620935547843</v>
      </c>
      <c r="S34" s="35">
        <f t="shared" ref="S34" si="93">S19/S18</f>
        <v>0.10796396784476819</v>
      </c>
      <c r="T34" s="35">
        <f t="shared" ref="T34" si="94">T19/T18</f>
        <v>-4.7210515334863345E-3</v>
      </c>
      <c r="U34" s="35">
        <f>U19/U18</f>
        <v>-8.1205093774064027E-3</v>
      </c>
      <c r="V34" s="35">
        <f t="shared" ref="V34" si="95">V19/V18</f>
        <v>-1.4783406659203918E-2</v>
      </c>
      <c r="W34" s="100"/>
      <c r="AB34" s="35">
        <f>AB19/AB18</f>
        <v>7.1939621574531182E-2</v>
      </c>
      <c r="AC34" s="35">
        <f t="shared" ref="AC34" si="96">AC19/AC18</f>
        <v>4.4834892327803987E-2</v>
      </c>
      <c r="AD34" s="47">
        <v>7.0000000000000007E-2</v>
      </c>
      <c r="AE34" s="41">
        <v>0.1</v>
      </c>
      <c r="AF34" s="41">
        <v>0.15</v>
      </c>
      <c r="AG34" s="41">
        <v>0.25</v>
      </c>
      <c r="AH34" s="41">
        <v>0.25</v>
      </c>
      <c r="AI34" s="41">
        <v>0.25</v>
      </c>
      <c r="AJ34" s="41">
        <v>0.25</v>
      </c>
      <c r="AK34" s="41">
        <v>0.25</v>
      </c>
      <c r="AL34" s="41">
        <v>0.25</v>
      </c>
      <c r="AM34" s="41">
        <v>0.25</v>
      </c>
      <c r="AN34" s="41"/>
    </row>
    <row r="35" spans="2:40" x14ac:dyDescent="0.15">
      <c r="AC35" s="1"/>
    </row>
    <row r="36" spans="2:40" s="35" customFormat="1" x14ac:dyDescent="0.15">
      <c r="B36" s="35" t="s">
        <v>97</v>
      </c>
      <c r="M36" s="35">
        <f t="shared" ref="M36" si="97">M12/M6</f>
        <v>0.18689870407411993</v>
      </c>
      <c r="N36" s="35">
        <f t="shared" ref="N36:O36" si="98">N12/N6</f>
        <v>0.1626980068402363</v>
      </c>
      <c r="O36" s="35">
        <f t="shared" si="98"/>
        <v>0.17790576414028467</v>
      </c>
      <c r="P36" s="35">
        <f>P12/P6</f>
        <v>0.16397143227224203</v>
      </c>
      <c r="Q36" s="35">
        <f>Q12/Q6</f>
        <v>0.19668962571413315</v>
      </c>
      <c r="R36" s="35">
        <f t="shared" ref="R36" si="99">R12/R6</f>
        <v>0.19848350463470196</v>
      </c>
      <c r="S36" s="35">
        <f t="shared" ref="S36" si="100">S12/S6</f>
        <v>0.25228913040046591</v>
      </c>
      <c r="T36" s="35">
        <f t="shared" ref="T36" si="101">T12/T6</f>
        <v>0.26768350265585533</v>
      </c>
      <c r="U36" s="35">
        <f>U12/U6</f>
        <v>0.30182916117698722</v>
      </c>
      <c r="V36" s="35">
        <f t="shared" ref="V36" si="102">V12/V6</f>
        <v>0.25392079899572212</v>
      </c>
      <c r="W36" s="100"/>
      <c r="AB36" s="35">
        <f>AB12/AB6</f>
        <v>0.1852579525466537</v>
      </c>
      <c r="AC36" s="35">
        <f t="shared" ref="AC36" si="103">AC12/AC6</f>
        <v>0.26844116214250913</v>
      </c>
      <c r="AD36" s="47">
        <v>0.25</v>
      </c>
      <c r="AE36" s="41">
        <v>0.25</v>
      </c>
      <c r="AF36" s="41">
        <v>0.2</v>
      </c>
      <c r="AG36" s="41">
        <v>0.18</v>
      </c>
      <c r="AH36" s="41">
        <v>0.18</v>
      </c>
      <c r="AI36" s="41">
        <v>0.15</v>
      </c>
      <c r="AJ36" s="41">
        <v>0.15</v>
      </c>
      <c r="AK36" s="41">
        <v>0.15</v>
      </c>
      <c r="AL36" s="41">
        <v>0.15</v>
      </c>
      <c r="AM36" s="41">
        <v>0.15</v>
      </c>
    </row>
    <row r="39" spans="2:40" x14ac:dyDescent="0.15">
      <c r="AI39" s="71"/>
      <c r="AJ39" s="71"/>
      <c r="AK39" s="71"/>
      <c r="AL39" s="71"/>
      <c r="AM39" s="71"/>
    </row>
    <row r="40" spans="2:40" x14ac:dyDescent="0.15">
      <c r="B40" s="37" t="s">
        <v>98</v>
      </c>
    </row>
    <row r="41" spans="2:40" s="2" customFormat="1" x14ac:dyDescent="0.15">
      <c r="B41" s="2" t="s">
        <v>6</v>
      </c>
      <c r="M41" s="32">
        <v>3089.884</v>
      </c>
      <c r="R41" s="32">
        <v>2502.9920000000002</v>
      </c>
      <c r="S41" s="32">
        <v>2451.5450000000001</v>
      </c>
      <c r="T41" s="32">
        <v>3350.7809999999999</v>
      </c>
      <c r="U41" s="32">
        <v>1378.251</v>
      </c>
      <c r="V41" s="32">
        <v>1649.328</v>
      </c>
      <c r="W41" s="119"/>
      <c r="AB41" s="32">
        <f>R41</f>
        <v>2502.9920000000002</v>
      </c>
      <c r="AC41" s="92">
        <f>V41</f>
        <v>1649.328</v>
      </c>
      <c r="AD41" s="52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2:40" s="2" customFormat="1" x14ac:dyDescent="0.15">
      <c r="B42" s="2" t="s">
        <v>112</v>
      </c>
      <c r="M42" s="32">
        <v>3031.277</v>
      </c>
      <c r="R42" s="32">
        <v>5265.1009999999997</v>
      </c>
      <c r="S42" s="32">
        <v>4795.1450000000004</v>
      </c>
      <c r="T42" s="32">
        <v>3604.01</v>
      </c>
      <c r="U42" s="32">
        <v>3563.181</v>
      </c>
      <c r="V42" s="32">
        <v>3403.6219999999998</v>
      </c>
      <c r="W42" s="119"/>
      <c r="AB42" s="32">
        <f>R42</f>
        <v>5265.1009999999997</v>
      </c>
      <c r="AC42" s="92">
        <f>V42</f>
        <v>3403.6219999999998</v>
      </c>
      <c r="AD42" s="52"/>
      <c r="AE42" s="58"/>
      <c r="AF42" s="58"/>
      <c r="AG42" s="58"/>
      <c r="AH42" s="58"/>
      <c r="AI42" s="58"/>
      <c r="AJ42" s="58"/>
      <c r="AK42" s="58"/>
      <c r="AL42" s="58"/>
      <c r="AM42" s="58"/>
    </row>
    <row r="43" spans="2:40" x14ac:dyDescent="0.15">
      <c r="B43" s="1" t="s">
        <v>113</v>
      </c>
      <c r="M43" s="33">
        <v>109.7</v>
      </c>
      <c r="R43" s="33">
        <v>192.209</v>
      </c>
      <c r="S43" s="33">
        <v>225.25200000000001</v>
      </c>
      <c r="T43" s="33">
        <v>238.72300000000001</v>
      </c>
      <c r="U43" s="33">
        <v>241.18299999999999</v>
      </c>
      <c r="V43" s="33">
        <v>273.05500000000001</v>
      </c>
      <c r="AB43" s="33">
        <f>R43</f>
        <v>192.209</v>
      </c>
      <c r="AC43" s="91">
        <f>V43</f>
        <v>273.05500000000001</v>
      </c>
    </row>
    <row r="44" spans="2:40" x14ac:dyDescent="0.15">
      <c r="B44" s="1" t="s">
        <v>114</v>
      </c>
      <c r="M44" s="33">
        <v>247.977</v>
      </c>
      <c r="R44" s="33">
        <v>470.72199999999998</v>
      </c>
      <c r="S44" s="33">
        <v>486.50700000000001</v>
      </c>
      <c r="T44" s="33">
        <v>537.79</v>
      </c>
      <c r="U44" s="33">
        <v>666.053</v>
      </c>
      <c r="V44" s="33">
        <v>580.11400000000003</v>
      </c>
      <c r="AB44" s="33">
        <f t="shared" ref="AB44:AB64" si="104">R44</f>
        <v>470.72199999999998</v>
      </c>
      <c r="AC44" s="91">
        <f t="shared" ref="AC44:AC46" si="105">V44</f>
        <v>580.11400000000003</v>
      </c>
    </row>
    <row r="45" spans="2:40" x14ac:dyDescent="0.15">
      <c r="B45" s="1" t="s">
        <v>115</v>
      </c>
      <c r="M45" s="33">
        <v>71.302999999999997</v>
      </c>
      <c r="R45" s="33">
        <v>5.0229999999999997</v>
      </c>
      <c r="S45" s="33">
        <v>3.3690000000000002</v>
      </c>
      <c r="T45" s="33">
        <v>13.212999999999999</v>
      </c>
      <c r="U45" s="33">
        <v>11.996</v>
      </c>
      <c r="V45" s="33">
        <v>4.6950000000000003</v>
      </c>
      <c r="AB45" s="33">
        <f t="shared" si="104"/>
        <v>5.0229999999999997</v>
      </c>
      <c r="AC45" s="91">
        <f t="shared" si="105"/>
        <v>4.6950000000000003</v>
      </c>
    </row>
    <row r="46" spans="2:40" x14ac:dyDescent="0.15">
      <c r="B46" s="1" t="s">
        <v>116</v>
      </c>
      <c r="M46" s="33">
        <v>63.076000000000001</v>
      </c>
      <c r="R46" s="33">
        <v>103.273</v>
      </c>
      <c r="S46" s="33">
        <v>113.063</v>
      </c>
      <c r="T46" s="33">
        <v>113.247</v>
      </c>
      <c r="U46" s="33">
        <v>152.322</v>
      </c>
      <c r="V46" s="33">
        <v>139.65899999999999</v>
      </c>
      <c r="AB46" s="33">
        <f t="shared" si="104"/>
        <v>103.273</v>
      </c>
      <c r="AC46" s="91">
        <f t="shared" si="105"/>
        <v>139.65899999999999</v>
      </c>
    </row>
    <row r="47" spans="2:40" x14ac:dyDescent="0.15">
      <c r="B47" s="1" t="s">
        <v>117</v>
      </c>
      <c r="C47" s="1">
        <f t="shared" ref="C47:T47" si="106">SUM(C41:C46)</f>
        <v>0</v>
      </c>
      <c r="D47" s="1">
        <f t="shared" si="106"/>
        <v>0</v>
      </c>
      <c r="E47" s="1">
        <f t="shared" si="106"/>
        <v>0</v>
      </c>
      <c r="F47" s="1">
        <f t="shared" si="106"/>
        <v>0</v>
      </c>
      <c r="G47" s="1">
        <f t="shared" si="106"/>
        <v>0</v>
      </c>
      <c r="H47" s="1">
        <f t="shared" si="106"/>
        <v>0</v>
      </c>
      <c r="I47" s="1">
        <f t="shared" si="106"/>
        <v>0</v>
      </c>
      <c r="J47" s="1">
        <f t="shared" si="106"/>
        <v>0</v>
      </c>
      <c r="K47" s="1">
        <f t="shared" si="106"/>
        <v>0</v>
      </c>
      <c r="L47" s="1">
        <f t="shared" si="106"/>
        <v>0</v>
      </c>
      <c r="M47" s="33">
        <f t="shared" si="106"/>
        <v>6613.2169999999996</v>
      </c>
      <c r="N47" s="1">
        <f t="shared" si="106"/>
        <v>0</v>
      </c>
      <c r="O47" s="1">
        <f t="shared" si="106"/>
        <v>0</v>
      </c>
      <c r="P47" s="1">
        <f t="shared" si="106"/>
        <v>0</v>
      </c>
      <c r="Q47" s="1">
        <f t="shared" si="106"/>
        <v>0</v>
      </c>
      <c r="R47" s="33">
        <f t="shared" si="106"/>
        <v>8539.3199999999979</v>
      </c>
      <c r="S47" s="33">
        <f t="shared" si="106"/>
        <v>8074.8810000000003</v>
      </c>
      <c r="T47" s="33">
        <f t="shared" si="106"/>
        <v>7857.7640000000001</v>
      </c>
      <c r="U47" s="33">
        <f>SUM(U41:U46)</f>
        <v>6012.9859999999999</v>
      </c>
      <c r="V47" s="33">
        <f>SUM(V41:V46)</f>
        <v>6050.473</v>
      </c>
      <c r="AB47" s="33">
        <f>SUM(AB41:AB46)</f>
        <v>8539.3199999999979</v>
      </c>
      <c r="AC47" s="33">
        <f>SUM(AC41:AC46)</f>
        <v>6050.473</v>
      </c>
    </row>
    <row r="48" spans="2:40" x14ac:dyDescent="0.15">
      <c r="B48" s="1" t="s">
        <v>118</v>
      </c>
      <c r="M48" s="33">
        <v>94.697999999999993</v>
      </c>
      <c r="R48" s="33">
        <v>105.526</v>
      </c>
      <c r="S48" s="33">
        <v>109.57</v>
      </c>
      <c r="T48" s="33">
        <v>114.20699999999999</v>
      </c>
      <c r="U48" s="33">
        <v>128.46100000000001</v>
      </c>
      <c r="V48" s="33">
        <v>130.821</v>
      </c>
      <c r="AB48" s="33">
        <f t="shared" si="104"/>
        <v>105.526</v>
      </c>
      <c r="AC48" s="91">
        <f t="shared" ref="AC48:AC64" si="107">V48</f>
        <v>130.821</v>
      </c>
    </row>
    <row r="49" spans="2:39" x14ac:dyDescent="0.15">
      <c r="B49" s="1" t="s">
        <v>119</v>
      </c>
      <c r="M49" s="33">
        <v>143.92500000000001</v>
      </c>
      <c r="R49" s="33">
        <v>196.38800000000001</v>
      </c>
      <c r="S49" s="33">
        <v>220.20500000000001</v>
      </c>
      <c r="T49" s="33">
        <v>224.55500000000001</v>
      </c>
      <c r="U49" s="33">
        <v>349.74</v>
      </c>
      <c r="V49" s="33">
        <v>355.14499999999998</v>
      </c>
      <c r="AB49" s="33">
        <f t="shared" si="104"/>
        <v>196.38800000000001</v>
      </c>
      <c r="AC49" s="91">
        <f t="shared" si="107"/>
        <v>355.14499999999998</v>
      </c>
    </row>
    <row r="50" spans="2:39" x14ac:dyDescent="0.15">
      <c r="B50" s="1" t="s">
        <v>120</v>
      </c>
      <c r="M50" s="33">
        <v>122.71</v>
      </c>
      <c r="R50" s="33">
        <v>138.49600000000001</v>
      </c>
      <c r="S50" s="33">
        <v>131.608</v>
      </c>
      <c r="T50" s="33">
        <v>133.12899999999999</v>
      </c>
      <c r="U50" s="33">
        <v>410.81900000000002</v>
      </c>
      <c r="V50" s="33">
        <v>390.14800000000002</v>
      </c>
      <c r="AB50" s="33">
        <f t="shared" si="104"/>
        <v>138.49600000000001</v>
      </c>
      <c r="AC50" s="91">
        <f t="shared" si="107"/>
        <v>390.14800000000002</v>
      </c>
    </row>
    <row r="51" spans="2:39" x14ac:dyDescent="0.15">
      <c r="B51" s="1" t="s">
        <v>121</v>
      </c>
      <c r="M51" s="33">
        <v>5.1159999999999997</v>
      </c>
      <c r="R51" s="33">
        <v>48.369</v>
      </c>
      <c r="S51" s="33">
        <v>47.064</v>
      </c>
      <c r="T51" s="33">
        <v>44.762999999999998</v>
      </c>
      <c r="U51" s="33">
        <v>43.25</v>
      </c>
      <c r="V51" s="33">
        <v>40.822000000000003</v>
      </c>
      <c r="AB51" s="33">
        <f t="shared" si="104"/>
        <v>48.369</v>
      </c>
      <c r="AC51" s="91">
        <f t="shared" si="107"/>
        <v>40.822000000000003</v>
      </c>
    </row>
    <row r="52" spans="2:39" x14ac:dyDescent="0.15">
      <c r="B52" s="1" t="s">
        <v>122</v>
      </c>
      <c r="M52" s="33">
        <v>170.5</v>
      </c>
      <c r="R52" s="33">
        <v>3955.5450000000001</v>
      </c>
      <c r="S52" s="33">
        <v>2894.6010000000001</v>
      </c>
      <c r="T52" s="33">
        <v>1993.867</v>
      </c>
      <c r="U52" s="33">
        <v>2421.7469999999998</v>
      </c>
      <c r="V52" s="33">
        <v>1953.46</v>
      </c>
      <c r="AB52" s="33">
        <f t="shared" si="104"/>
        <v>3955.5450000000001</v>
      </c>
      <c r="AC52" s="91">
        <f t="shared" si="107"/>
        <v>1953.46</v>
      </c>
    </row>
    <row r="53" spans="2:39" x14ac:dyDescent="0.15">
      <c r="B53" s="1" t="s">
        <v>123</v>
      </c>
      <c r="M53" s="33">
        <v>311.86500000000001</v>
      </c>
      <c r="R53" s="33">
        <v>356.52800000000002</v>
      </c>
      <c r="S53" s="33">
        <v>356.52800000000002</v>
      </c>
      <c r="T53" s="33">
        <v>379.34500000000003</v>
      </c>
      <c r="U53" s="33">
        <v>1836.2819999999999</v>
      </c>
      <c r="V53" s="33">
        <v>1836.2819999999999</v>
      </c>
      <c r="AB53" s="33">
        <f t="shared" si="104"/>
        <v>356.52800000000002</v>
      </c>
      <c r="AC53" s="91">
        <f t="shared" si="107"/>
        <v>1836.2819999999999</v>
      </c>
    </row>
    <row r="54" spans="2:39" x14ac:dyDescent="0.15">
      <c r="B54" s="1" t="s">
        <v>124</v>
      </c>
      <c r="C54" s="1">
        <f t="shared" ref="C54:T54" si="108">SUM(C48:C53)+C47</f>
        <v>0</v>
      </c>
      <c r="D54" s="1">
        <f t="shared" si="108"/>
        <v>0</v>
      </c>
      <c r="E54" s="1">
        <f t="shared" si="108"/>
        <v>0</v>
      </c>
      <c r="F54" s="1">
        <f t="shared" si="108"/>
        <v>0</v>
      </c>
      <c r="G54" s="1">
        <f t="shared" si="108"/>
        <v>0</v>
      </c>
      <c r="H54" s="1">
        <f t="shared" si="108"/>
        <v>0</v>
      </c>
      <c r="I54" s="1">
        <f t="shared" si="108"/>
        <v>0</v>
      </c>
      <c r="J54" s="1">
        <f t="shared" si="108"/>
        <v>0</v>
      </c>
      <c r="K54" s="1">
        <f t="shared" si="108"/>
        <v>0</v>
      </c>
      <c r="L54" s="1">
        <f t="shared" si="108"/>
        <v>0</v>
      </c>
      <c r="M54" s="33">
        <f t="shared" si="108"/>
        <v>7462.0309999999999</v>
      </c>
      <c r="N54" s="1">
        <f t="shared" si="108"/>
        <v>0</v>
      </c>
      <c r="O54" s="1">
        <f t="shared" si="108"/>
        <v>0</v>
      </c>
      <c r="P54" s="1">
        <f t="shared" si="108"/>
        <v>0</v>
      </c>
      <c r="Q54" s="1">
        <f t="shared" si="108"/>
        <v>0</v>
      </c>
      <c r="R54" s="33">
        <f t="shared" si="108"/>
        <v>13340.171999999999</v>
      </c>
      <c r="S54" s="33">
        <f t="shared" si="108"/>
        <v>11834.457</v>
      </c>
      <c r="T54" s="33">
        <f t="shared" si="108"/>
        <v>10747.630000000001</v>
      </c>
      <c r="U54" s="33">
        <f>SUM(U48:U53)+U47</f>
        <v>11203.285</v>
      </c>
      <c r="V54" s="33">
        <f>SUM(V48:V53)+V47</f>
        <v>10757.151</v>
      </c>
      <c r="AB54" s="33">
        <f>SUM(AB48:AB53)+AB47</f>
        <v>13340.171999999999</v>
      </c>
      <c r="AC54" s="33">
        <f>SUM(AC48:AC53)+AC47</f>
        <v>10757.151</v>
      </c>
    </row>
    <row r="55" spans="2:39" x14ac:dyDescent="0.15">
      <c r="M55" s="33"/>
      <c r="R55" s="33"/>
      <c r="S55" s="33"/>
      <c r="T55" s="33"/>
      <c r="U55" s="33"/>
      <c r="AB55" s="33">
        <f t="shared" si="104"/>
        <v>0</v>
      </c>
      <c r="AC55" s="91">
        <f t="shared" si="107"/>
        <v>0</v>
      </c>
    </row>
    <row r="56" spans="2:39" x14ac:dyDescent="0.15">
      <c r="B56" s="1" t="s">
        <v>125</v>
      </c>
      <c r="M56" s="33">
        <v>261.56099999999998</v>
      </c>
      <c r="R56" s="33">
        <v>456.68799999999999</v>
      </c>
      <c r="S56" s="33">
        <v>406.64699999999999</v>
      </c>
      <c r="T56" s="33">
        <v>419.40800000000002</v>
      </c>
      <c r="U56" s="33">
        <v>596.11400000000003</v>
      </c>
      <c r="V56" s="33">
        <v>532.56899999999996</v>
      </c>
      <c r="AB56" s="33">
        <f t="shared" si="104"/>
        <v>456.68799999999999</v>
      </c>
      <c r="AC56" s="91">
        <f t="shared" si="107"/>
        <v>532.56899999999996</v>
      </c>
    </row>
    <row r="57" spans="2:39" x14ac:dyDescent="0.15">
      <c r="B57" s="1" t="s">
        <v>126</v>
      </c>
      <c r="M57" s="33">
        <v>0.79900000000000004</v>
      </c>
      <c r="R57" s="33">
        <v>13.505000000000001</v>
      </c>
      <c r="S57" s="33">
        <v>8.2940000000000005</v>
      </c>
      <c r="T57" s="33">
        <v>4.125</v>
      </c>
      <c r="U57" s="33">
        <v>4.4580000000000002</v>
      </c>
      <c r="V57" s="33">
        <v>9.39</v>
      </c>
      <c r="AB57" s="33">
        <f t="shared" si="104"/>
        <v>13.505000000000001</v>
      </c>
      <c r="AC57" s="91">
        <f t="shared" si="107"/>
        <v>9.39</v>
      </c>
    </row>
    <row r="58" spans="2:39" x14ac:dyDescent="0.15">
      <c r="B58" s="1" t="s">
        <v>127</v>
      </c>
      <c r="M58" s="33">
        <v>96.777000000000001</v>
      </c>
      <c r="R58" s="33">
        <v>216.792</v>
      </c>
      <c r="S58" s="33">
        <v>247.64699999999999</v>
      </c>
      <c r="T58" s="33">
        <v>254.00700000000001</v>
      </c>
      <c r="U58" s="33">
        <v>287.625</v>
      </c>
      <c r="V58" s="33">
        <v>295.88799999999998</v>
      </c>
      <c r="AB58" s="33">
        <f t="shared" si="104"/>
        <v>216.792</v>
      </c>
      <c r="AC58" s="91">
        <f t="shared" si="107"/>
        <v>295.88799999999998</v>
      </c>
    </row>
    <row r="59" spans="2:39" x14ac:dyDescent="0.15">
      <c r="B59" s="1" t="s">
        <v>128</v>
      </c>
      <c r="M59" s="33">
        <v>10.994</v>
      </c>
      <c r="R59" s="33">
        <v>15.747999999999999</v>
      </c>
      <c r="S59" s="33">
        <v>19.344000000000001</v>
      </c>
      <c r="T59" s="33">
        <v>25.667999999999999</v>
      </c>
      <c r="U59" s="33">
        <v>17.024000000000001</v>
      </c>
      <c r="V59" s="33">
        <v>18.161000000000001</v>
      </c>
      <c r="AB59" s="33">
        <f t="shared" si="104"/>
        <v>15.747999999999999</v>
      </c>
      <c r="AC59" s="91">
        <f t="shared" si="107"/>
        <v>18.161000000000001</v>
      </c>
    </row>
    <row r="60" spans="2:39" x14ac:dyDescent="0.15">
      <c r="B60" s="1" t="s">
        <v>129</v>
      </c>
      <c r="C60" s="1">
        <f t="shared" ref="C60:T60" si="109">SUM(C56:C59)</f>
        <v>0</v>
      </c>
      <c r="D60" s="1">
        <f t="shared" si="109"/>
        <v>0</v>
      </c>
      <c r="E60" s="1">
        <f t="shared" si="109"/>
        <v>0</v>
      </c>
      <c r="F60" s="1">
        <f t="shared" si="109"/>
        <v>0</v>
      </c>
      <c r="G60" s="1">
        <f t="shared" si="109"/>
        <v>0</v>
      </c>
      <c r="H60" s="1">
        <f t="shared" si="109"/>
        <v>0</v>
      </c>
      <c r="I60" s="1">
        <f t="shared" si="109"/>
        <v>0</v>
      </c>
      <c r="J60" s="1">
        <f t="shared" si="109"/>
        <v>0</v>
      </c>
      <c r="K60" s="1">
        <f t="shared" si="109"/>
        <v>0</v>
      </c>
      <c r="L60" s="1">
        <f t="shared" si="109"/>
        <v>0</v>
      </c>
      <c r="M60" s="33">
        <f t="shared" si="109"/>
        <v>370.13099999999997</v>
      </c>
      <c r="N60" s="1">
        <f t="shared" si="109"/>
        <v>0</v>
      </c>
      <c r="O60" s="1">
        <f t="shared" si="109"/>
        <v>0</v>
      </c>
      <c r="P60" s="1">
        <f t="shared" si="109"/>
        <v>0</v>
      </c>
      <c r="Q60" s="1">
        <f t="shared" si="109"/>
        <v>0</v>
      </c>
      <c r="R60" s="33">
        <f t="shared" si="109"/>
        <v>702.73300000000006</v>
      </c>
      <c r="S60" s="33">
        <f t="shared" si="109"/>
        <v>681.93200000000002</v>
      </c>
      <c r="T60" s="33">
        <f t="shared" si="109"/>
        <v>703.20799999999997</v>
      </c>
      <c r="U60" s="33">
        <f>SUM(U56:U59)</f>
        <v>905.221</v>
      </c>
      <c r="V60" s="33">
        <f>SUM(V56:V59)</f>
        <v>856.00800000000004</v>
      </c>
      <c r="AB60" s="33">
        <f>SUM(AB56:AB59)</f>
        <v>702.73300000000006</v>
      </c>
      <c r="AC60" s="33">
        <f>SUM(AC56:AC59)</f>
        <v>856.00800000000004</v>
      </c>
    </row>
    <row r="61" spans="2:39" x14ac:dyDescent="0.15">
      <c r="B61" s="1" t="s">
        <v>127</v>
      </c>
      <c r="M61" s="33">
        <v>23.08</v>
      </c>
      <c r="R61" s="33">
        <v>162.93199999999999</v>
      </c>
      <c r="S61" s="33">
        <v>186.636</v>
      </c>
      <c r="T61" s="33">
        <v>159.405</v>
      </c>
      <c r="U61" s="33">
        <v>299.625</v>
      </c>
      <c r="V61" s="33">
        <v>267.51299999999998</v>
      </c>
      <c r="AB61" s="33">
        <f t="shared" si="104"/>
        <v>162.93199999999999</v>
      </c>
      <c r="AC61" s="91">
        <f t="shared" si="107"/>
        <v>267.51299999999998</v>
      </c>
    </row>
    <row r="62" spans="2:39" x14ac:dyDescent="0.15">
      <c r="B62" s="1" t="s">
        <v>128</v>
      </c>
      <c r="M62" s="33">
        <v>141.53899999999999</v>
      </c>
      <c r="R62" s="33">
        <v>246.77600000000001</v>
      </c>
      <c r="S62" s="33">
        <v>264.53399999999999</v>
      </c>
      <c r="T62" s="33">
        <v>254.417</v>
      </c>
      <c r="U62" s="33">
        <v>369.13099999999997</v>
      </c>
      <c r="V62" s="33">
        <v>465.13499999999999</v>
      </c>
      <c r="AB62" s="33">
        <f t="shared" si="104"/>
        <v>246.77600000000001</v>
      </c>
      <c r="AC62" s="91">
        <f t="shared" si="107"/>
        <v>465.13499999999999</v>
      </c>
    </row>
    <row r="63" spans="2:39" s="2" customFormat="1" x14ac:dyDescent="0.15">
      <c r="B63" s="2" t="s">
        <v>130</v>
      </c>
      <c r="M63" s="32">
        <v>750.452</v>
      </c>
      <c r="R63" s="32">
        <v>910.96299999999997</v>
      </c>
      <c r="S63" s="32">
        <v>911.54899999999998</v>
      </c>
      <c r="T63" s="32">
        <v>912.13699999999994</v>
      </c>
      <c r="U63" s="32">
        <v>912.72400000000005</v>
      </c>
      <c r="V63" s="32">
        <v>913.31200000000001</v>
      </c>
      <c r="W63" s="119"/>
      <c r="AB63" s="32">
        <f>R63</f>
        <v>910.96299999999997</v>
      </c>
      <c r="AC63" s="92">
        <f t="shared" si="107"/>
        <v>913.31200000000001</v>
      </c>
      <c r="AD63" s="52"/>
      <c r="AE63" s="58"/>
      <c r="AF63" s="58"/>
      <c r="AG63" s="58"/>
      <c r="AH63" s="58"/>
      <c r="AI63" s="58"/>
      <c r="AJ63" s="58"/>
      <c r="AK63" s="58"/>
      <c r="AL63" s="58"/>
      <c r="AM63" s="58"/>
    </row>
    <row r="64" spans="2:39" x14ac:dyDescent="0.15">
      <c r="B64" s="1" t="s">
        <v>121</v>
      </c>
      <c r="M64" s="33">
        <v>0</v>
      </c>
      <c r="R64" s="33">
        <v>183.42699999999999</v>
      </c>
      <c r="S64" s="33">
        <v>0.21099999999999999</v>
      </c>
      <c r="T64" s="33">
        <v>1.335</v>
      </c>
      <c r="U64" s="33">
        <v>23.576000000000001</v>
      </c>
      <c r="V64" s="33">
        <v>16.294</v>
      </c>
      <c r="AB64" s="33">
        <f t="shared" si="104"/>
        <v>183.42699999999999</v>
      </c>
      <c r="AC64" s="91">
        <f t="shared" si="107"/>
        <v>16.294</v>
      </c>
    </row>
    <row r="65" spans="2:30" x14ac:dyDescent="0.15">
      <c r="B65" s="1" t="s">
        <v>131</v>
      </c>
      <c r="C65" s="1">
        <f t="shared" ref="C65:T65" si="110">SUM(C61:C64)+C60</f>
        <v>0</v>
      </c>
      <c r="D65" s="1">
        <f t="shared" si="110"/>
        <v>0</v>
      </c>
      <c r="E65" s="1">
        <f t="shared" si="110"/>
        <v>0</v>
      </c>
      <c r="F65" s="1">
        <f t="shared" si="110"/>
        <v>0</v>
      </c>
      <c r="G65" s="1">
        <f t="shared" si="110"/>
        <v>0</v>
      </c>
      <c r="H65" s="1">
        <f t="shared" si="110"/>
        <v>0</v>
      </c>
      <c r="I65" s="1">
        <f t="shared" si="110"/>
        <v>0</v>
      </c>
      <c r="J65" s="1">
        <f t="shared" si="110"/>
        <v>0</v>
      </c>
      <c r="K65" s="1">
        <f t="shared" si="110"/>
        <v>0</v>
      </c>
      <c r="L65" s="1">
        <f t="shared" si="110"/>
        <v>0</v>
      </c>
      <c r="M65" s="33">
        <f t="shared" si="110"/>
        <v>1285.2019999999998</v>
      </c>
      <c r="N65" s="1">
        <f t="shared" si="110"/>
        <v>0</v>
      </c>
      <c r="O65" s="1">
        <f t="shared" si="110"/>
        <v>0</v>
      </c>
      <c r="P65" s="1">
        <f t="shared" si="110"/>
        <v>0</v>
      </c>
      <c r="Q65" s="1">
        <f t="shared" si="110"/>
        <v>0</v>
      </c>
      <c r="R65" s="33">
        <f t="shared" si="110"/>
        <v>2206.8309999999997</v>
      </c>
      <c r="S65" s="33">
        <f t="shared" si="110"/>
        <v>2044.8620000000001</v>
      </c>
      <c r="T65" s="33">
        <f t="shared" si="110"/>
        <v>2030.502</v>
      </c>
      <c r="U65" s="33">
        <f>SUM(U61:U64)+U60</f>
        <v>2510.277</v>
      </c>
      <c r="V65" s="33">
        <f>SUM(V61:V64)+V60</f>
        <v>2518.2620000000002</v>
      </c>
      <c r="AB65" s="33">
        <f>SUM(AB61:AB64)+AB60</f>
        <v>2206.8309999999997</v>
      </c>
      <c r="AC65" s="33">
        <f>SUM(AC61:AC64)+AC60</f>
        <v>2518.2620000000002</v>
      </c>
    </row>
    <row r="66" spans="2:30" x14ac:dyDescent="0.15">
      <c r="S66" s="33"/>
      <c r="T66" s="33"/>
      <c r="U66" s="33"/>
    </row>
    <row r="67" spans="2:30" x14ac:dyDescent="0.15">
      <c r="B67" s="1" t="s">
        <v>132</v>
      </c>
      <c r="M67" s="33">
        <v>6176.8289999999997</v>
      </c>
      <c r="R67" s="33">
        <v>11133.341</v>
      </c>
      <c r="S67" s="33">
        <v>9789.5949999999993</v>
      </c>
      <c r="T67" s="33">
        <v>8717.1280000000006</v>
      </c>
      <c r="U67" s="33">
        <v>8693.0079999999998</v>
      </c>
      <c r="V67" s="33">
        <v>8238.8889999999992</v>
      </c>
      <c r="AB67" s="33">
        <f>R67</f>
        <v>11133.341</v>
      </c>
      <c r="AC67" s="91">
        <f>V67</f>
        <v>8238.8889999999992</v>
      </c>
    </row>
    <row r="68" spans="2:30" x14ac:dyDescent="0.15">
      <c r="B68" s="1" t="s">
        <v>133</v>
      </c>
      <c r="M68" s="33">
        <f>M67+M65</f>
        <v>7462.030999999999</v>
      </c>
      <c r="R68" s="33">
        <f>R67+R65</f>
        <v>13340.172</v>
      </c>
      <c r="S68" s="33">
        <f>S67+S65</f>
        <v>11834.456999999999</v>
      </c>
      <c r="T68" s="33">
        <f>T67+T65</f>
        <v>10747.630000000001</v>
      </c>
      <c r="U68" s="33">
        <f>U67+U65</f>
        <v>11203.285</v>
      </c>
      <c r="V68" s="33">
        <f>V67+V65</f>
        <v>10757.151</v>
      </c>
      <c r="AB68" s="33">
        <f>AB67+AB65</f>
        <v>13340.172</v>
      </c>
      <c r="AC68" s="33">
        <f>AC67+AC65</f>
        <v>10757.151</v>
      </c>
    </row>
    <row r="70" spans="2:30" x14ac:dyDescent="0.15">
      <c r="B70" s="1" t="s">
        <v>134</v>
      </c>
      <c r="M70" s="33">
        <f t="shared" ref="M70" si="111">M54-M65</f>
        <v>6176.8289999999997</v>
      </c>
      <c r="R70" s="33">
        <f t="shared" ref="R70" si="112">R54-R65</f>
        <v>11133.340999999999</v>
      </c>
      <c r="S70" s="33">
        <f t="shared" ref="S70:T70" si="113">S54-S65</f>
        <v>9789.5950000000012</v>
      </c>
      <c r="T70" s="33">
        <f t="shared" si="113"/>
        <v>8717.1280000000006</v>
      </c>
      <c r="U70" s="33">
        <f>U54-U65</f>
        <v>8693.0079999999998</v>
      </c>
      <c r="V70" s="33">
        <f t="shared" ref="V70" si="114">V54-V65</f>
        <v>8238.8889999999992</v>
      </c>
      <c r="AB70" s="33">
        <f>AB54-AB65</f>
        <v>11133.340999999999</v>
      </c>
      <c r="AC70" s="33">
        <f t="shared" ref="AC70" si="115">AC54-AC65</f>
        <v>8238.8889999999992</v>
      </c>
    </row>
    <row r="71" spans="2:30" x14ac:dyDescent="0.15">
      <c r="B71" s="1" t="s">
        <v>135</v>
      </c>
      <c r="M71" s="1">
        <f t="shared" ref="M71" si="116">M70/M22</f>
        <v>51.25510694067961</v>
      </c>
      <c r="R71" s="1">
        <f t="shared" ref="R71:S71" si="117">R70/R22</f>
        <v>88.546249602983664</v>
      </c>
      <c r="S71" s="1">
        <f t="shared" si="117"/>
        <v>77.687142379346611</v>
      </c>
      <c r="T71" s="1">
        <f t="shared" ref="T71" si="118">T70/T22</f>
        <v>6.9073275958982521</v>
      </c>
      <c r="U71" s="1">
        <f>U70/U22</f>
        <v>6.8479874371111631</v>
      </c>
      <c r="V71" s="1">
        <f t="shared" ref="V71" si="119">V70/V22</f>
        <v>6.4703038767991545</v>
      </c>
      <c r="AB71" s="1">
        <f>AB70/AB22</f>
        <v>88.546249602983664</v>
      </c>
      <c r="AC71" s="1">
        <f t="shared" ref="AC71" si="120">AC70/AC22</f>
        <v>6.5064330706476614</v>
      </c>
    </row>
    <row r="73" spans="2:30" s="28" customFormat="1" x14ac:dyDescent="0.15">
      <c r="B73" s="28" t="s">
        <v>6</v>
      </c>
      <c r="M73" s="31">
        <f t="shared" ref="M73" si="121">M41+M42</f>
        <v>6121.1610000000001</v>
      </c>
      <c r="R73" s="31">
        <f t="shared" ref="R73:S73" si="122">R41+R42</f>
        <v>7768.0929999999998</v>
      </c>
      <c r="S73" s="31">
        <f t="shared" si="122"/>
        <v>7246.6900000000005</v>
      </c>
      <c r="T73" s="31">
        <f t="shared" ref="T73" si="123">T41+T42</f>
        <v>6954.7910000000002</v>
      </c>
      <c r="U73" s="31">
        <f>U41+U42</f>
        <v>4941.4319999999998</v>
      </c>
      <c r="V73" s="31">
        <f t="shared" ref="V73" si="124">V41+V42</f>
        <v>5052.95</v>
      </c>
      <c r="W73" s="48"/>
      <c r="AB73" s="31">
        <f>AB41+AB42</f>
        <v>7768.0929999999998</v>
      </c>
      <c r="AC73" s="31">
        <f t="shared" ref="AC73" si="125">AC41+AC42</f>
        <v>5052.95</v>
      </c>
      <c r="AD73" s="48"/>
    </row>
    <row r="74" spans="2:30" s="28" customFormat="1" x14ac:dyDescent="0.15">
      <c r="B74" s="28" t="s">
        <v>7</v>
      </c>
      <c r="M74" s="31">
        <f t="shared" ref="M74" si="126">M63</f>
        <v>750.452</v>
      </c>
      <c r="R74" s="31">
        <f t="shared" ref="R74:S74" si="127">R63</f>
        <v>910.96299999999997</v>
      </c>
      <c r="S74" s="31">
        <f t="shared" si="127"/>
        <v>911.54899999999998</v>
      </c>
      <c r="T74" s="31">
        <f t="shared" ref="T74" si="128">T63</f>
        <v>912.13699999999994</v>
      </c>
      <c r="U74" s="31">
        <f>U63</f>
        <v>912.72400000000005</v>
      </c>
      <c r="V74" s="31">
        <f t="shared" ref="V74" si="129">V63</f>
        <v>913.31200000000001</v>
      </c>
      <c r="W74" s="48"/>
      <c r="AB74" s="31">
        <f>AB63</f>
        <v>910.96299999999997</v>
      </c>
      <c r="AC74" s="31">
        <f t="shared" ref="AC74" si="130">AC63</f>
        <v>913.31200000000001</v>
      </c>
      <c r="AD74" s="48"/>
    </row>
    <row r="75" spans="2:30" x14ac:dyDescent="0.15">
      <c r="B75" s="1" t="s">
        <v>8</v>
      </c>
      <c r="M75" s="33">
        <f t="shared" ref="M75" si="131">M73-M74</f>
        <v>5370.7089999999998</v>
      </c>
      <c r="R75" s="33">
        <f t="shared" ref="R75:S75" si="132">R73-R74</f>
        <v>6857.13</v>
      </c>
      <c r="S75" s="33">
        <f t="shared" si="132"/>
        <v>6335.1410000000005</v>
      </c>
      <c r="T75" s="33">
        <f t="shared" ref="T75" si="133">T73-T74</f>
        <v>6042.6540000000005</v>
      </c>
      <c r="U75" s="33">
        <f>U73-U74</f>
        <v>4028.7079999999996</v>
      </c>
      <c r="V75" s="33">
        <f t="shared" ref="V75" si="134">V73-V74</f>
        <v>4139.6379999999999</v>
      </c>
      <c r="AB75" s="33">
        <f>AB73-AB74</f>
        <v>6857.13</v>
      </c>
      <c r="AC75" s="33">
        <f t="shared" ref="AC75" si="135">AC73-AC74</f>
        <v>4139.6379999999999</v>
      </c>
    </row>
    <row r="77" spans="2:30" x14ac:dyDescent="0.15">
      <c r="B77" s="1" t="s">
        <v>136</v>
      </c>
      <c r="M77" s="1">
        <f>31.17*10</f>
        <v>311.70000000000005</v>
      </c>
      <c r="R77" s="36">
        <f>137.743*10</f>
        <v>1377.4299999999998</v>
      </c>
      <c r="S77" s="36">
        <f>67.6*10</f>
        <v>676</v>
      </c>
      <c r="T77" s="36">
        <v>31.24</v>
      </c>
      <c r="U77" s="36">
        <v>26.94</v>
      </c>
      <c r="V77" s="1">
        <v>34.17</v>
      </c>
      <c r="AB77" s="33">
        <f>R77</f>
        <v>1377.4299999999998</v>
      </c>
      <c r="AC77" s="94">
        <f>V77</f>
        <v>34.17</v>
      </c>
    </row>
    <row r="78" spans="2:30" x14ac:dyDescent="0.15">
      <c r="B78" s="1" t="s">
        <v>137</v>
      </c>
      <c r="M78" s="33">
        <f t="shared" ref="M78" si="136">M77*M22</f>
        <v>37563.429562800004</v>
      </c>
      <c r="R78" s="33">
        <f t="shared" ref="R78:T78" si="137">R77*R22</f>
        <v>173190.82357964999</v>
      </c>
      <c r="S78" s="33">
        <f t="shared" ref="S78" si="138">S77*S22</f>
        <v>85184.832616</v>
      </c>
      <c r="T78" s="33">
        <f t="shared" si="137"/>
        <v>39425.244414599998</v>
      </c>
      <c r="U78" s="33">
        <f>U77*U22</f>
        <v>34198.315588440004</v>
      </c>
      <c r="V78" s="33">
        <f t="shared" ref="V78" si="139">V77*V22</f>
        <v>43509.986932680004</v>
      </c>
      <c r="AB78" s="33">
        <f t="shared" ref="AB78:AC78" si="140">AB77*AB22</f>
        <v>173190.82357964999</v>
      </c>
      <c r="AC78" s="33">
        <f t="shared" si="140"/>
        <v>43268.382856349999</v>
      </c>
    </row>
    <row r="79" spans="2:30" x14ac:dyDescent="0.15">
      <c r="B79" s="1" t="s">
        <v>9</v>
      </c>
      <c r="M79" s="33">
        <f t="shared" ref="M79" si="141">M78-M75</f>
        <v>32192.720562800005</v>
      </c>
      <c r="R79" s="33">
        <f t="shared" ref="R79:T79" si="142">R78-R75</f>
        <v>166333.69357964999</v>
      </c>
      <c r="S79" s="33">
        <f t="shared" ref="S79" si="143">S78-S75</f>
        <v>78849.691615999996</v>
      </c>
      <c r="T79" s="33">
        <f t="shared" si="142"/>
        <v>33382.590414599996</v>
      </c>
      <c r="U79" s="33">
        <f>U78-U75</f>
        <v>30169.607588440005</v>
      </c>
      <c r="V79" s="33">
        <f t="shared" ref="V79" si="144">V78-V75</f>
        <v>39370.348932680005</v>
      </c>
      <c r="AB79" s="33">
        <f t="shared" ref="AB79:AC79" si="145">AB78-AB75</f>
        <v>166333.69357964999</v>
      </c>
      <c r="AC79" s="33">
        <f t="shared" si="145"/>
        <v>39128.74485635</v>
      </c>
    </row>
    <row r="81" spans="2:39" x14ac:dyDescent="0.15">
      <c r="B81" s="1" t="s">
        <v>22</v>
      </c>
      <c r="M81" s="43">
        <f>M77/M71</f>
        <v>6.0813452279154898</v>
      </c>
      <c r="R81" s="43">
        <f>R77/R71</f>
        <v>15.556051285921271</v>
      </c>
      <c r="S81" s="43">
        <f t="shared" ref="S81" si="146">S77/S71</f>
        <v>8.7015686160663428</v>
      </c>
      <c r="T81" s="43">
        <f t="shared" ref="T81" si="147">T77/T71</f>
        <v>4.5227332229835326</v>
      </c>
      <c r="U81" s="43">
        <f>U77/U71</f>
        <v>3.9340025441642301</v>
      </c>
      <c r="V81" s="43">
        <f t="shared" ref="V81" si="148">V77/V71</f>
        <v>5.2810502645053248</v>
      </c>
      <c r="AB81" s="43">
        <f>AB77/AB71</f>
        <v>15.556051285921271</v>
      </c>
      <c r="AC81" s="43">
        <f t="shared" ref="AC81" si="149">AC77/AC71</f>
        <v>5.2517254275849581</v>
      </c>
    </row>
    <row r="82" spans="2:39" x14ac:dyDescent="0.15">
      <c r="B82" s="1" t="s">
        <v>23</v>
      </c>
      <c r="R82" s="43">
        <f t="shared" ref="R82:T82" si="150">R78/SUM(O6:R6)</f>
        <v>37.553389260126508</v>
      </c>
      <c r="S82" s="43">
        <f t="shared" si="150"/>
        <v>17.64818676432078</v>
      </c>
      <c r="T82" s="43">
        <f t="shared" si="150"/>
        <v>7.8811871012403909</v>
      </c>
      <c r="U82" s="43">
        <f>U78/SUM(R6:U6)</f>
        <v>6.5202864469437998</v>
      </c>
      <c r="V82" s="43">
        <f t="shared" ref="V82" si="151">V78/SUM(S6:V6)</f>
        <v>7.7698292195453318</v>
      </c>
      <c r="AB82" s="43">
        <f>AB78/AB6</f>
        <v>37.553389260126508</v>
      </c>
      <c r="AC82" s="43">
        <f t="shared" ref="AC82" si="152">AC78/AC6</f>
        <v>7.7266845866881759</v>
      </c>
    </row>
    <row r="83" spans="2:39" x14ac:dyDescent="0.15">
      <c r="B83" s="1" t="s">
        <v>24</v>
      </c>
      <c r="R83" s="43">
        <f t="shared" ref="R83:T83" si="153">R79/SUM(O6:R6)</f>
        <v>36.066541015081562</v>
      </c>
      <c r="S83" s="43">
        <f t="shared" si="153"/>
        <v>16.335702509637791</v>
      </c>
      <c r="T83" s="43">
        <f t="shared" si="153"/>
        <v>6.673248191306258</v>
      </c>
      <c r="U83" s="43">
        <f>U79/SUM(R6:U6)</f>
        <v>5.752168786202243</v>
      </c>
      <c r="V83" s="43">
        <f t="shared" ref="V83" si="154">V79/SUM(S6:V6)</f>
        <v>7.0305901951690259</v>
      </c>
      <c r="AB83" s="43">
        <f>AB79/AB6</f>
        <v>36.066541015081562</v>
      </c>
      <c r="AC83" s="43">
        <f>AC79/AC6</f>
        <v>6.9874455623118701</v>
      </c>
    </row>
    <row r="84" spans="2:39" x14ac:dyDescent="0.15">
      <c r="B84" s="1" t="s">
        <v>25</v>
      </c>
      <c r="R84" s="43">
        <f>R77/SUM(O21:R21)</f>
        <v>58.618024126380732</v>
      </c>
      <c r="S84" s="43">
        <f>S77/SUM(P21:S21)</f>
        <v>425.97888353217269</v>
      </c>
      <c r="T84" s="43">
        <f>T77/SUM(Q21:T21)</f>
        <v>-4.8620155305341894</v>
      </c>
      <c r="U84" s="43">
        <f>U77/SUM(R21:U21)</f>
        <v>-1.7123991298146535</v>
      </c>
      <c r="V84" s="43">
        <f t="shared" ref="V84" si="155">V77/SUM(S21:V21)</f>
        <v>-2.5751763691867708</v>
      </c>
      <c r="AB84" s="43">
        <f>AB77/AB21</f>
        <v>59.42061269591057</v>
      </c>
      <c r="AC84" s="43">
        <f t="shared" ref="AC84" si="156">AC77/AC21</f>
        <v>-12.503802389292279</v>
      </c>
    </row>
    <row r="85" spans="2:39" x14ac:dyDescent="0.15">
      <c r="B85" s="1" t="s">
        <v>26</v>
      </c>
      <c r="R85" s="43">
        <f t="shared" ref="R85:T85" si="157">R79/SUM(O20:R20)</f>
        <v>57.067977276123884</v>
      </c>
      <c r="S85" s="43">
        <f t="shared" si="157"/>
        <v>433.7023619462492</v>
      </c>
      <c r="T85" s="43">
        <f t="shared" si="157"/>
        <v>-17.558750140490666</v>
      </c>
      <c r="U85" s="43">
        <f>U79/SUM(R20:U20)</f>
        <v>-9.4043885395390046</v>
      </c>
      <c r="V85" s="43">
        <f t="shared" ref="V85" si="158">V79/SUM(S20:V20)</f>
        <v>-11.377339076573989</v>
      </c>
      <c r="AB85" s="43">
        <f>AB79/AB20</f>
        <v>57.067977276123898</v>
      </c>
      <c r="AC85" s="43">
        <f t="shared" ref="AC85" si="159">AC79/AC20</f>
        <v>-11.307519743669697</v>
      </c>
    </row>
    <row r="86" spans="2:39" x14ac:dyDescent="0.15">
      <c r="B86" s="1" t="s">
        <v>27</v>
      </c>
    </row>
    <row r="88" spans="2:39" x14ac:dyDescent="0.15">
      <c r="B88" s="37" t="s">
        <v>99</v>
      </c>
    </row>
    <row r="91" spans="2:39" s="2" customFormat="1" x14ac:dyDescent="0.15">
      <c r="B91" s="2" t="s">
        <v>100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32">
        <v>135.68299999999999</v>
      </c>
      <c r="P91" s="45">
        <f>202.104-O91</f>
        <v>66.421000000000021</v>
      </c>
      <c r="Q91" s="2">
        <v>0</v>
      </c>
      <c r="R91" s="2">
        <v>0</v>
      </c>
      <c r="S91" s="32">
        <v>-53.56</v>
      </c>
      <c r="T91" s="45">
        <f>-177.727-S91</f>
        <v>-124.167</v>
      </c>
      <c r="U91" s="32">
        <f>-391.833-SUM(S91:T91)</f>
        <v>-214.10600000000002</v>
      </c>
      <c r="V91" s="32">
        <f>-136.448-SUM(S91:U91)</f>
        <v>255.38500000000002</v>
      </c>
      <c r="W91" s="119"/>
      <c r="AC91" s="97"/>
      <c r="AD91" s="52"/>
      <c r="AE91" s="58"/>
      <c r="AF91" s="58"/>
      <c r="AG91" s="58"/>
      <c r="AH91" s="58"/>
      <c r="AI91" s="58"/>
      <c r="AJ91" s="58"/>
      <c r="AK91" s="58"/>
      <c r="AL91" s="58"/>
      <c r="AM91" s="58"/>
    </row>
    <row r="92" spans="2:39" x14ac:dyDescent="0.15">
      <c r="O92" s="33"/>
      <c r="S92" s="33"/>
      <c r="T92" s="33"/>
      <c r="V92" s="33"/>
    </row>
    <row r="93" spans="2:39" x14ac:dyDescent="0.15">
      <c r="B93" s="1" t="s">
        <v>139</v>
      </c>
      <c r="O93" s="33">
        <v>-2444.9549999999999</v>
      </c>
      <c r="P93" s="33">
        <f>-4149.857-O93</f>
        <v>-1704.902</v>
      </c>
      <c r="S93" s="33">
        <v>-1463.7049999999999</v>
      </c>
      <c r="T93" s="33">
        <f>-2033.09-S93</f>
        <v>-569.38499999999999</v>
      </c>
      <c r="U93" s="33">
        <f>3568.229-SUM(S93:T93)</f>
        <v>5601.3189999999995</v>
      </c>
      <c r="V93" s="33">
        <f>5011.129-SUM(S93:U93)</f>
        <v>1442.9000000000005</v>
      </c>
    </row>
    <row r="94" spans="2:39" x14ac:dyDescent="0.15">
      <c r="B94" s="1" t="s">
        <v>140</v>
      </c>
      <c r="O94" s="33">
        <v>1038.316</v>
      </c>
      <c r="P94" s="33">
        <f>2437.951-O94</f>
        <v>1399.635</v>
      </c>
      <c r="S94" s="33">
        <v>1929.395</v>
      </c>
      <c r="T94" s="33">
        <f>3689.564-S94</f>
        <v>1760.1689999999999</v>
      </c>
      <c r="U94" s="33">
        <f>5273.944-SUM(S94:T94)</f>
        <v>1584.3800000000006</v>
      </c>
      <c r="V94" s="33">
        <f>6890.167-SUM(S94:U94)</f>
        <v>1616.223</v>
      </c>
    </row>
    <row r="95" spans="2:39" x14ac:dyDescent="0.15">
      <c r="B95" s="1" t="s">
        <v>141</v>
      </c>
      <c r="O95" s="33">
        <v>-206.55199999999999</v>
      </c>
      <c r="P95" s="33">
        <f>-401.874-O95</f>
        <v>-195.32200000000003</v>
      </c>
      <c r="S95" s="33">
        <v>453.94499999999999</v>
      </c>
      <c r="T95" s="33">
        <f>569.649-S95</f>
        <v>115.70400000000001</v>
      </c>
      <c r="U95" s="33">
        <f>630.135-SUM(S95:T95)</f>
        <v>60.48599999999999</v>
      </c>
      <c r="V95" s="33">
        <f>635.156-SUM(S95:U95)</f>
        <v>5.0209999999999582</v>
      </c>
    </row>
    <row r="96" spans="2:39" x14ac:dyDescent="0.15">
      <c r="B96" s="1" t="s">
        <v>142</v>
      </c>
      <c r="O96" s="33">
        <v>5.1879999999999997</v>
      </c>
      <c r="P96" s="33">
        <f>-13.451+O96</f>
        <v>-8.2630000000000017</v>
      </c>
      <c r="S96" s="33">
        <v>15.94</v>
      </c>
      <c r="T96" s="33">
        <f>28.489-S96</f>
        <v>12.549000000000001</v>
      </c>
      <c r="U96" s="33">
        <f>42.394-SUM(S96:T96)</f>
        <v>13.904999999999998</v>
      </c>
      <c r="V96" s="33">
        <f>50.018-SUM(S96:U96)</f>
        <v>7.6240000000000023</v>
      </c>
      <c r="W96" s="98"/>
    </row>
    <row r="97" spans="2:39" x14ac:dyDescent="0.15">
      <c r="B97" s="1" t="s">
        <v>143</v>
      </c>
      <c r="O97" s="33">
        <v>0</v>
      </c>
      <c r="P97" s="33">
        <v>0</v>
      </c>
      <c r="S97" s="33">
        <v>0</v>
      </c>
      <c r="T97" s="33">
        <v>30.007999999999999</v>
      </c>
      <c r="U97" s="33">
        <f>1753.748-SUM(S97:T97)</f>
        <v>1723.74</v>
      </c>
      <c r="V97" s="33">
        <f>1753.748-SUM(S97:U97)</f>
        <v>0</v>
      </c>
    </row>
    <row r="98" spans="2:39" s="2" customFormat="1" x14ac:dyDescent="0.15">
      <c r="B98" s="2" t="s">
        <v>102</v>
      </c>
      <c r="C98" s="2">
        <f t="shared" ref="C98:V98" si="160">SUM(C93:C97)</f>
        <v>0</v>
      </c>
      <c r="D98" s="2">
        <f t="shared" si="160"/>
        <v>0</v>
      </c>
      <c r="E98" s="2">
        <f t="shared" si="160"/>
        <v>0</v>
      </c>
      <c r="F98" s="2">
        <f t="shared" si="160"/>
        <v>0</v>
      </c>
      <c r="G98" s="2">
        <f t="shared" si="160"/>
        <v>0</v>
      </c>
      <c r="H98" s="2">
        <f t="shared" si="160"/>
        <v>0</v>
      </c>
      <c r="I98" s="2">
        <f t="shared" si="160"/>
        <v>0</v>
      </c>
      <c r="J98" s="2">
        <f t="shared" si="160"/>
        <v>0</v>
      </c>
      <c r="K98" s="2">
        <f t="shared" si="160"/>
        <v>0</v>
      </c>
      <c r="L98" s="2">
        <f t="shared" si="160"/>
        <v>0</v>
      </c>
      <c r="M98" s="2">
        <f t="shared" si="160"/>
        <v>0</v>
      </c>
      <c r="N98" s="2">
        <f t="shared" si="160"/>
        <v>0</v>
      </c>
      <c r="O98" s="32">
        <f t="shared" si="160"/>
        <v>-1608.0029999999997</v>
      </c>
      <c r="P98" s="32">
        <f t="shared" si="160"/>
        <v>-508.85200000000003</v>
      </c>
      <c r="Q98" s="2">
        <f t="shared" si="160"/>
        <v>0</v>
      </c>
      <c r="R98" s="2">
        <f t="shared" si="160"/>
        <v>0</v>
      </c>
      <c r="S98" s="32">
        <f t="shared" si="160"/>
        <v>935.57500000000005</v>
      </c>
      <c r="T98" s="32">
        <f t="shared" si="160"/>
        <v>1349.0449999999998</v>
      </c>
      <c r="U98" s="32">
        <f t="shared" si="160"/>
        <v>8983.83</v>
      </c>
      <c r="V98" s="32">
        <f t="shared" si="160"/>
        <v>3071.768</v>
      </c>
      <c r="W98" s="119"/>
      <c r="AC98" s="97"/>
      <c r="AD98" s="52"/>
      <c r="AE98" s="58"/>
      <c r="AF98" s="58"/>
      <c r="AG98" s="58"/>
      <c r="AH98" s="58"/>
      <c r="AI98" s="58"/>
      <c r="AJ98" s="58"/>
      <c r="AK98" s="58"/>
      <c r="AL98" s="58"/>
      <c r="AM98" s="58"/>
    </row>
    <row r="99" spans="2:39" x14ac:dyDescent="0.15">
      <c r="O99" s="33"/>
      <c r="P99" s="33"/>
      <c r="S99" s="33"/>
      <c r="T99" s="33"/>
      <c r="V99" s="33"/>
    </row>
    <row r="100" spans="2:39" x14ac:dyDescent="0.15">
      <c r="B100" s="1" t="s">
        <v>101</v>
      </c>
      <c r="C100" s="1">
        <f t="shared" ref="C100:T100" si="161">C96+C97</f>
        <v>0</v>
      </c>
      <c r="D100" s="1">
        <f t="shared" si="161"/>
        <v>0</v>
      </c>
      <c r="E100" s="1">
        <f t="shared" si="161"/>
        <v>0</v>
      </c>
      <c r="F100" s="1">
        <f t="shared" si="161"/>
        <v>0</v>
      </c>
      <c r="G100" s="1">
        <f t="shared" si="161"/>
        <v>0</v>
      </c>
      <c r="H100" s="1">
        <f t="shared" si="161"/>
        <v>0</v>
      </c>
      <c r="I100" s="1">
        <f t="shared" si="161"/>
        <v>0</v>
      </c>
      <c r="J100" s="1">
        <f t="shared" si="161"/>
        <v>0</v>
      </c>
      <c r="K100" s="1">
        <f t="shared" si="161"/>
        <v>0</v>
      </c>
      <c r="L100" s="1">
        <f t="shared" si="161"/>
        <v>0</v>
      </c>
      <c r="M100" s="1">
        <f t="shared" si="161"/>
        <v>0</v>
      </c>
      <c r="N100" s="1">
        <f t="shared" si="161"/>
        <v>0</v>
      </c>
      <c r="O100" s="33">
        <f t="shared" si="161"/>
        <v>5.1879999999999997</v>
      </c>
      <c r="P100" s="33">
        <f t="shared" si="161"/>
        <v>-8.2630000000000017</v>
      </c>
      <c r="Q100" s="1">
        <f t="shared" si="161"/>
        <v>0</v>
      </c>
      <c r="R100" s="1">
        <f t="shared" si="161"/>
        <v>0</v>
      </c>
      <c r="S100" s="33">
        <f t="shared" si="161"/>
        <v>15.94</v>
      </c>
      <c r="T100" s="33">
        <f t="shared" si="161"/>
        <v>42.557000000000002</v>
      </c>
      <c r="U100" s="33">
        <f>U96+U97</f>
        <v>1737.645</v>
      </c>
      <c r="V100" s="33">
        <f t="shared" ref="V100" si="162">V96+V97</f>
        <v>7.6240000000000023</v>
      </c>
    </row>
    <row r="101" spans="2:39" x14ac:dyDescent="0.15">
      <c r="O101" s="33"/>
      <c r="P101" s="33"/>
      <c r="S101" s="33"/>
      <c r="T101" s="33"/>
      <c r="V101" s="33"/>
    </row>
    <row r="102" spans="2:39" s="2" customFormat="1" x14ac:dyDescent="0.15">
      <c r="B102" s="2" t="s">
        <v>103</v>
      </c>
      <c r="C102" s="32">
        <f t="shared" ref="C102:R102" si="163">C100-C91</f>
        <v>0</v>
      </c>
      <c r="D102" s="32">
        <f t="shared" si="163"/>
        <v>0</v>
      </c>
      <c r="E102" s="32">
        <f t="shared" si="163"/>
        <v>0</v>
      </c>
      <c r="F102" s="32">
        <f t="shared" si="163"/>
        <v>0</v>
      </c>
      <c r="G102" s="32">
        <f t="shared" si="163"/>
        <v>0</v>
      </c>
      <c r="H102" s="32">
        <f t="shared" si="163"/>
        <v>0</v>
      </c>
      <c r="I102" s="32">
        <f t="shared" si="163"/>
        <v>0</v>
      </c>
      <c r="J102" s="32">
        <f t="shared" si="163"/>
        <v>0</v>
      </c>
      <c r="K102" s="32">
        <f t="shared" si="163"/>
        <v>0</v>
      </c>
      <c r="L102" s="32">
        <f t="shared" si="163"/>
        <v>0</v>
      </c>
      <c r="M102" s="32">
        <f t="shared" si="163"/>
        <v>0</v>
      </c>
      <c r="N102" s="32">
        <f t="shared" si="163"/>
        <v>0</v>
      </c>
      <c r="O102" s="32">
        <f t="shared" si="163"/>
        <v>-130.495</v>
      </c>
      <c r="P102" s="32">
        <f t="shared" si="163"/>
        <v>-74.684000000000026</v>
      </c>
      <c r="Q102" s="32">
        <f t="shared" si="163"/>
        <v>0</v>
      </c>
      <c r="R102" s="32">
        <f t="shared" si="163"/>
        <v>0</v>
      </c>
      <c r="S102" s="32">
        <f>S100-S91</f>
        <v>69.5</v>
      </c>
      <c r="T102" s="32">
        <f t="shared" ref="T102:U102" si="164">T100-T91</f>
        <v>166.72399999999999</v>
      </c>
      <c r="U102" s="32">
        <f t="shared" si="164"/>
        <v>1951.751</v>
      </c>
      <c r="V102" s="32">
        <f t="shared" ref="V102" si="165">V100-V91</f>
        <v>-247.76100000000002</v>
      </c>
      <c r="W102" s="119"/>
      <c r="AC102" s="97"/>
      <c r="AD102" s="52"/>
      <c r="AE102" s="58"/>
      <c r="AF102" s="58"/>
      <c r="AG102" s="58"/>
      <c r="AH102" s="58"/>
      <c r="AI102" s="58"/>
      <c r="AJ102" s="58"/>
      <c r="AK102" s="58"/>
      <c r="AL102" s="58"/>
      <c r="AM102" s="58"/>
    </row>
  </sheetData>
  <hyperlinks>
    <hyperlink ref="U1" r:id="rId1" xr:uid="{230A06CC-0E7F-450B-8B83-E730E533289E}"/>
    <hyperlink ref="T1" r:id="rId2" xr:uid="{335B983C-A4C2-42BB-8F6F-7630B3853F22}"/>
    <hyperlink ref="S1" r:id="rId3" xr:uid="{885FA998-5ED9-44A3-A0F1-8874199F4566}"/>
    <hyperlink ref="R1" r:id="rId4" xr:uid="{10D4EEA5-9810-034E-8889-73BE2548332A}"/>
    <hyperlink ref="AB1" r:id="rId5" xr:uid="{097AF3B0-7BBE-48F1-A2C9-FE0198607796}"/>
    <hyperlink ref="M1" r:id="rId6" xr:uid="{240B947B-C305-4D02-B35A-139D4A74064D}"/>
    <hyperlink ref="V1" r:id="rId7" xr:uid="{6123133E-08C5-6C4D-9572-9C1E621E3D72}"/>
  </hyperlinks>
  <pageMargins left="0.7" right="0.7" top="0.75" bottom="0.75" header="0.3" footer="0.3"/>
  <pageSetup paperSize="256" orientation="portrait" horizontalDpi="203" verticalDpi="203" r:id="rId8"/>
  <ignoredErrors>
    <ignoredError sqref="AB19 AC11:AC17 AC19:AC20 AC4:AC5 AC7:AC8" formulaRange="1"/>
    <ignoredError sqref="AB4:AB18 AC18" formula="1" formulaRange="1"/>
    <ignoredError sqref="AB2:AB3 AC10 AB47:AC47 AB54:AB64 AC54 AC60" formula="1"/>
  </ignoredErrors>
  <drawing r:id="rId9"/>
  <legacy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A8B4B-4823-49AA-8B53-4608FA063D21}">
  <dimension ref="B1:E102"/>
  <sheetViews>
    <sheetView workbookViewId="0">
      <selection activeCell="E11" sqref="E11"/>
    </sheetView>
  </sheetViews>
  <sheetFormatPr baseColWidth="10" defaultColWidth="9.1640625" defaultRowHeight="13" x14ac:dyDescent="0.15"/>
  <cols>
    <col min="1" max="1" width="4.33203125" style="1" customWidth="1"/>
    <col min="2" max="2" width="24" style="1" bestFit="1" customWidth="1"/>
    <col min="3" max="16384" width="9.1640625" style="1"/>
  </cols>
  <sheetData>
    <row r="1" spans="2:5" x14ac:dyDescent="0.15">
      <c r="B1" s="21"/>
      <c r="D1" s="101" t="s">
        <v>48</v>
      </c>
      <c r="E1" s="116" t="s">
        <v>48</v>
      </c>
    </row>
    <row r="2" spans="2:5" x14ac:dyDescent="0.15">
      <c r="B2" s="22"/>
      <c r="D2" s="102" t="s">
        <v>153</v>
      </c>
      <c r="E2" s="117" t="s">
        <v>153</v>
      </c>
    </row>
    <row r="3" spans="2:5" x14ac:dyDescent="0.15">
      <c r="B3" s="22"/>
      <c r="D3" s="103" t="s">
        <v>152</v>
      </c>
      <c r="E3" s="108"/>
    </row>
    <row r="4" spans="2:5" x14ac:dyDescent="0.15">
      <c r="B4" s="30" t="s">
        <v>71</v>
      </c>
      <c r="D4" s="46"/>
      <c r="E4" s="109">
        <v>400.25400000000002</v>
      </c>
    </row>
    <row r="5" spans="2:5" x14ac:dyDescent="0.15">
      <c r="B5" s="30" t="s">
        <v>72</v>
      </c>
      <c r="D5" s="46"/>
      <c r="E5" s="109">
        <v>1334.7239999999999</v>
      </c>
    </row>
    <row r="6" spans="2:5" x14ac:dyDescent="0.15">
      <c r="B6" s="32" t="s">
        <v>73</v>
      </c>
      <c r="D6" s="104">
        <v>1707.75</v>
      </c>
      <c r="E6" s="110">
        <v>1734.9780000000001</v>
      </c>
    </row>
    <row r="7" spans="2:5" x14ac:dyDescent="0.15">
      <c r="B7" s="30" t="s">
        <v>74</v>
      </c>
      <c r="D7" s="46"/>
      <c r="E7" s="109">
        <v>85.771000000000001</v>
      </c>
    </row>
    <row r="8" spans="2:5" x14ac:dyDescent="0.15">
      <c r="B8" s="30" t="s">
        <v>75</v>
      </c>
      <c r="D8" s="46"/>
      <c r="E8" s="109">
        <v>850.69899999999996</v>
      </c>
    </row>
    <row r="9" spans="2:5" x14ac:dyDescent="0.15">
      <c r="B9" s="33" t="s">
        <v>76</v>
      </c>
      <c r="D9" s="98">
        <v>853.875</v>
      </c>
      <c r="E9" s="111">
        <v>936.46999999999991</v>
      </c>
    </row>
    <row r="10" spans="2:5" x14ac:dyDescent="0.15">
      <c r="B10" s="32" t="s">
        <v>77</v>
      </c>
      <c r="D10" s="104">
        <v>853.875</v>
      </c>
      <c r="E10" s="110">
        <v>798.50800000000015</v>
      </c>
    </row>
    <row r="11" spans="2:5" x14ac:dyDescent="0.15">
      <c r="B11" s="33" t="s">
        <v>78</v>
      </c>
      <c r="D11" s="98">
        <v>392.78250000000003</v>
      </c>
      <c r="E11" s="111">
        <v>297.74099999999999</v>
      </c>
    </row>
    <row r="12" spans="2:5" x14ac:dyDescent="0.15">
      <c r="B12" s="33" t="s">
        <v>79</v>
      </c>
      <c r="D12" s="98">
        <v>512.32499999999993</v>
      </c>
      <c r="E12" s="111">
        <v>440.54700000000003</v>
      </c>
    </row>
    <row r="13" spans="2:5" x14ac:dyDescent="0.15">
      <c r="B13" s="33" t="s">
        <v>80</v>
      </c>
      <c r="D13" s="98">
        <v>324.47250000000003</v>
      </c>
      <c r="E13" s="111">
        <v>214.65100000000001</v>
      </c>
    </row>
    <row r="14" spans="2:5" x14ac:dyDescent="0.15">
      <c r="B14" s="33" t="s">
        <v>81</v>
      </c>
      <c r="D14" s="98">
        <v>30.747199999999999</v>
      </c>
      <c r="E14" s="111">
        <v>34.317999999999998</v>
      </c>
    </row>
    <row r="15" spans="2:5" x14ac:dyDescent="0.15">
      <c r="B15" s="33" t="s">
        <v>82</v>
      </c>
      <c r="D15" s="98">
        <v>1260.3271999999999</v>
      </c>
      <c r="E15" s="111">
        <v>987.25700000000006</v>
      </c>
    </row>
    <row r="16" spans="2:5" x14ac:dyDescent="0.15">
      <c r="B16" s="32" t="s">
        <v>83</v>
      </c>
      <c r="D16" s="104">
        <v>-406.45219999999995</v>
      </c>
      <c r="E16" s="110">
        <v>-188.74899999999991</v>
      </c>
    </row>
    <row r="17" spans="2:5" x14ac:dyDescent="0.15">
      <c r="B17" s="33" t="s">
        <v>84</v>
      </c>
      <c r="D17" s="98">
        <v>-719.45324999999991</v>
      </c>
      <c r="E17" s="111">
        <v>-425.85899999999998</v>
      </c>
    </row>
    <row r="18" spans="2:5" x14ac:dyDescent="0.15">
      <c r="B18" s="33" t="s">
        <v>85</v>
      </c>
      <c r="D18" s="98">
        <v>-1125.9054499999997</v>
      </c>
      <c r="E18" s="111">
        <v>-614.60799999999995</v>
      </c>
    </row>
    <row r="19" spans="2:5" x14ac:dyDescent="0.15">
      <c r="B19" s="33" t="s">
        <v>86</v>
      </c>
      <c r="D19" s="98">
        <v>-281.47636249999994</v>
      </c>
      <c r="E19" s="111">
        <v>9.0860000000000003</v>
      </c>
    </row>
    <row r="20" spans="2:5" x14ac:dyDescent="0.15">
      <c r="B20" s="32" t="s">
        <v>87</v>
      </c>
      <c r="D20" s="104">
        <v>-844.42908749999981</v>
      </c>
      <c r="E20" s="110">
        <v>-623.69399999999996</v>
      </c>
    </row>
    <row r="21" spans="2:5" x14ac:dyDescent="0.15">
      <c r="B21" s="1" t="s">
        <v>88</v>
      </c>
      <c r="D21" s="105">
        <v>-0.66520585080920691</v>
      </c>
      <c r="E21" s="112">
        <v>-0.48980993749720042</v>
      </c>
    </row>
    <row r="22" spans="2:5" x14ac:dyDescent="0.15">
      <c r="B22" s="1" t="s">
        <v>4</v>
      </c>
      <c r="D22" s="98">
        <v>1269.4252260000001</v>
      </c>
      <c r="E22" s="111">
        <v>1273.338804</v>
      </c>
    </row>
    <row r="23" spans="2:5" x14ac:dyDescent="0.15">
      <c r="D23" s="106"/>
      <c r="E23" s="108"/>
    </row>
    <row r="24" spans="2:5" x14ac:dyDescent="0.15">
      <c r="B24" s="2" t="s">
        <v>89</v>
      </c>
      <c r="D24" s="107">
        <v>0.23747847863515403</v>
      </c>
      <c r="E24" s="113">
        <v>0.25720857028573407</v>
      </c>
    </row>
    <row r="25" spans="2:5" x14ac:dyDescent="0.15">
      <c r="B25" s="27" t="s">
        <v>90</v>
      </c>
      <c r="D25" s="100"/>
      <c r="E25" s="114">
        <v>0.13964943850937339</v>
      </c>
    </row>
    <row r="26" spans="2:5" x14ac:dyDescent="0.15">
      <c r="B26" s="27" t="s">
        <v>91</v>
      </c>
      <c r="D26" s="100"/>
      <c r="E26" s="114">
        <v>0.29733985474564917</v>
      </c>
    </row>
    <row r="27" spans="2:5" x14ac:dyDescent="0.15">
      <c r="B27" s="1" t="s">
        <v>92</v>
      </c>
      <c r="D27" s="100">
        <v>0.25</v>
      </c>
      <c r="E27" s="114">
        <v>0.26992973210364513</v>
      </c>
    </row>
    <row r="28" spans="2:5" x14ac:dyDescent="0.15">
      <c r="D28" s="106"/>
      <c r="E28" s="108"/>
    </row>
    <row r="29" spans="2:5" x14ac:dyDescent="0.15">
      <c r="B29" s="34" t="s">
        <v>93</v>
      </c>
      <c r="D29" s="107">
        <v>0.5</v>
      </c>
      <c r="E29" s="113">
        <v>0.46024099441030381</v>
      </c>
    </row>
    <row r="30" spans="2:5" x14ac:dyDescent="0.15">
      <c r="B30" s="40" t="s">
        <v>110</v>
      </c>
      <c r="D30" s="47"/>
      <c r="E30" s="115">
        <v>0.78570857505484015</v>
      </c>
    </row>
    <row r="31" spans="2:5" x14ac:dyDescent="0.15">
      <c r="B31" s="40" t="s">
        <v>111</v>
      </c>
      <c r="D31" s="47"/>
      <c r="E31" s="115">
        <v>0.36264051594187263</v>
      </c>
    </row>
    <row r="32" spans="2:5" x14ac:dyDescent="0.15">
      <c r="B32" s="35" t="s">
        <v>94</v>
      </c>
      <c r="D32" s="100">
        <v>-0.23800450885668273</v>
      </c>
      <c r="E32" s="114">
        <v>-0.10879042846652805</v>
      </c>
    </row>
    <row r="33" spans="2:5" x14ac:dyDescent="0.15">
      <c r="B33" s="35" t="s">
        <v>95</v>
      </c>
      <c r="D33" s="100">
        <v>-0.49446879666227483</v>
      </c>
      <c r="E33" s="114">
        <v>-0.35948236807613693</v>
      </c>
    </row>
    <row r="34" spans="2:5" x14ac:dyDescent="0.15">
      <c r="B34" s="35" t="s">
        <v>96</v>
      </c>
      <c r="D34" s="100">
        <v>0.25</v>
      </c>
      <c r="E34" s="114">
        <v>-1.4783406659203918E-2</v>
      </c>
    </row>
    <row r="35" spans="2:5" x14ac:dyDescent="0.15">
      <c r="D35" s="106"/>
      <c r="E35" s="108"/>
    </row>
    <row r="36" spans="2:5" x14ac:dyDescent="0.15">
      <c r="B36" s="35" t="s">
        <v>97</v>
      </c>
      <c r="D36" s="100">
        <v>0.3</v>
      </c>
      <c r="E36" s="114">
        <v>0.25392079899572212</v>
      </c>
    </row>
    <row r="40" spans="2:5" x14ac:dyDescent="0.15">
      <c r="B40" s="37"/>
    </row>
    <row r="41" spans="2:5" x14ac:dyDescent="0.15">
      <c r="B41" s="2"/>
      <c r="D41" s="2"/>
    </row>
    <row r="42" spans="2:5" x14ac:dyDescent="0.15">
      <c r="B42" s="2"/>
      <c r="D42" s="2"/>
    </row>
    <row r="63" spans="2:4" x14ac:dyDescent="0.15">
      <c r="B63" s="2"/>
      <c r="D63" s="2"/>
    </row>
    <row r="73" spans="2:4" x14ac:dyDescent="0.15">
      <c r="B73" s="28"/>
      <c r="D73" s="28"/>
    </row>
    <row r="74" spans="2:4" x14ac:dyDescent="0.15">
      <c r="B74" s="28"/>
      <c r="D74" s="28"/>
    </row>
    <row r="88" spans="2:4" x14ac:dyDescent="0.15">
      <c r="B88" s="37"/>
    </row>
    <row r="91" spans="2:4" x14ac:dyDescent="0.15">
      <c r="B91" s="2"/>
      <c r="D91" s="2"/>
    </row>
    <row r="97" spans="2:4" x14ac:dyDescent="0.15">
      <c r="D97" s="33"/>
    </row>
    <row r="98" spans="2:4" x14ac:dyDescent="0.15">
      <c r="B98" s="2"/>
      <c r="D98" s="2"/>
    </row>
    <row r="102" spans="2:4" x14ac:dyDescent="0.15">
      <c r="B102" s="2"/>
      <c r="D102" s="2"/>
    </row>
  </sheetData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Historical 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2023-02-04T14:36:44Z</dcterms:created>
  <dcterms:modified xsi:type="dcterms:W3CDTF">2023-02-16T00:00:13Z</dcterms:modified>
</cp:coreProperties>
</file>