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9A322973-9214-9841-AFC1-B18D6B12C798}" xr6:coauthVersionLast="47" xr6:coauthVersionMax="47" xr10:uidLastSave="{00000000-0000-0000-0000-000000000000}"/>
  <bookViews>
    <workbookView xWindow="0" yWindow="500" windowWidth="28800" windowHeight="18900" xr2:uid="{BED0471A-CBC0-4084-A037-CD3E53E820DA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1" l="1"/>
  <c r="P36" i="2"/>
  <c r="P35" i="2"/>
  <c r="P34" i="2"/>
  <c r="P28" i="2"/>
  <c r="P27" i="2"/>
  <c r="P25" i="2"/>
  <c r="P24" i="2"/>
  <c r="P23" i="2"/>
  <c r="P22" i="2"/>
  <c r="D11" i="1"/>
  <c r="D10" i="1"/>
  <c r="D9" i="1"/>
  <c r="D7" i="1"/>
  <c r="C10" i="1"/>
  <c r="C9" i="1"/>
  <c r="C7" i="1"/>
  <c r="P67" i="2"/>
  <c r="P53" i="2"/>
  <c r="P57" i="2" s="1"/>
  <c r="P60" i="2" s="1"/>
  <c r="P43" i="2"/>
  <c r="P47" i="2" s="1"/>
  <c r="P63" i="2" s="1"/>
  <c r="P64" i="2" s="1"/>
  <c r="C35" i="1" s="1"/>
  <c r="P7" i="2"/>
  <c r="P12" i="2" s="1"/>
  <c r="P14" i="2" s="1"/>
  <c r="P16" i="2" s="1"/>
  <c r="P18" i="2" s="1"/>
  <c r="P19" i="2" s="1"/>
  <c r="N20" i="2"/>
  <c r="N17" i="2"/>
  <c r="N15" i="2"/>
  <c r="N13" i="2"/>
  <c r="N10" i="2"/>
  <c r="N9" i="2"/>
  <c r="N8" i="2"/>
  <c r="N6" i="2"/>
  <c r="N4" i="2"/>
  <c r="N3" i="2"/>
  <c r="M23" i="2"/>
  <c r="L23" i="2"/>
  <c r="I23" i="2"/>
  <c r="H11" i="2"/>
  <c r="H7" i="2"/>
  <c r="H27" i="2" s="1"/>
  <c r="L25" i="2"/>
  <c r="L24" i="2"/>
  <c r="L22" i="2"/>
  <c r="L11" i="2"/>
  <c r="L7" i="2"/>
  <c r="L27" i="2" s="1"/>
  <c r="M22" i="2"/>
  <c r="M25" i="2"/>
  <c r="M24" i="2"/>
  <c r="I11" i="2"/>
  <c r="I7" i="2"/>
  <c r="I27" i="2" s="1"/>
  <c r="M11" i="2"/>
  <c r="M7" i="2"/>
  <c r="M12" i="2" s="1"/>
  <c r="V11" i="2"/>
  <c r="W11" i="2"/>
  <c r="P29" i="2" l="1"/>
  <c r="P30" i="2"/>
  <c r="M27" i="2"/>
  <c r="P31" i="2"/>
  <c r="M14" i="2"/>
  <c r="M28" i="2"/>
  <c r="I12" i="2"/>
  <c r="L12" i="2"/>
  <c r="H12" i="2"/>
  <c r="X69" i="2"/>
  <c r="X66" i="2"/>
  <c r="W53" i="2"/>
  <c r="W57" i="2" s="1"/>
  <c r="W60" i="2" s="1"/>
  <c r="W43" i="2"/>
  <c r="W47" i="2" s="1"/>
  <c r="X53" i="2"/>
  <c r="X57" i="2" s="1"/>
  <c r="X43" i="2"/>
  <c r="X47" i="2" s="1"/>
  <c r="H28" i="2" l="1"/>
  <c r="H14" i="2"/>
  <c r="L28" i="2"/>
  <c r="L14" i="2"/>
  <c r="I28" i="2"/>
  <c r="I14" i="2"/>
  <c r="M16" i="2"/>
  <c r="M31" i="2"/>
  <c r="W63" i="2"/>
  <c r="W64" i="2" s="1"/>
  <c r="X60" i="2"/>
  <c r="X63" i="2"/>
  <c r="X64" i="2" s="1"/>
  <c r="X11" i="2"/>
  <c r="N11" i="2" s="1"/>
  <c r="I31" i="2" l="1"/>
  <c r="I16" i="2"/>
  <c r="M18" i="2"/>
  <c r="M29" i="2"/>
  <c r="L31" i="2"/>
  <c r="L16" i="2"/>
  <c r="H31" i="2"/>
  <c r="H16" i="2"/>
  <c r="X35" i="2"/>
  <c r="X34" i="2"/>
  <c r="X36" i="2" s="1"/>
  <c r="K35" i="2"/>
  <c r="K34" i="2"/>
  <c r="O35" i="2"/>
  <c r="O34" i="2"/>
  <c r="O36" i="2" s="1"/>
  <c r="X25" i="2"/>
  <c r="W25" i="2"/>
  <c r="W24" i="2"/>
  <c r="X24" i="2"/>
  <c r="X5" i="2"/>
  <c r="W5" i="2"/>
  <c r="W7" i="2" s="1"/>
  <c r="V5" i="2"/>
  <c r="V7" i="2" s="1"/>
  <c r="H29" i="2" l="1"/>
  <c r="H18" i="2"/>
  <c r="L18" i="2"/>
  <c r="L29" i="2"/>
  <c r="V12" i="2"/>
  <c r="V27" i="2"/>
  <c r="W12" i="2"/>
  <c r="W27" i="2"/>
  <c r="X7" i="2"/>
  <c r="N5" i="2"/>
  <c r="M30" i="2"/>
  <c r="M19" i="2"/>
  <c r="I29" i="2"/>
  <c r="I18" i="2"/>
  <c r="K36" i="2"/>
  <c r="X12" i="2"/>
  <c r="X27" i="2"/>
  <c r="W22" i="2"/>
  <c r="X22" i="2"/>
  <c r="O25" i="2"/>
  <c r="O24" i="2"/>
  <c r="I19" i="2" l="1"/>
  <c r="I30" i="2"/>
  <c r="O23" i="2"/>
  <c r="N23" i="2"/>
  <c r="N7" i="2"/>
  <c r="H30" i="2"/>
  <c r="H19" i="2"/>
  <c r="W14" i="2"/>
  <c r="W28" i="2"/>
  <c r="V14" i="2"/>
  <c r="V28" i="2"/>
  <c r="L19" i="2"/>
  <c r="L30" i="2"/>
  <c r="X28" i="2"/>
  <c r="X14" i="2"/>
  <c r="L43" i="2"/>
  <c r="L47" i="2" s="1"/>
  <c r="M43" i="2"/>
  <c r="M47" i="2" s="1"/>
  <c r="N43" i="2"/>
  <c r="N47" i="2" s="1"/>
  <c r="L53" i="2"/>
  <c r="L57" i="2" s="1"/>
  <c r="M53" i="2"/>
  <c r="M57" i="2" s="1"/>
  <c r="N53" i="2"/>
  <c r="N57" i="2" s="1"/>
  <c r="K53" i="2"/>
  <c r="K57" i="2" s="1"/>
  <c r="K43" i="2"/>
  <c r="K47" i="2" s="1"/>
  <c r="O53" i="2"/>
  <c r="O57" i="2" s="1"/>
  <c r="O60" i="2" s="1"/>
  <c r="O43" i="2"/>
  <c r="O47" i="2" s="1"/>
  <c r="O22" i="2"/>
  <c r="K7" i="2"/>
  <c r="K12" i="2" s="1"/>
  <c r="O7" i="2"/>
  <c r="O12" i="2" s="1"/>
  <c r="O14" i="2" s="1"/>
  <c r="O16" i="2" s="1"/>
  <c r="O18" i="2" s="1"/>
  <c r="C32" i="1" s="1"/>
  <c r="C11" i="1"/>
  <c r="V16" i="2" l="1"/>
  <c r="V31" i="2"/>
  <c r="W16" i="2"/>
  <c r="W31" i="2"/>
  <c r="N27" i="2"/>
  <c r="N12" i="2"/>
  <c r="X16" i="2"/>
  <c r="X31" i="2"/>
  <c r="K27" i="2"/>
  <c r="O63" i="2"/>
  <c r="O64" i="2" s="1"/>
  <c r="O19" i="2"/>
  <c r="O30" i="2"/>
  <c r="K14" i="2"/>
  <c r="K28" i="2"/>
  <c r="O27" i="2"/>
  <c r="O28" i="2"/>
  <c r="O29" i="2"/>
  <c r="O31" i="2"/>
  <c r="N14" i="2" l="1"/>
  <c r="N28" i="2"/>
  <c r="W18" i="2"/>
  <c r="W29" i="2"/>
  <c r="V18" i="2"/>
  <c r="V29" i="2"/>
  <c r="C33" i="1"/>
  <c r="X18" i="2"/>
  <c r="X29" i="2"/>
  <c r="K31" i="2"/>
  <c r="K16" i="2"/>
  <c r="W19" i="2" l="1"/>
  <c r="W30" i="2"/>
  <c r="V19" i="2"/>
  <c r="V30" i="2"/>
  <c r="N16" i="2"/>
  <c r="N31" i="2"/>
  <c r="X19" i="2"/>
  <c r="C37" i="1" s="1"/>
  <c r="X30" i="2"/>
  <c r="K18" i="2"/>
  <c r="K29" i="2"/>
  <c r="N29" i="2" l="1"/>
  <c r="N18" i="2"/>
  <c r="K19" i="2"/>
  <c r="K30" i="2"/>
  <c r="N30" i="2" l="1"/>
  <c r="N19" i="2"/>
  <c r="C8" i="1"/>
  <c r="C12" i="1" l="1"/>
  <c r="C38" i="1" s="1"/>
</calcChain>
</file>

<file path=xl/sharedStrings.xml><?xml version="1.0" encoding="utf-8"?>
<sst xmlns="http://schemas.openxmlformats.org/spreadsheetml/2006/main" count="147" uniqueCount="140">
  <si>
    <t>$ANF</t>
  </si>
  <si>
    <t>Abercrombie &amp; Fitch Co.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</si>
  <si>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</si>
  <si>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</si>
  <si>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</si>
  <si>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</si>
  <si>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</si>
  <si>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</si>
  <si>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</si>
  <si>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</si>
  <si>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</si>
  <si>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</si>
  <si>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</si>
  <si>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Profile</t>
  </si>
  <si>
    <t>HQ</t>
  </si>
  <si>
    <t>Founded</t>
  </si>
  <si>
    <t>IR</t>
  </si>
  <si>
    <t>Update</t>
  </si>
  <si>
    <t>EV/E</t>
  </si>
  <si>
    <t>P/E</t>
  </si>
  <si>
    <t>ROCE</t>
  </si>
  <si>
    <t>P/B</t>
  </si>
  <si>
    <t>P/E 21</t>
  </si>
  <si>
    <t>Fan Horowitz</t>
  </si>
  <si>
    <t>Scott Lipesky</t>
  </si>
  <si>
    <t>CTO</t>
  </si>
  <si>
    <t>Samir Desai</t>
  </si>
  <si>
    <t>Ohio, US</t>
  </si>
  <si>
    <t>Link</t>
  </si>
  <si>
    <t>Key Events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</si>
  <si>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</si>
  <si>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</si>
  <si>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</si>
  <si>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</si>
  <si>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</si>
  <si>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</si>
  <si>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</si>
  <si>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</si>
  <si>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</si>
  <si>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</si>
  <si>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</si>
  <si>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</si>
  <si>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</si>
  <si>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</si>
  <si>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</si>
  <si>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</si>
  <si>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</si>
  <si>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</si>
  <si>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</si>
  <si>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</si>
  <si>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</si>
  <si>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</si>
  <si>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</si>
  <si>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</si>
  <si>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</si>
  <si>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</si>
  <si>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</si>
  <si>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</si>
  <si>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</si>
  <si>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</si>
  <si>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Revenue</t>
  </si>
  <si>
    <t>COGS</t>
  </si>
  <si>
    <t>Gross Profit</t>
  </si>
  <si>
    <t>Store &amp; Distribution Expense</t>
  </si>
  <si>
    <t>Marketing, G&amp;A</t>
  </si>
  <si>
    <t>Asset Impairment</t>
  </si>
  <si>
    <t>Other Operating Income</t>
  </si>
  <si>
    <t>Operating Income</t>
  </si>
  <si>
    <t>Interest Expense</t>
  </si>
  <si>
    <t>Pretax Income</t>
  </si>
  <si>
    <t>Taxes</t>
  </si>
  <si>
    <t>Net Income</t>
  </si>
  <si>
    <t>EPS</t>
  </si>
  <si>
    <t>Non-controlling Income</t>
  </si>
  <si>
    <t>AF Net Income</t>
  </si>
  <si>
    <t>Revenue Y/Y</t>
  </si>
  <si>
    <t>Revenue Q/Q</t>
  </si>
  <si>
    <t>Gross Margin</t>
  </si>
  <si>
    <t>Operating Margin</t>
  </si>
  <si>
    <t>Net Margin</t>
  </si>
  <si>
    <t>Net Margin AF</t>
  </si>
  <si>
    <t>Balance Sheet</t>
  </si>
  <si>
    <t>Receivables</t>
  </si>
  <si>
    <t>Inventories</t>
  </si>
  <si>
    <t>Other Current Assets</t>
  </si>
  <si>
    <t>TCA</t>
  </si>
  <si>
    <t>PP&amp;E</t>
  </si>
  <si>
    <t>Operating Lease ROU</t>
  </si>
  <si>
    <t>Other Assets</t>
  </si>
  <si>
    <t>Assets</t>
  </si>
  <si>
    <t>A/P</t>
  </si>
  <si>
    <t>Accrued Expenses</t>
  </si>
  <si>
    <t>Short Term Operating Lease</t>
  </si>
  <si>
    <t xml:space="preserve">Income Taxes </t>
  </si>
  <si>
    <t>TCL</t>
  </si>
  <si>
    <t>Long Term Operating Lease</t>
  </si>
  <si>
    <t>Long Term Borrowings</t>
  </si>
  <si>
    <t>Other Liabilities</t>
  </si>
  <si>
    <t>Liabilities</t>
  </si>
  <si>
    <t>S/E</t>
  </si>
  <si>
    <t>S/E+L</t>
  </si>
  <si>
    <t>Book Value</t>
  </si>
  <si>
    <t>Book Value per Share</t>
  </si>
  <si>
    <t>Hollister Revenue</t>
  </si>
  <si>
    <t>Abercrombie Revenue</t>
  </si>
  <si>
    <t>Abercrombie Y/Y</t>
  </si>
  <si>
    <t>Hollister Y/Y</t>
  </si>
  <si>
    <t>Brands, Products &amp; USP</t>
  </si>
  <si>
    <t>Hollister</t>
  </si>
  <si>
    <t>Gilly Hicks</t>
  </si>
  <si>
    <t>Social Tourist</t>
  </si>
  <si>
    <t>Abercrombie &amp; Fitch</t>
  </si>
  <si>
    <t>Abercrombe Kids</t>
  </si>
  <si>
    <t>"Quintessential apparel brand of GenZ consumer"</t>
  </si>
  <si>
    <t>Underwear, Loungewear &amp; Activewear for GenZ</t>
  </si>
  <si>
    <t>Creative vision of influencers, lifestyle brand for teens</t>
  </si>
  <si>
    <t>Since 1892 brand has been speciality retailer of</t>
  </si>
  <si>
    <t>quality apparel, outwear &amp; fragrance</t>
  </si>
  <si>
    <t>Qualitty, comfortable apparel for children</t>
  </si>
  <si>
    <t>EV/E 21</t>
  </si>
  <si>
    <t>Stores</t>
  </si>
  <si>
    <t>Non-Finance Metrics</t>
  </si>
  <si>
    <t>Hollister Stores</t>
  </si>
  <si>
    <t>Abercrombie Stores</t>
  </si>
  <si>
    <t>Total Stores</t>
  </si>
  <si>
    <t>Italian fashion brand Pinko sues A&amp;F over pending loss of Soho, NY store</t>
  </si>
  <si>
    <t>A&amp;F frieght costs exceeded expectations by over $15m due to rising rates</t>
  </si>
  <si>
    <t>&amp; supply chain distruptions. Retailer is now scheduling earlier inventory</t>
  </si>
  <si>
    <t>receipts to allow for longer lead times, expanding number of freight vendors</t>
  </si>
  <si>
    <t>and reducing air freight where possible</t>
  </si>
  <si>
    <t>-</t>
  </si>
  <si>
    <t>EV/E 20</t>
  </si>
  <si>
    <t>Inventory Y/Y</t>
  </si>
  <si>
    <t>Inventory Q/Q</t>
  </si>
  <si>
    <t>Cash Y/Y</t>
  </si>
  <si>
    <t>Cash Q/Q</t>
  </si>
  <si>
    <t>FY18</t>
  </si>
  <si>
    <t>ANF announce plans to close London flagship store by Jan 21 as part of a shift</t>
  </si>
  <si>
    <t>away from tourist spots, 7 global flagships will close. Part of wider restructuring</t>
  </si>
  <si>
    <t>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</si>
</sst>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"/>
    <numFmt numFmtId="166" formatCode="#.#\x"/>
    <numFmt numFmtId="167" formatCode="0.#\x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3" borderId="4" xfId="0" applyFont="1" applyFill="1" applyBorder="1"/>
    <xf numFmtId="0" fontId="3" fillId="3" borderId="6" xfId="0" applyFont="1" applyFill="1" applyBorder="1"/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3" fillId="4" borderId="4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164" fontId="1" fillId="4" borderId="0" xfId="0" applyNumberFormat="1" applyFont="1" applyFill="1" applyBorder="1"/>
    <xf numFmtId="164" fontId="1" fillId="4" borderId="7" xfId="0" applyNumberFormat="1" applyFont="1" applyFill="1" applyBorder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5" fillId="0" borderId="0" xfId="1" applyFont="1" applyAlignment="1">
      <alignment horizontal="right"/>
    </xf>
    <xf numFmtId="14" fontId="7" fillId="0" borderId="0" xfId="0" applyNumberFormat="1" applyFont="1" applyAlignment="1">
      <alignment horizontal="right"/>
    </xf>
    <xf numFmtId="2" fontId="1" fillId="0" borderId="0" xfId="0" applyNumberFormat="1" applyFont="1"/>
    <xf numFmtId="165" fontId="3" fillId="0" borderId="0" xfId="0" applyNumberFormat="1" applyFont="1"/>
    <xf numFmtId="165" fontId="1" fillId="0" borderId="0" xfId="0" applyNumberFormat="1" applyFont="1"/>
    <xf numFmtId="9" fontId="1" fillId="0" borderId="0" xfId="0" applyNumberFormat="1" applyFont="1"/>
    <xf numFmtId="0" fontId="8" fillId="0" borderId="0" xfId="0" applyFont="1"/>
    <xf numFmtId="9" fontId="3" fillId="0" borderId="0" xfId="0" applyNumberFormat="1" applyFont="1"/>
    <xf numFmtId="164" fontId="1" fillId="0" borderId="0" xfId="0" applyNumberFormat="1" applyFont="1"/>
    <xf numFmtId="0" fontId="9" fillId="0" borderId="0" xfId="0" applyFont="1"/>
    <xf numFmtId="165" fontId="9" fillId="0" borderId="0" xfId="0" applyNumberFormat="1" applyFont="1"/>
    <xf numFmtId="0" fontId="1" fillId="0" borderId="0" xfId="0" applyFont="1" applyAlignment="1">
      <alignment horizontal="left" indent="1"/>
    </xf>
    <xf numFmtId="0" fontId="9" fillId="0" borderId="0" xfId="0" applyFont="1" applyAlignment="1">
      <alignment horizontal="left" indent="1"/>
    </xf>
    <xf numFmtId="0" fontId="1" fillId="4" borderId="4" xfId="0" applyFont="1" applyFill="1" applyBorder="1"/>
    <xf numFmtId="0" fontId="1" fillId="4" borderId="6" xfId="0" applyFont="1" applyFill="1" applyBorder="1"/>
    <xf numFmtId="0" fontId="3" fillId="4" borderId="4" xfId="0" applyFont="1" applyFill="1" applyBorder="1"/>
    <xf numFmtId="0" fontId="3" fillId="4" borderId="4" xfId="0" applyFont="1" applyFill="1" applyBorder="1" applyAlignment="1">
      <alignment horizontal="left" indent="1"/>
    </xf>
    <xf numFmtId="0" fontId="1" fillId="4" borderId="4" xfId="0" applyFont="1" applyFill="1" applyBorder="1" applyAlignment="1">
      <alignment horizontal="left" indent="1"/>
    </xf>
    <xf numFmtId="0" fontId="1" fillId="4" borderId="4" xfId="0" applyFont="1" applyFill="1" applyBorder="1" applyAlignment="1">
      <alignment horizontal="left" indent="2"/>
    </xf>
    <xf numFmtId="17" fontId="3" fillId="3" borderId="4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left" indent="1"/>
    </xf>
    <xf numFmtId="9" fontId="1" fillId="0" borderId="0" xfId="2" applyFont="1"/>
    <xf numFmtId="0" fontId="1" fillId="4" borderId="0" xfId="0" applyFont="1" applyFill="1" applyBorder="1" applyAlignment="1">
      <alignment horizontal="center"/>
    </xf>
    <xf numFmtId="16" fontId="1" fillId="4" borderId="5" xfId="0" applyNumberFormat="1" applyFont="1" applyFill="1" applyBorder="1" applyAlignment="1">
      <alignment horizontal="center"/>
    </xf>
    <xf numFmtId="4" fontId="1" fillId="0" borderId="0" xfId="0" applyNumberFormat="1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66" fontId="1" fillId="4" borderId="0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7" fontId="1" fillId="4" borderId="0" xfId="0" applyNumberFormat="1" applyFont="1" applyFill="1" applyBorder="1" applyAlignment="1">
      <alignment horizontal="center"/>
    </xf>
    <xf numFmtId="167" fontId="1" fillId="4" borderId="5" xfId="0" applyNumberFormat="1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238125</xdr:colOff>
      <xdr:row>0</xdr:row>
      <xdr:rowOff>95250</xdr:rowOff>
    </xdr:from>
    <xdr:to>
      <xdr:col>5</xdr:col>
      <xdr:colOff>400050</xdr:colOff>
      <xdr:row>5</xdr:row>
      <xdr:rowOff>28575</xdr:rowOff>
    </xdr:to>
    <xdr:pic>
      <xdr:nvPicPr>
        <xdr:cNvPr id="3" name="Picture 2" descr="View Employer | StyleCareers.com">
          <a:extLst>
            <a:ext uri="{FF2B5EF4-FFF2-40B4-BE49-F238E27FC236}">
              <a16:creationId xmlns:a16="http://schemas.microsoft.com/office/drawing/2014/main" id="{8DBC2BBF-9325-4F70-B1E1-699266A54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" y="95250"/>
          <a:ext cx="77152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0</xdr:row>
      <xdr:rowOff>6350</xdr:rowOff>
    </xdr:from>
    <xdr:to>
      <xdr:col>16</xdr:col>
      <xdr:colOff>9525</xdr:colOff>
      <xdr:row>77</xdr:row>
      <xdr:rowOff>53975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D9D3CEF-A7A9-4E51-AFA1-092C7D588979}"/>
            </a:ext>
          </a:extLst>
        </xdr:cNvPr>
        <xdr:cNvCxnSpPr/>
      </xdr:nvCxnSpPr>
      <xdr:spPr>
        <a:xfrm>
          <a:off x="12430125" y="6350"/>
          <a:ext cx="0" cy="127603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</xdr:colOff>
      <xdr:row>0</xdr:row>
      <xdr:rowOff>0</xdr:rowOff>
    </xdr:from>
    <xdr:to>
      <xdr:col>24</xdr:col>
      <xdr:colOff>19050</xdr:colOff>
      <xdr:row>77</xdr:row>
      <xdr:rowOff>19050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F5E82BF-1E71-46CB-8CA6-5135F9CCABDB}"/>
            </a:ext>
          </a:extLst>
        </xdr:cNvPr>
        <xdr:cNvCxnSpPr/>
      </xdr:nvCxnSpPr>
      <xdr:spPr>
        <a:xfrm>
          <a:off x="15135225" y="0"/>
          <a:ext cx="0" cy="111918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.abercrombie.com/investo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ix?doc=/Archives/edgar/data/1018840/000101884021000073/anf-20211030.htm" TargetMode="External"/><Relationship Id="rId2" Type="http://schemas.openxmlformats.org/officeDocument/2006/relationships/hyperlink" Target="https://www.sec.gov/ix?doc=/Archives/edgar/data/1018840/000101884022000011/anf-20220129.htm" TargetMode="External"/><Relationship Id="rId1" Type="http://schemas.openxmlformats.org/officeDocument/2006/relationships/hyperlink" Target="https://abercrombieandfitchcompany.gcs-web.com/static-files/cc9f6654-3953-4e68-9a25-4f593d03a52c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https://abercrombieandfitchcompany.gcs-web.com/static-files/960b62f5-99ca-496f-b129-a129cd1580c7" TargetMode="External"/><Relationship Id="rId4" Type="http://schemas.openxmlformats.org/officeDocument/2006/relationships/hyperlink" Target="https://www.sec.gov/ix?doc=/Archives/edgar/data/1018840/000101884021000058/anf-2021073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0834B-0A87-42F0-A33F-D4A328ED8962}">
  <dimension ref="B2:W39"/>
  <sheetViews>
    <sheetView tabSelected="1" workbookViewId="0">
      <selection activeCell="C26" sqref="C26:D26"/>
    </sheetView>
  </sheetViews>
  <sheetFormatPr baseColWidth="10" defaultColWidth="9.1640625" defaultRowHeight="13" x14ac:dyDescent="0.15"/>
  <cols>
    <col min="1" max="16384" width="9.1640625" style="1"/>
  </cols>
  <sheetData>
    <row r="2" spans="2:23" ht="15" x14ac:dyDescent="0.2">
      <c r="B2" s="2" t="s">
        <v>0</v>
      </c>
      <c r="F2"/>
    </row>
    <row r="3" spans="2:23" x14ac:dyDescent="0.15">
      <c r="B3" s="3" t="s">
        <v>1</v>
      </c>
    </row>
    <row r="5" spans="2:23" x14ac:dyDescent="0.15">
      <c r="B5" s="47" t="s">
        <v>2</v>
      </c>
      <c r="C5" s="48"/>
      <c r="D5" s="49"/>
      <c r="H5" s="47" t="s">
        <v>29</v>
      </c>
      <c r="I5" s="48"/>
      <c r="J5" s="48"/>
      <c r="K5" s="48"/>
      <c r="L5" s="48"/>
      <c r="M5" s="48"/>
      <c r="N5" s="48"/>
      <c r="O5" s="49"/>
      <c r="S5" s="47" t="s">
        <v>107</v>
      </c>
      <c r="T5" s="48"/>
      <c r="U5" s="48"/>
      <c r="V5" s="48"/>
      <c r="W5" s="49"/>
    </row>
    <row r="6" spans="2:23" x14ac:dyDescent="0.15">
      <c r="B6" s="4" t="s">
        <v>3</v>
      </c>
      <c r="C6" s="8">
        <v>17.739999999999998</v>
      </c>
      <c r="D6" s="14"/>
      <c r="H6" s="41">
        <v>44743</v>
      </c>
      <c r="I6" s="8" t="s">
        <v>125</v>
      </c>
      <c r="J6" s="8"/>
      <c r="K6" s="8"/>
      <c r="L6" s="8"/>
      <c r="M6" s="8"/>
      <c r="N6" s="8"/>
      <c r="O6" s="9"/>
      <c r="S6" s="37" t="s">
        <v>108</v>
      </c>
      <c r="T6" s="8"/>
      <c r="U6" s="8"/>
      <c r="V6" s="8"/>
      <c r="W6" s="9"/>
    </row>
    <row r="7" spans="2:23" x14ac:dyDescent="0.15">
      <c r="B7" s="4" t="s">
        <v>4</v>
      </c>
      <c r="C7" s="16">
        <f>'Financial Model'!P20</f>
        <v>50.441000000000003</v>
      </c>
      <c r="D7" s="14" t="str">
        <f>$C$27</f>
        <v>Q222</v>
      </c>
      <c r="H7" s="6"/>
      <c r="I7" s="8"/>
      <c r="J7" s="8"/>
      <c r="K7" s="8"/>
      <c r="L7" s="8"/>
      <c r="M7" s="8"/>
      <c r="N7" s="8"/>
      <c r="O7" s="9"/>
      <c r="S7" s="39" t="s">
        <v>113</v>
      </c>
      <c r="T7" s="8"/>
      <c r="U7" s="8"/>
      <c r="V7" s="8"/>
      <c r="W7" s="9"/>
    </row>
    <row r="8" spans="2:23" x14ac:dyDescent="0.15">
      <c r="B8" s="4" t="s">
        <v>5</v>
      </c>
      <c r="C8" s="16">
        <f>C6*C7</f>
        <v>894.82333999999992</v>
      </c>
      <c r="D8" s="14"/>
      <c r="H8" s="6" t="s">
        <v>42</v>
      </c>
      <c r="I8" s="8" t="s">
        <v>126</v>
      </c>
      <c r="J8" s="8"/>
      <c r="K8" s="8"/>
      <c r="L8" s="8"/>
      <c r="M8" s="8"/>
      <c r="N8" s="8"/>
      <c r="O8" s="9"/>
      <c r="S8" s="37"/>
      <c r="T8" s="8"/>
      <c r="U8" s="8"/>
      <c r="V8" s="8"/>
      <c r="W8" s="9"/>
    </row>
    <row r="9" spans="2:23" x14ac:dyDescent="0.15">
      <c r="B9" s="4" t="s">
        <v>6</v>
      </c>
      <c r="C9" s="16">
        <f>'Financial Model'!P39</f>
        <v>369.95600000000002</v>
      </c>
      <c r="D9" s="14" t="str">
        <f t="shared" ref="D9:D11" si="0">$C$27</f>
        <v>Q222</v>
      </c>
      <c r="H9" s="6"/>
      <c r="I9" s="42" t="s">
        <v>127</v>
      </c>
      <c r="J9" s="8"/>
      <c r="K9" s="8"/>
      <c r="L9" s="8"/>
      <c r="M9" s="8"/>
      <c r="N9" s="8"/>
      <c r="O9" s="9"/>
      <c r="S9" s="37" t="s">
        <v>109</v>
      </c>
      <c r="T9" s="8"/>
      <c r="U9" s="8"/>
      <c r="V9" s="8"/>
      <c r="W9" s="9"/>
    </row>
    <row r="10" spans="2:23" x14ac:dyDescent="0.15">
      <c r="B10" s="4" t="s">
        <v>7</v>
      </c>
      <c r="C10" s="16">
        <f>'Financial Model'!P55</f>
        <v>304.21899999999999</v>
      </c>
      <c r="D10" s="14" t="str">
        <f t="shared" si="0"/>
        <v>Q222</v>
      </c>
      <c r="H10" s="6"/>
      <c r="I10" s="42" t="s">
        <v>128</v>
      </c>
      <c r="J10" s="8"/>
      <c r="K10" s="8"/>
      <c r="L10" s="8"/>
      <c r="M10" s="8"/>
      <c r="N10" s="8"/>
      <c r="O10" s="9"/>
      <c r="S10" s="39" t="s">
        <v>114</v>
      </c>
      <c r="T10" s="8"/>
      <c r="U10" s="8"/>
      <c r="V10" s="8"/>
      <c r="W10" s="9"/>
    </row>
    <row r="11" spans="2:23" x14ac:dyDescent="0.15">
      <c r="B11" s="4" t="s">
        <v>8</v>
      </c>
      <c r="C11" s="16">
        <f>C9-C10</f>
        <v>65.737000000000023</v>
      </c>
      <c r="D11" s="14" t="str">
        <f t="shared" si="0"/>
        <v>Q222</v>
      </c>
      <c r="H11" s="6"/>
      <c r="I11" s="42" t="s">
        <v>129</v>
      </c>
      <c r="J11" s="8"/>
      <c r="K11" s="8"/>
      <c r="L11" s="8"/>
      <c r="M11" s="8"/>
      <c r="N11" s="8"/>
      <c r="O11" s="9"/>
      <c r="S11" s="35"/>
      <c r="T11" s="8"/>
      <c r="U11" s="8"/>
      <c r="V11" s="8"/>
      <c r="W11" s="9"/>
    </row>
    <row r="12" spans="2:23" x14ac:dyDescent="0.15">
      <c r="B12" s="5" t="s">
        <v>9</v>
      </c>
      <c r="C12" s="17">
        <f>C8-C11</f>
        <v>829.08633999999984</v>
      </c>
      <c r="D12" s="15"/>
      <c r="H12" s="6"/>
      <c r="I12" s="8"/>
      <c r="J12" s="8"/>
      <c r="K12" s="8"/>
      <c r="L12" s="8"/>
      <c r="M12" s="8"/>
      <c r="N12" s="8"/>
      <c r="O12" s="9"/>
      <c r="S12" s="37" t="s">
        <v>110</v>
      </c>
      <c r="T12" s="8"/>
      <c r="U12" s="8"/>
      <c r="V12" s="8"/>
      <c r="W12" s="9"/>
    </row>
    <row r="13" spans="2:23" x14ac:dyDescent="0.15">
      <c r="H13" s="6"/>
      <c r="I13" s="8"/>
      <c r="J13" s="8"/>
      <c r="K13" s="8"/>
      <c r="L13" s="8"/>
      <c r="M13" s="8"/>
      <c r="N13" s="8"/>
      <c r="O13" s="9"/>
      <c r="S13" s="39" t="s">
        <v>115</v>
      </c>
      <c r="T13" s="8"/>
      <c r="U13" s="8"/>
      <c r="V13" s="8"/>
      <c r="W13" s="9"/>
    </row>
    <row r="14" spans="2:23" x14ac:dyDescent="0.15">
      <c r="H14" s="41">
        <v>44136</v>
      </c>
      <c r="I14" s="8" t="s">
        <v>137</v>
      </c>
      <c r="J14" s="8"/>
      <c r="K14" s="8"/>
      <c r="L14" s="8"/>
      <c r="M14" s="8"/>
      <c r="N14" s="8"/>
      <c r="O14" s="9"/>
      <c r="S14" s="35"/>
      <c r="T14" s="8"/>
      <c r="U14" s="8"/>
      <c r="V14" s="8"/>
      <c r="W14" s="9"/>
    </row>
    <row r="15" spans="2:23" x14ac:dyDescent="0.15">
      <c r="B15" s="47" t="s">
        <v>10</v>
      </c>
      <c r="C15" s="48"/>
      <c r="D15" s="49"/>
      <c r="H15" s="6"/>
      <c r="I15" s="42" t="s">
        <v>138</v>
      </c>
      <c r="J15" s="8"/>
      <c r="K15" s="8"/>
      <c r="L15" s="8"/>
      <c r="M15" s="8"/>
      <c r="N15" s="8"/>
      <c r="O15" s="9"/>
      <c r="S15" s="37" t="s">
        <v>111</v>
      </c>
      <c r="T15" s="8"/>
      <c r="U15" s="8"/>
      <c r="V15" s="8"/>
      <c r="W15" s="9"/>
    </row>
    <row r="16" spans="2:23" x14ac:dyDescent="0.15">
      <c r="B16" s="12" t="s">
        <v>11</v>
      </c>
      <c r="C16" s="52" t="s">
        <v>23</v>
      </c>
      <c r="D16" s="53"/>
      <c r="H16" s="6"/>
      <c r="I16" s="8"/>
      <c r="J16" s="8"/>
      <c r="K16" s="8"/>
      <c r="L16" s="8"/>
      <c r="M16" s="8"/>
      <c r="N16" s="8"/>
      <c r="O16" s="9"/>
      <c r="S16" s="39" t="s">
        <v>116</v>
      </c>
      <c r="T16" s="8"/>
      <c r="U16" s="8"/>
      <c r="V16" s="8"/>
      <c r="W16" s="9"/>
    </row>
    <row r="17" spans="2:23" x14ac:dyDescent="0.15">
      <c r="B17" s="12" t="s">
        <v>12</v>
      </c>
      <c r="C17" s="52" t="s">
        <v>24</v>
      </c>
      <c r="D17" s="53"/>
      <c r="H17" s="6"/>
      <c r="I17" s="8"/>
      <c r="J17" s="8"/>
      <c r="K17" s="8"/>
      <c r="L17" s="8"/>
      <c r="M17" s="8"/>
      <c r="N17" s="8"/>
      <c r="O17" s="9"/>
      <c r="S17" s="40" t="s">
        <v>117</v>
      </c>
      <c r="T17" s="8"/>
      <c r="U17" s="8"/>
      <c r="V17" s="8"/>
      <c r="W17" s="9"/>
    </row>
    <row r="18" spans="2:23" x14ac:dyDescent="0.15">
      <c r="B18" s="12" t="s">
        <v>25</v>
      </c>
      <c r="C18" s="52" t="s">
        <v>26</v>
      </c>
      <c r="D18" s="53"/>
      <c r="H18" s="6"/>
      <c r="I18" s="8"/>
      <c r="J18" s="8"/>
      <c r="K18" s="8"/>
      <c r="L18" s="8"/>
      <c r="M18" s="8"/>
      <c r="N18" s="8"/>
      <c r="O18" s="9"/>
      <c r="S18" s="38" t="s">
        <v>112</v>
      </c>
      <c r="T18" s="8"/>
      <c r="U18" s="8"/>
      <c r="V18" s="8"/>
      <c r="W18" s="9"/>
    </row>
    <row r="19" spans="2:23" x14ac:dyDescent="0.15">
      <c r="B19" s="13"/>
      <c r="C19" s="56"/>
      <c r="D19" s="57"/>
      <c r="H19" s="6"/>
      <c r="I19" s="8"/>
      <c r="J19" s="8"/>
      <c r="K19" s="8"/>
      <c r="L19" s="8"/>
      <c r="M19" s="8"/>
      <c r="N19" s="8"/>
      <c r="O19" s="9"/>
      <c r="S19" s="40" t="s">
        <v>118</v>
      </c>
      <c r="T19" s="8"/>
      <c r="U19" s="8"/>
      <c r="V19" s="8"/>
      <c r="W19" s="9"/>
    </row>
    <row r="20" spans="2:23" x14ac:dyDescent="0.15">
      <c r="H20" s="7"/>
      <c r="I20" s="10"/>
      <c r="J20" s="10"/>
      <c r="K20" s="10"/>
      <c r="L20" s="10"/>
      <c r="M20" s="10"/>
      <c r="N20" s="10"/>
      <c r="O20" s="11"/>
      <c r="S20" s="36"/>
      <c r="T20" s="10"/>
      <c r="U20" s="10"/>
      <c r="V20" s="10"/>
      <c r="W20" s="11"/>
    </row>
    <row r="22" spans="2:23" x14ac:dyDescent="0.15">
      <c r="B22" s="47" t="s">
        <v>13</v>
      </c>
      <c r="C22" s="48"/>
      <c r="D22" s="49"/>
    </row>
    <row r="23" spans="2:23" x14ac:dyDescent="0.15">
      <c r="B23" s="6" t="s">
        <v>14</v>
      </c>
      <c r="C23" s="52" t="s">
        <v>27</v>
      </c>
      <c r="D23" s="53"/>
    </row>
    <row r="24" spans="2:23" x14ac:dyDescent="0.15">
      <c r="B24" s="6" t="s">
        <v>15</v>
      </c>
      <c r="C24" s="52">
        <v>1892</v>
      </c>
      <c r="D24" s="53"/>
    </row>
    <row r="25" spans="2:23" x14ac:dyDescent="0.15">
      <c r="B25" s="6" t="s">
        <v>120</v>
      </c>
      <c r="C25" s="52">
        <f>'Financial Model'!P36</f>
        <v>734</v>
      </c>
      <c r="D25" s="53"/>
    </row>
    <row r="26" spans="2:23" x14ac:dyDescent="0.15">
      <c r="B26" s="6"/>
      <c r="C26" s="52"/>
      <c r="D26" s="53"/>
    </row>
    <row r="27" spans="2:23" x14ac:dyDescent="0.15">
      <c r="B27" s="6" t="s">
        <v>17</v>
      </c>
      <c r="C27" s="44" t="s">
        <v>43</v>
      </c>
      <c r="D27" s="45">
        <v>44798</v>
      </c>
    </row>
    <row r="28" spans="2:23" x14ac:dyDescent="0.15">
      <c r="B28" s="7" t="s">
        <v>16</v>
      </c>
      <c r="C28" s="50" t="s">
        <v>28</v>
      </c>
      <c r="D28" s="51"/>
    </row>
    <row r="31" spans="2:23" x14ac:dyDescent="0.15">
      <c r="B31" s="47" t="s">
        <v>139</v>
      </c>
      <c r="C31" s="48"/>
      <c r="D31" s="49"/>
    </row>
    <row r="32" spans="2:23" x14ac:dyDescent="0.15">
      <c r="B32" s="6" t="s">
        <v>18</v>
      </c>
      <c r="C32" s="58">
        <f>C6/'Financial Model'!O18</f>
        <v>-1.077175299046689</v>
      </c>
      <c r="D32" s="59"/>
    </row>
    <row r="33" spans="2:4" x14ac:dyDescent="0.15">
      <c r="B33" s="6" t="s">
        <v>19</v>
      </c>
      <c r="C33" s="54">
        <f>C6/'Financial Model'!O19</f>
        <v>-56.096058048454417</v>
      </c>
      <c r="D33" s="55"/>
    </row>
    <row r="34" spans="2:4" x14ac:dyDescent="0.15">
      <c r="B34" s="6" t="s">
        <v>20</v>
      </c>
      <c r="C34" s="52"/>
      <c r="D34" s="53"/>
    </row>
    <row r="35" spans="2:4" x14ac:dyDescent="0.15">
      <c r="B35" s="6" t="s">
        <v>21</v>
      </c>
      <c r="C35" s="54">
        <f>C6/'Financial Model'!P64</f>
        <v>1.3298883267742285</v>
      </c>
      <c r="D35" s="55"/>
    </row>
    <row r="36" spans="2:4" x14ac:dyDescent="0.15">
      <c r="B36" s="6"/>
      <c r="C36" s="52"/>
      <c r="D36" s="53"/>
    </row>
    <row r="37" spans="2:4" x14ac:dyDescent="0.15">
      <c r="B37" s="6" t="s">
        <v>22</v>
      </c>
      <c r="C37" s="54">
        <f>C6/'Financial Model'!X19</f>
        <v>4.0198120983993046</v>
      </c>
      <c r="D37" s="55"/>
    </row>
    <row r="38" spans="2:4" x14ac:dyDescent="0.15">
      <c r="B38" s="6" t="s">
        <v>119</v>
      </c>
      <c r="C38" s="54">
        <f>C12/'Financial Model'!X18</f>
        <v>3.1522996844226485</v>
      </c>
      <c r="D38" s="55"/>
    </row>
    <row r="39" spans="2:4" x14ac:dyDescent="0.15">
      <c r="B39" s="7" t="s">
        <v>131</v>
      </c>
      <c r="C39" s="56"/>
      <c r="D39" s="57"/>
    </row>
  </sheetData>
  <mergeCells count="23">
    <mergeCell ref="S5:W5"/>
    <mergeCell ref="C38:D38"/>
    <mergeCell ref="C39:D39"/>
    <mergeCell ref="C33:D33"/>
    <mergeCell ref="C16:D16"/>
    <mergeCell ref="C17:D17"/>
    <mergeCell ref="C18:D18"/>
    <mergeCell ref="C19:D19"/>
    <mergeCell ref="H5:O5"/>
    <mergeCell ref="B31:D31"/>
    <mergeCell ref="C32:D32"/>
    <mergeCell ref="C37:D37"/>
    <mergeCell ref="C34:D34"/>
    <mergeCell ref="C35:D35"/>
    <mergeCell ref="C36:D36"/>
    <mergeCell ref="B5:D5"/>
    <mergeCell ref="B15:D15"/>
    <mergeCell ref="B22:D22"/>
    <mergeCell ref="C28:D28"/>
    <mergeCell ref="C26:D26"/>
    <mergeCell ref="C25:D25"/>
    <mergeCell ref="C24:D24"/>
    <mergeCell ref="C23:D23"/>
  </mergeCells>
  <hyperlinks>
    <hyperlink ref="C28:D28" r:id="rId1" display="Link" xr:uid="{D85FB78D-8AAC-49F6-8EB8-C86ABC1A5D8F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BA2F8-86D4-4ED0-814B-223EC5B59DE2}">
  <dimension ref="B1:AI7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P19" sqref="P19"/>
    </sheetView>
  </sheetViews>
  <sheetFormatPr baseColWidth="10" defaultColWidth="9.1640625" defaultRowHeight="13" x14ac:dyDescent="0.15"/>
  <cols>
    <col min="1" max="1" width="9.1640625" style="1"/>
    <col min="2" max="2" width="25.5" style="1" bestFit="1" customWidth="1"/>
    <col min="3" max="16384" width="9.1640625" style="1"/>
  </cols>
  <sheetData>
    <row r="1" spans="2:35" s="3" customFormat="1" x14ac:dyDescent="0.15">
      <c r="C1" s="19" t="s">
        <v>30</v>
      </c>
      <c r="D1" s="19" t="s">
        <v>31</v>
      </c>
      <c r="E1" s="19" t="s">
        <v>32</v>
      </c>
      <c r="F1" s="19" t="s">
        <v>33</v>
      </c>
      <c r="G1" s="19" t="s">
        <v>34</v>
      </c>
      <c r="H1" s="19" t="s">
        <v>35</v>
      </c>
      <c r="I1" s="19" t="s">
        <v>36</v>
      </c>
      <c r="J1" s="19" t="s">
        <v>37</v>
      </c>
      <c r="K1" s="19" t="s">
        <v>38</v>
      </c>
      <c r="L1" s="22" t="s">
        <v>39</v>
      </c>
      <c r="M1" s="22" t="s">
        <v>40</v>
      </c>
      <c r="N1" s="19" t="s">
        <v>41</v>
      </c>
      <c r="O1" s="22" t="s">
        <v>42</v>
      </c>
      <c r="P1" s="22" t="s">
        <v>43</v>
      </c>
      <c r="Q1" s="19" t="s">
        <v>44</v>
      </c>
      <c r="R1" s="19" t="s">
        <v>45</v>
      </c>
      <c r="U1" s="19" t="s">
        <v>136</v>
      </c>
      <c r="V1" s="19" t="s">
        <v>46</v>
      </c>
      <c r="W1" s="19" t="s">
        <v>47</v>
      </c>
      <c r="X1" s="22" t="s">
        <v>48</v>
      </c>
      <c r="Y1" s="19" t="s">
        <v>49</v>
      </c>
      <c r="Z1" s="19" t="s">
        <v>50</v>
      </c>
      <c r="AA1" s="19" t="s">
        <v>51</v>
      </c>
      <c r="AB1" s="19" t="s">
        <v>52</v>
      </c>
      <c r="AC1" s="19" t="s">
        <v>53</v>
      </c>
      <c r="AD1" s="19" t="s">
        <v>54</v>
      </c>
      <c r="AE1" s="19" t="s">
        <v>55</v>
      </c>
      <c r="AF1" s="19" t="s">
        <v>56</v>
      </c>
      <c r="AG1" s="19" t="s">
        <v>57</v>
      </c>
      <c r="AH1" s="19" t="s">
        <v>58</v>
      </c>
      <c r="AI1" s="19" t="s">
        <v>59</v>
      </c>
    </row>
    <row r="2" spans="2:35" s="21" customFormat="1" x14ac:dyDescent="0.15">
      <c r="B2" s="20"/>
      <c r="H2" s="23">
        <v>44044</v>
      </c>
      <c r="I2" s="23">
        <v>44135</v>
      </c>
      <c r="K2" s="23">
        <v>44682</v>
      </c>
      <c r="L2" s="23">
        <v>44408</v>
      </c>
      <c r="M2" s="23">
        <v>44499</v>
      </c>
      <c r="N2" s="23">
        <v>44590</v>
      </c>
      <c r="O2" s="23">
        <v>44681</v>
      </c>
      <c r="P2" s="23">
        <v>44742</v>
      </c>
      <c r="V2" s="23">
        <v>43862</v>
      </c>
      <c r="W2" s="23">
        <v>44226</v>
      </c>
      <c r="X2" s="23">
        <v>44590</v>
      </c>
    </row>
    <row r="3" spans="2:35" s="31" customFormat="1" x14ac:dyDescent="0.15">
      <c r="B3" s="34" t="s">
        <v>103</v>
      </c>
      <c r="H3" s="32">
        <v>429.24799999999999</v>
      </c>
      <c r="I3" s="32">
        <v>476.66500000000002</v>
      </c>
      <c r="K3" s="32">
        <v>442.40800000000002</v>
      </c>
      <c r="L3" s="32">
        <v>514.48299999999995</v>
      </c>
      <c r="M3" s="32">
        <v>522.31100000000004</v>
      </c>
      <c r="N3" s="32">
        <f>X3-M3-L3-K3</f>
        <v>668.7769999999997</v>
      </c>
      <c r="O3" s="32">
        <v>428.834</v>
      </c>
      <c r="P3" s="32">
        <v>436.93400000000003</v>
      </c>
      <c r="V3" s="32">
        <v>2158.5140000000001</v>
      </c>
      <c r="W3" s="32">
        <v>1834.3489999999999</v>
      </c>
      <c r="X3" s="32">
        <v>2147.9789999999998</v>
      </c>
    </row>
    <row r="4" spans="2:35" s="31" customFormat="1" x14ac:dyDescent="0.15">
      <c r="B4" s="34" t="s">
        <v>104</v>
      </c>
      <c r="H4" s="32">
        <v>269.08</v>
      </c>
      <c r="I4" s="32">
        <v>342.988</v>
      </c>
      <c r="K4" s="32">
        <v>338.99700000000001</v>
      </c>
      <c r="L4" s="32">
        <v>350.36700000000002</v>
      </c>
      <c r="M4" s="32">
        <v>382.84899999999999</v>
      </c>
      <c r="N4" s="32">
        <f>X4-M4-L4-K4</f>
        <v>492.57600000000008</v>
      </c>
      <c r="O4" s="32">
        <v>383.928</v>
      </c>
      <c r="P4" s="32">
        <v>368.15699999999998</v>
      </c>
      <c r="V4" s="32">
        <v>1464.559</v>
      </c>
      <c r="W4" s="32">
        <v>1291.0350000000001</v>
      </c>
      <c r="X4" s="32">
        <v>1564.789</v>
      </c>
    </row>
    <row r="5" spans="2:35" s="3" customFormat="1" x14ac:dyDescent="0.15">
      <c r="B5" s="3" t="s">
        <v>60</v>
      </c>
      <c r="H5" s="25">
        <v>698.32799999999997</v>
      </c>
      <c r="I5" s="25">
        <v>819.65200000000004</v>
      </c>
      <c r="J5" s="25"/>
      <c r="K5" s="25">
        <v>781.40499999999997</v>
      </c>
      <c r="L5" s="25">
        <v>864.85</v>
      </c>
      <c r="M5" s="25">
        <v>905.16</v>
      </c>
      <c r="N5" s="25">
        <f>X5-M5-L5-K5</f>
        <v>1161.3530000000003</v>
      </c>
      <c r="O5" s="25">
        <v>812.76199999999994</v>
      </c>
      <c r="P5" s="25">
        <v>805.09100000000001</v>
      </c>
      <c r="V5" s="25">
        <f>V3+V4</f>
        <v>3623.0730000000003</v>
      </c>
      <c r="W5" s="25">
        <f t="shared" ref="W5:X5" si="0">W3+W4</f>
        <v>3125.384</v>
      </c>
      <c r="X5" s="25">
        <f t="shared" si="0"/>
        <v>3712.768</v>
      </c>
    </row>
    <row r="6" spans="2:35" x14ac:dyDescent="0.15">
      <c r="B6" s="1" t="s">
        <v>61</v>
      </c>
      <c r="H6" s="1">
        <v>274.72000000000003</v>
      </c>
      <c r="I6" s="26">
        <v>295.22000000000003</v>
      </c>
      <c r="J6" s="26"/>
      <c r="K6" s="26">
        <v>286.27100000000002</v>
      </c>
      <c r="L6" s="1">
        <v>301.36500000000001</v>
      </c>
      <c r="M6" s="26">
        <v>328.916</v>
      </c>
      <c r="N6" s="26">
        <f>X6-M6-L6-K6</f>
        <v>484.22099999999995</v>
      </c>
      <c r="O6" s="26">
        <v>363.21600000000001</v>
      </c>
      <c r="P6" s="26">
        <v>339.2</v>
      </c>
      <c r="V6" s="26">
        <v>1472.155</v>
      </c>
      <c r="W6" s="26">
        <v>1234.1790000000001</v>
      </c>
      <c r="X6" s="26">
        <v>1400.7729999999999</v>
      </c>
    </row>
    <row r="7" spans="2:35" s="3" customFormat="1" x14ac:dyDescent="0.15">
      <c r="B7" s="3" t="s">
        <v>62</v>
      </c>
      <c r="H7" s="25">
        <f>H5-H6</f>
        <v>423.60799999999995</v>
      </c>
      <c r="I7" s="25">
        <f>I5-I6</f>
        <v>524.43200000000002</v>
      </c>
      <c r="J7" s="25"/>
      <c r="K7" s="25">
        <f t="shared" ref="K7:P7" si="1">K5-K6</f>
        <v>495.13399999999996</v>
      </c>
      <c r="L7" s="25">
        <f t="shared" si="1"/>
        <v>563.48500000000001</v>
      </c>
      <c r="M7" s="25">
        <f t="shared" si="1"/>
        <v>576.24399999999991</v>
      </c>
      <c r="N7" s="25">
        <f t="shared" si="1"/>
        <v>677.13200000000029</v>
      </c>
      <c r="O7" s="25">
        <f t="shared" si="1"/>
        <v>449.54599999999994</v>
      </c>
      <c r="P7" s="25">
        <f t="shared" si="1"/>
        <v>465.89100000000002</v>
      </c>
      <c r="V7" s="25">
        <f>V5-V6</f>
        <v>2150.9180000000006</v>
      </c>
      <c r="W7" s="25">
        <f>W5-W6</f>
        <v>1891.2049999999999</v>
      </c>
      <c r="X7" s="25">
        <f>X5-X6</f>
        <v>2311.9949999999999</v>
      </c>
    </row>
    <row r="8" spans="2:35" x14ac:dyDescent="0.15">
      <c r="B8" s="1" t="s">
        <v>63</v>
      </c>
      <c r="H8" s="1">
        <v>310.37</v>
      </c>
      <c r="I8" s="26">
        <v>346.26299999999998</v>
      </c>
      <c r="J8" s="26"/>
      <c r="K8" s="26">
        <v>315.50799999999998</v>
      </c>
      <c r="L8" s="1">
        <v>325.935</v>
      </c>
      <c r="M8" s="26">
        <v>351.80399999999997</v>
      </c>
      <c r="N8" s="26">
        <f t="shared" ref="N8:N17" si="2">X8-M8-L8-K8</f>
        <v>436.2290000000001</v>
      </c>
      <c r="O8" s="26">
        <v>337.54300000000001</v>
      </c>
      <c r="P8" s="26">
        <v>340.791</v>
      </c>
      <c r="V8" s="26">
        <v>1551.2429999999999</v>
      </c>
      <c r="W8" s="26">
        <v>1391.5840000000001</v>
      </c>
      <c r="X8" s="26">
        <v>1429.4760000000001</v>
      </c>
    </row>
    <row r="9" spans="2:35" x14ac:dyDescent="0.15">
      <c r="B9" s="1" t="s">
        <v>64</v>
      </c>
      <c r="H9" s="1">
        <v>97.251999999999995</v>
      </c>
      <c r="I9" s="26">
        <v>121</v>
      </c>
      <c r="J9" s="26"/>
      <c r="K9" s="26">
        <v>120.947</v>
      </c>
      <c r="L9" s="1">
        <v>123.913</v>
      </c>
      <c r="M9" s="26">
        <v>146.26900000000001</v>
      </c>
      <c r="N9" s="26">
        <f t="shared" si="2"/>
        <v>145.68600000000004</v>
      </c>
      <c r="O9" s="26">
        <v>122.149</v>
      </c>
      <c r="P9" s="26">
        <v>124.16800000000001</v>
      </c>
      <c r="V9" s="26">
        <v>464.61500000000001</v>
      </c>
      <c r="W9" s="26">
        <v>463.84300000000002</v>
      </c>
      <c r="X9" s="26">
        <v>536.81500000000005</v>
      </c>
    </row>
    <row r="10" spans="2:35" x14ac:dyDescent="0.15">
      <c r="B10" s="1" t="s">
        <v>65</v>
      </c>
      <c r="H10" s="1">
        <v>8.0830000000000002</v>
      </c>
      <c r="I10" s="26">
        <v>6.3289999999999997</v>
      </c>
      <c r="J10" s="26"/>
      <c r="K10" s="26">
        <v>2.6640000000000001</v>
      </c>
      <c r="L10" s="1">
        <v>0.78600000000000003</v>
      </c>
      <c r="M10" s="26">
        <v>6.7489999999999997</v>
      </c>
      <c r="N10" s="26">
        <f t="shared" si="2"/>
        <v>1.9009999999999994</v>
      </c>
      <c r="O10" s="26">
        <v>3.4220000000000002</v>
      </c>
      <c r="P10" s="26">
        <v>2.17</v>
      </c>
      <c r="V10" s="26">
        <v>19.135000000000002</v>
      </c>
      <c r="W10" s="26">
        <v>72.936999999999998</v>
      </c>
      <c r="X10" s="26">
        <v>12.1</v>
      </c>
    </row>
    <row r="11" spans="2:35" x14ac:dyDescent="0.15">
      <c r="B11" s="1" t="s">
        <v>66</v>
      </c>
      <c r="H11" s="1">
        <f>-2.356+-3.884</f>
        <v>-6.24</v>
      </c>
      <c r="I11" s="26">
        <f>-8.063+0.288</f>
        <v>-7.7750000000000004</v>
      </c>
      <c r="J11" s="26"/>
      <c r="K11" s="26">
        <v>-1.4179999999999999</v>
      </c>
      <c r="L11" s="1">
        <f>-0.088+-1.848</f>
        <v>-1.9360000000000002</v>
      </c>
      <c r="M11" s="26">
        <f>-1.32+0.011</f>
        <v>-1.3090000000000002</v>
      </c>
      <c r="N11" s="26">
        <f t="shared" si="2"/>
        <v>-4.8169999999999993</v>
      </c>
      <c r="O11" s="26">
        <v>-3.8420000000000001</v>
      </c>
      <c r="P11" s="26">
        <v>0.95299999999999996</v>
      </c>
      <c r="V11" s="26">
        <f>47.257-1.4</f>
        <v>45.856999999999999</v>
      </c>
      <c r="W11" s="26">
        <f>-11.636+-5.054</f>
        <v>-16.689999999999998</v>
      </c>
      <c r="X11" s="26">
        <f>-8.327+-1.153</f>
        <v>-9.48</v>
      </c>
    </row>
    <row r="12" spans="2:35" s="3" customFormat="1" x14ac:dyDescent="0.15">
      <c r="B12" s="3" t="s">
        <v>67</v>
      </c>
      <c r="H12" s="25">
        <f>H7-H8-H9-H10-H11</f>
        <v>14.142999999999947</v>
      </c>
      <c r="I12" s="25">
        <f>I7-I8-I9-I10-I11</f>
        <v>58.615000000000038</v>
      </c>
      <c r="J12" s="25"/>
      <c r="K12" s="25">
        <f t="shared" ref="K12:P12" si="3">K7-K8-K9-K10-K11</f>
        <v>57.432999999999971</v>
      </c>
      <c r="L12" s="25">
        <f t="shared" si="3"/>
        <v>114.78700000000002</v>
      </c>
      <c r="M12" s="25">
        <f t="shared" si="3"/>
        <v>72.730999999999938</v>
      </c>
      <c r="N12" s="25">
        <f t="shared" si="3"/>
        <v>98.133000000000152</v>
      </c>
      <c r="O12" s="25">
        <f t="shared" si="3"/>
        <v>-9.7260000000000719</v>
      </c>
      <c r="P12" s="25">
        <f t="shared" si="3"/>
        <v>-2.1909999999999834</v>
      </c>
      <c r="V12" s="25">
        <f>V7-V8-V9-V10-V11</f>
        <v>70.068000000000623</v>
      </c>
      <c r="W12" s="25">
        <f>W7-W8-W9-W10-W11</f>
        <v>-20.46900000000015</v>
      </c>
      <c r="X12" s="25">
        <f>X7-X8-X9-X10-X11</f>
        <v>343.08399999999972</v>
      </c>
    </row>
    <row r="13" spans="2:35" x14ac:dyDescent="0.15">
      <c r="B13" s="1" t="s">
        <v>68</v>
      </c>
      <c r="H13" s="1">
        <v>7.0979999999999999</v>
      </c>
      <c r="I13" s="26">
        <v>8.8079999999999998</v>
      </c>
      <c r="J13" s="26"/>
      <c r="K13" s="26">
        <v>8.6059999999999999</v>
      </c>
      <c r="L13" s="1">
        <v>11.275</v>
      </c>
      <c r="M13" s="26">
        <v>7.27</v>
      </c>
      <c r="N13" s="26">
        <f t="shared" si="2"/>
        <v>6.9589999999999996</v>
      </c>
      <c r="O13" s="26">
        <v>7.3070000000000004</v>
      </c>
      <c r="P13" s="26">
        <v>6.9169999999999998</v>
      </c>
      <c r="V13" s="26">
        <v>7.7370000000000001</v>
      </c>
      <c r="W13" s="26">
        <v>28.274000000000001</v>
      </c>
      <c r="X13" s="26">
        <v>34.11</v>
      </c>
    </row>
    <row r="14" spans="2:35" x14ac:dyDescent="0.15">
      <c r="B14" s="1" t="s">
        <v>69</v>
      </c>
      <c r="H14" s="26">
        <f>H12-H13</f>
        <v>7.0449999999999475</v>
      </c>
      <c r="I14" s="26">
        <f>I12-I13</f>
        <v>49.807000000000038</v>
      </c>
      <c r="J14" s="26"/>
      <c r="K14" s="26">
        <f t="shared" ref="K14:P14" si="4">K12-K13</f>
        <v>48.82699999999997</v>
      </c>
      <c r="L14" s="26">
        <f t="shared" si="4"/>
        <v>103.51200000000001</v>
      </c>
      <c r="M14" s="26">
        <f t="shared" si="4"/>
        <v>65.460999999999942</v>
      </c>
      <c r="N14" s="26">
        <f t="shared" si="4"/>
        <v>91.174000000000149</v>
      </c>
      <c r="O14" s="26">
        <f t="shared" si="4"/>
        <v>-17.033000000000072</v>
      </c>
      <c r="P14" s="26">
        <f t="shared" si="4"/>
        <v>-9.1079999999999828</v>
      </c>
      <c r="V14" s="26">
        <f>V12-V13</f>
        <v>62.331000000000621</v>
      </c>
      <c r="W14" s="26">
        <f>W12-W13</f>
        <v>-48.743000000000151</v>
      </c>
      <c r="X14" s="26">
        <f>X12-X13</f>
        <v>308.97399999999971</v>
      </c>
    </row>
    <row r="15" spans="2:35" x14ac:dyDescent="0.15">
      <c r="B15" s="1" t="s">
        <v>70</v>
      </c>
      <c r="H15" s="1">
        <v>1.2529999999999999</v>
      </c>
      <c r="I15" s="26">
        <v>5.7789999999999999</v>
      </c>
      <c r="J15" s="26"/>
      <c r="K15" s="26">
        <v>6.1210000000000004</v>
      </c>
      <c r="L15" s="1">
        <v>-6.944</v>
      </c>
      <c r="M15" s="26">
        <v>16.382999999999999</v>
      </c>
      <c r="N15" s="26">
        <f t="shared" si="2"/>
        <v>23.347999999999999</v>
      </c>
      <c r="O15" s="26">
        <v>-2.1869999999999998</v>
      </c>
      <c r="P15" s="26">
        <v>5.6340000000000003</v>
      </c>
      <c r="V15" s="26">
        <v>17.370999999999999</v>
      </c>
      <c r="W15" s="26">
        <v>60.210999999999999</v>
      </c>
      <c r="X15" s="26">
        <v>38.908000000000001</v>
      </c>
    </row>
    <row r="16" spans="2:35" s="3" customFormat="1" x14ac:dyDescent="0.15">
      <c r="B16" s="3" t="s">
        <v>71</v>
      </c>
      <c r="H16" s="25">
        <f>H14-H15</f>
        <v>5.7919999999999474</v>
      </c>
      <c r="I16" s="25">
        <f>I14-I15</f>
        <v>44.028000000000034</v>
      </c>
      <c r="J16" s="25"/>
      <c r="K16" s="25">
        <f t="shared" ref="K16:P16" si="5">K14-K15</f>
        <v>42.705999999999968</v>
      </c>
      <c r="L16" s="25">
        <f t="shared" si="5"/>
        <v>110.45600000000002</v>
      </c>
      <c r="M16" s="25">
        <f t="shared" si="5"/>
        <v>49.077999999999946</v>
      </c>
      <c r="N16" s="25">
        <f t="shared" si="5"/>
        <v>67.82600000000015</v>
      </c>
      <c r="O16" s="25">
        <f t="shared" si="5"/>
        <v>-14.846000000000073</v>
      </c>
      <c r="P16" s="25">
        <f t="shared" si="5"/>
        <v>-14.741999999999983</v>
      </c>
      <c r="V16" s="25">
        <f>V14-V15</f>
        <v>44.960000000000619</v>
      </c>
      <c r="W16" s="25">
        <f>W14-W15</f>
        <v>-108.95400000000015</v>
      </c>
      <c r="X16" s="25">
        <f>X14-X15</f>
        <v>270.06599999999969</v>
      </c>
    </row>
    <row r="17" spans="2:24" x14ac:dyDescent="0.15">
      <c r="B17" s="1" t="s">
        <v>73</v>
      </c>
      <c r="H17" s="1">
        <v>0.32800000000000001</v>
      </c>
      <c r="I17" s="26">
        <v>1.758</v>
      </c>
      <c r="J17" s="26"/>
      <c r="K17" s="26">
        <v>0.93799999999999994</v>
      </c>
      <c r="L17" s="1">
        <v>1.956</v>
      </c>
      <c r="M17" s="26">
        <v>1.845</v>
      </c>
      <c r="N17" s="26">
        <f t="shared" si="2"/>
        <v>2.3170000000000002</v>
      </c>
      <c r="O17" s="26">
        <v>1.623</v>
      </c>
      <c r="P17" s="26">
        <v>2.0920000000000001</v>
      </c>
      <c r="V17" s="26">
        <v>5.6020000000000003</v>
      </c>
      <c r="W17" s="26">
        <v>5.0670000000000002</v>
      </c>
      <c r="X17" s="26">
        <v>7.056</v>
      </c>
    </row>
    <row r="18" spans="2:24" s="3" customFormat="1" x14ac:dyDescent="0.15">
      <c r="B18" s="3" t="s">
        <v>74</v>
      </c>
      <c r="H18" s="25">
        <f>H16-H17</f>
        <v>5.4639999999999471</v>
      </c>
      <c r="I18" s="25">
        <f>I16-I17</f>
        <v>42.270000000000032</v>
      </c>
      <c r="J18" s="25"/>
      <c r="K18" s="25">
        <f t="shared" ref="K18:P18" si="6">K16-K17</f>
        <v>41.767999999999965</v>
      </c>
      <c r="L18" s="25">
        <f t="shared" si="6"/>
        <v>108.50000000000001</v>
      </c>
      <c r="M18" s="25">
        <f t="shared" si="6"/>
        <v>47.232999999999947</v>
      </c>
      <c r="N18" s="25">
        <f t="shared" si="6"/>
        <v>65.509000000000157</v>
      </c>
      <c r="O18" s="25">
        <f t="shared" si="6"/>
        <v>-16.469000000000072</v>
      </c>
      <c r="P18" s="25">
        <f t="shared" si="6"/>
        <v>-16.833999999999982</v>
      </c>
      <c r="V18" s="25">
        <f>V16-V17</f>
        <v>39.358000000000615</v>
      </c>
      <c r="W18" s="25">
        <f>W16-W17</f>
        <v>-114.02100000000016</v>
      </c>
      <c r="X18" s="25">
        <f>X16-X17</f>
        <v>263.00999999999971</v>
      </c>
    </row>
    <row r="19" spans="2:24" x14ac:dyDescent="0.15">
      <c r="B19" s="1" t="s">
        <v>72</v>
      </c>
      <c r="H19" s="24">
        <f>H18/H20</f>
        <v>8.7386249140370506E-2</v>
      </c>
      <c r="I19" s="24">
        <f>I18/I20</f>
        <v>0.67569295693596398</v>
      </c>
      <c r="J19" s="24"/>
      <c r="K19" s="24">
        <f t="shared" ref="K19:P19" si="7">K18/K20</f>
        <v>0.66957358127604938</v>
      </c>
      <c r="L19" s="24">
        <f t="shared" si="7"/>
        <v>1.7662955004232601</v>
      </c>
      <c r="M19" s="24">
        <f t="shared" si="7"/>
        <v>0.80333696169807378</v>
      </c>
      <c r="N19" s="24">
        <f t="shared" si="7"/>
        <v>1.0991996241421573</v>
      </c>
      <c r="O19" s="24">
        <f t="shared" si="7"/>
        <v>-0.31624325517983126</v>
      </c>
      <c r="P19" s="46">
        <f t="shared" si="7"/>
        <v>-0.33373644455898932</v>
      </c>
      <c r="V19" s="24">
        <f>V18/V20</f>
        <v>0.61088346681567973</v>
      </c>
      <c r="W19" s="24">
        <f>W18/W20</f>
        <v>-1.8228485555786502</v>
      </c>
      <c r="X19" s="24">
        <f>X18/X20</f>
        <v>4.4131416010872977</v>
      </c>
    </row>
    <row r="20" spans="2:24" x14ac:dyDescent="0.15">
      <c r="B20" s="1" t="s">
        <v>4</v>
      </c>
      <c r="H20" s="30">
        <v>62.527000000000001</v>
      </c>
      <c r="I20" s="30">
        <v>62.558</v>
      </c>
      <c r="J20" s="30"/>
      <c r="K20" s="30">
        <v>62.38</v>
      </c>
      <c r="L20" s="30">
        <v>61.427999999999997</v>
      </c>
      <c r="M20" s="30">
        <v>58.795999999999999</v>
      </c>
      <c r="N20" s="30">
        <f>X20</f>
        <v>59.597000000000001</v>
      </c>
      <c r="O20" s="26">
        <v>52.076999999999998</v>
      </c>
      <c r="P20" s="26">
        <v>50.441000000000003</v>
      </c>
      <c r="V20" s="30">
        <v>64.427999999999997</v>
      </c>
      <c r="W20" s="30">
        <v>62.551000000000002</v>
      </c>
      <c r="X20" s="30">
        <v>59.597000000000001</v>
      </c>
    </row>
    <row r="22" spans="2:24" s="3" customFormat="1" x14ac:dyDescent="0.15">
      <c r="B22" s="3" t="s">
        <v>75</v>
      </c>
      <c r="K22" s="29"/>
      <c r="L22" s="29">
        <f>L5/H5-1</f>
        <v>0.23845814574240198</v>
      </c>
      <c r="M22" s="29">
        <f>M5/I5-1</f>
        <v>0.10432232215623216</v>
      </c>
      <c r="N22" s="29"/>
      <c r="O22" s="29">
        <f>O5/K5-1</f>
        <v>4.0128998406716132E-2</v>
      </c>
      <c r="P22" s="29">
        <f t="shared" ref="P22" si="8">P5/L5-1</f>
        <v>-6.9097531363820353E-2</v>
      </c>
      <c r="W22" s="29">
        <f>W5/V5-1</f>
        <v>-0.137366539399013</v>
      </c>
      <c r="X22" s="29">
        <f>X5/W5-1</f>
        <v>0.18793978595910144</v>
      </c>
    </row>
    <row r="23" spans="2:24" x14ac:dyDescent="0.15">
      <c r="B23" s="1" t="s">
        <v>76</v>
      </c>
      <c r="I23" s="43">
        <f>I5/H5-1</f>
        <v>0.17373497840556307</v>
      </c>
      <c r="L23" s="43">
        <f t="shared" ref="L23:M23" si="9">L5/K5-1</f>
        <v>0.10678841317882548</v>
      </c>
      <c r="M23" s="43">
        <f t="shared" si="9"/>
        <v>4.6609238596288405E-2</v>
      </c>
      <c r="N23" s="43">
        <f t="shared" ref="N23:O23" si="10">N5/M5-1</f>
        <v>0.28303614830527235</v>
      </c>
      <c r="O23" s="43">
        <f t="shared" si="10"/>
        <v>-0.3001593830644087</v>
      </c>
      <c r="P23" s="43">
        <f t="shared" ref="P23" si="11">P5/O5-1</f>
        <v>-9.4381873168282171E-3</v>
      </c>
      <c r="V23" s="18" t="s">
        <v>130</v>
      </c>
      <c r="W23" s="18" t="s">
        <v>130</v>
      </c>
      <c r="X23" s="18" t="s">
        <v>130</v>
      </c>
    </row>
    <row r="24" spans="2:24" x14ac:dyDescent="0.15">
      <c r="B24" s="33" t="s">
        <v>106</v>
      </c>
      <c r="I24" s="27"/>
      <c r="K24" s="27"/>
      <c r="L24" s="27">
        <f>L3/H3-1</f>
        <v>0.19856819367824641</v>
      </c>
      <c r="M24" s="27">
        <f>M3/I3-1</f>
        <v>9.5761173990118964E-2</v>
      </c>
      <c r="N24" s="27"/>
      <c r="O24" s="27">
        <f>O3/K3-1</f>
        <v>-3.068208531491301E-2</v>
      </c>
      <c r="P24" s="27">
        <f t="shared" ref="P24:P25" si="12">P3/L3-1</f>
        <v>-0.15073189979066348</v>
      </c>
      <c r="W24" s="27">
        <f>W3/V3-1</f>
        <v>-0.15017970696506955</v>
      </c>
      <c r="X24" s="27">
        <f>X3/W3-1</f>
        <v>0.17097618828260042</v>
      </c>
    </row>
    <row r="25" spans="2:24" x14ac:dyDescent="0.15">
      <c r="B25" s="34" t="s">
        <v>105</v>
      </c>
      <c r="I25" s="27"/>
      <c r="K25" s="27"/>
      <c r="L25" s="27">
        <f>L4/H4-1</f>
        <v>0.30209231455329277</v>
      </c>
      <c r="M25" s="27">
        <f>M4/I4-1</f>
        <v>0.11621689388550038</v>
      </c>
      <c r="N25" s="27"/>
      <c r="O25" s="27">
        <f>O4/K4-1</f>
        <v>0.13254099593801705</v>
      </c>
      <c r="P25" s="27">
        <f t="shared" si="12"/>
        <v>5.0775329868395058E-2</v>
      </c>
      <c r="W25" s="27">
        <f>W4/V4-1</f>
        <v>-0.11848208231966062</v>
      </c>
      <c r="X25" s="27">
        <f>X4/W4-1</f>
        <v>0.21204227615827609</v>
      </c>
    </row>
    <row r="27" spans="2:24" x14ac:dyDescent="0.15">
      <c r="B27" s="1" t="s">
        <v>77</v>
      </c>
      <c r="H27" s="27">
        <f>H7/H5</f>
        <v>0.60660320078816821</v>
      </c>
      <c r="I27" s="27">
        <f>I7/I5</f>
        <v>0.63982275404683941</v>
      </c>
      <c r="K27" s="27">
        <f>K7/K5</f>
        <v>0.63364580467235299</v>
      </c>
      <c r="L27" s="27">
        <f>L7/L5</f>
        <v>0.65154072960629006</v>
      </c>
      <c r="M27" s="27">
        <f>M7/M5</f>
        <v>0.63662114985195983</v>
      </c>
      <c r="N27" s="27">
        <f t="shared" ref="N27" si="13">N7/N5</f>
        <v>0.58305442014615716</v>
      </c>
      <c r="O27" s="27">
        <f>O7/O5</f>
        <v>0.55310902822720542</v>
      </c>
      <c r="P27" s="27">
        <f t="shared" ref="P27" si="14">P7/P5</f>
        <v>0.57868116771892864</v>
      </c>
      <c r="V27" s="27">
        <f t="shared" ref="V27:W27" si="15">V7/V5</f>
        <v>0.59367227764938779</v>
      </c>
      <c r="W27" s="27">
        <f t="shared" si="15"/>
        <v>0.60511124393034577</v>
      </c>
      <c r="X27" s="27">
        <f>X7/X5</f>
        <v>0.6227146430910846</v>
      </c>
    </row>
    <row r="28" spans="2:24" x14ac:dyDescent="0.15">
      <c r="B28" s="1" t="s">
        <v>78</v>
      </c>
      <c r="H28" s="27">
        <f>H12/H5</f>
        <v>2.0252660640844914E-2</v>
      </c>
      <c r="I28" s="27">
        <f>I12/I5</f>
        <v>7.1512056336103663E-2</v>
      </c>
      <c r="K28" s="27">
        <f>K12/K5</f>
        <v>7.3499657667918647E-2</v>
      </c>
      <c r="L28" s="27">
        <f>L12/L5</f>
        <v>0.13272474995663991</v>
      </c>
      <c r="M28" s="27">
        <f>M12/M5</f>
        <v>8.0351540059215978E-2</v>
      </c>
      <c r="N28" s="27">
        <f t="shared" ref="N28" si="16">N12/N5</f>
        <v>8.4498856075629139E-2</v>
      </c>
      <c r="O28" s="27">
        <f>O12/O5</f>
        <v>-1.1966602769322474E-2</v>
      </c>
      <c r="P28" s="27">
        <f t="shared" ref="P28" si="17">P12/P5</f>
        <v>-2.721431490353244E-3</v>
      </c>
      <c r="V28" s="27">
        <f t="shared" ref="V28:W28" si="18">V12/V5</f>
        <v>1.9339383998059276E-2</v>
      </c>
      <c r="W28" s="27">
        <f t="shared" si="18"/>
        <v>-6.5492752250603924E-3</v>
      </c>
      <c r="X28" s="27">
        <f>X12/X5</f>
        <v>9.2406527959732393E-2</v>
      </c>
    </row>
    <row r="29" spans="2:24" x14ac:dyDescent="0.15">
      <c r="B29" s="1" t="s">
        <v>79</v>
      </c>
      <c r="H29" s="27">
        <f>H16/H5</f>
        <v>8.2940967568247981E-3</v>
      </c>
      <c r="I29" s="27">
        <f>I16/I5</f>
        <v>5.3715479252170475E-2</v>
      </c>
      <c r="K29" s="27">
        <f>K16/K5</f>
        <v>5.4652836877163533E-2</v>
      </c>
      <c r="L29" s="27">
        <f>L16/L5</f>
        <v>0.12771694513499451</v>
      </c>
      <c r="M29" s="27">
        <f>M16/M5</f>
        <v>5.4220248353882131E-2</v>
      </c>
      <c r="N29" s="27">
        <f t="shared" ref="N29" si="19">N16/N5</f>
        <v>5.8402570105730238E-2</v>
      </c>
      <c r="O29" s="27">
        <f>O16/O5</f>
        <v>-1.8266109882105801E-2</v>
      </c>
      <c r="P29" s="27">
        <f t="shared" ref="P29" si="20">P16/P5</f>
        <v>-1.8310973542121304E-2</v>
      </c>
      <c r="V29" s="27">
        <f t="shared" ref="V29:W29" si="21">V16/V5</f>
        <v>1.2409355262784E-2</v>
      </c>
      <c r="W29" s="27">
        <f t="shared" si="21"/>
        <v>-3.4860996280777067E-2</v>
      </c>
      <c r="X29" s="27">
        <f>X16/X5</f>
        <v>7.2739799524236287E-2</v>
      </c>
    </row>
    <row r="30" spans="2:24" x14ac:dyDescent="0.15">
      <c r="B30" s="1" t="s">
        <v>80</v>
      </c>
      <c r="H30" s="27">
        <f>H18/H5</f>
        <v>7.8244034321979742E-3</v>
      </c>
      <c r="I30" s="27">
        <f>I18/I5</f>
        <v>5.1570666575571134E-2</v>
      </c>
      <c r="K30" s="27">
        <f>K18/K5</f>
        <v>5.3452435036888638E-2</v>
      </c>
      <c r="L30" s="27">
        <f>L18/L5</f>
        <v>0.12545528126264671</v>
      </c>
      <c r="M30" s="27">
        <f>M18/M5</f>
        <v>5.218193468558039E-2</v>
      </c>
      <c r="N30" s="27">
        <f t="shared" ref="N30" si="22">N18/N5</f>
        <v>5.6407483340552046E-2</v>
      </c>
      <c r="O30" s="27">
        <f>O18/O5</f>
        <v>-2.0263004421958795E-2</v>
      </c>
      <c r="P30" s="27">
        <f t="shared" ref="P30" si="23">P18/P5</f>
        <v>-2.0909437566684987E-2</v>
      </c>
      <c r="V30" s="27">
        <f t="shared" ref="V30:W30" si="24">V18/V5</f>
        <v>1.0863154013181798E-2</v>
      </c>
      <c r="W30" s="27">
        <f t="shared" si="24"/>
        <v>-3.6482237062709783E-2</v>
      </c>
      <c r="X30" s="27">
        <f>X18/X5</f>
        <v>7.0839330655726326E-2</v>
      </c>
    </row>
    <row r="31" spans="2:24" x14ac:dyDescent="0.15">
      <c r="B31" s="1" t="s">
        <v>70</v>
      </c>
      <c r="H31" s="27">
        <f>H15/H14</f>
        <v>0.17785663591199563</v>
      </c>
      <c r="I31" s="27">
        <f>I15/I14</f>
        <v>0.11602786756881554</v>
      </c>
      <c r="K31" s="27">
        <f>K15/K14</f>
        <v>0.12536096831671009</v>
      </c>
      <c r="L31" s="27">
        <f>L15/L14</f>
        <v>-6.7084009583429929E-2</v>
      </c>
      <c r="M31" s="27">
        <f>M15/M14</f>
        <v>0.25027115381677661</v>
      </c>
      <c r="N31" s="27">
        <f t="shared" ref="N31" si="25">N15/N14</f>
        <v>0.25608177769978241</v>
      </c>
      <c r="O31" s="27">
        <f>O15/O14</f>
        <v>0.12839781600422653</v>
      </c>
      <c r="P31" s="27">
        <f t="shared" ref="P31" si="26">P15/P14</f>
        <v>-0.61857707509881543</v>
      </c>
      <c r="V31" s="27">
        <f t="shared" ref="V31:W31" si="27">V15/V14</f>
        <v>0.27868957661516464</v>
      </c>
      <c r="W31" s="27">
        <f t="shared" si="27"/>
        <v>-1.2352748086904748</v>
      </c>
      <c r="X31" s="27">
        <f>X15/X14</f>
        <v>0.12592645335853514</v>
      </c>
    </row>
    <row r="33" spans="2:24" x14ac:dyDescent="0.15">
      <c r="B33" s="28" t="s">
        <v>121</v>
      </c>
    </row>
    <row r="34" spans="2:24" x14ac:dyDescent="0.15">
      <c r="B34" s="34" t="s">
        <v>122</v>
      </c>
      <c r="K34" s="1">
        <f>351+154</f>
        <v>505</v>
      </c>
      <c r="O34" s="1">
        <f>352+156</f>
        <v>508</v>
      </c>
      <c r="P34" s="1">
        <f>358+155</f>
        <v>513</v>
      </c>
      <c r="X34" s="1">
        <f>154+351</f>
        <v>505</v>
      </c>
    </row>
    <row r="35" spans="2:24" x14ac:dyDescent="0.15">
      <c r="B35" s="34" t="s">
        <v>123</v>
      </c>
      <c r="K35" s="1">
        <f>173+51</f>
        <v>224</v>
      </c>
      <c r="O35" s="1">
        <f>171+49</f>
        <v>220</v>
      </c>
      <c r="P35" s="1">
        <f>172+49</f>
        <v>221</v>
      </c>
      <c r="X35" s="1">
        <f>51+173</f>
        <v>224</v>
      </c>
    </row>
    <row r="36" spans="2:24" x14ac:dyDescent="0.15">
      <c r="B36" s="1" t="s">
        <v>124</v>
      </c>
      <c r="K36" s="1">
        <f>K34+K35</f>
        <v>729</v>
      </c>
      <c r="O36" s="1">
        <f>O34+O35</f>
        <v>728</v>
      </c>
      <c r="P36" s="1">
        <f>P34+P35</f>
        <v>734</v>
      </c>
      <c r="X36" s="1">
        <f>X34+X35</f>
        <v>729</v>
      </c>
    </row>
    <row r="38" spans="2:24" x14ac:dyDescent="0.15">
      <c r="B38" s="28" t="s">
        <v>81</v>
      </c>
    </row>
    <row r="39" spans="2:24" s="3" customFormat="1" x14ac:dyDescent="0.15">
      <c r="B39" s="3" t="s">
        <v>6</v>
      </c>
      <c r="O39" s="25">
        <v>468.37799999999999</v>
      </c>
      <c r="P39" s="25">
        <v>369.95600000000002</v>
      </c>
      <c r="W39" s="25">
        <v>1104.8620000000001</v>
      </c>
      <c r="X39" s="25">
        <v>823.13900000000001</v>
      </c>
    </row>
    <row r="40" spans="2:24" x14ac:dyDescent="0.15">
      <c r="B40" s="1" t="s">
        <v>82</v>
      </c>
      <c r="O40" s="26">
        <v>88.807000000000002</v>
      </c>
      <c r="P40" s="26">
        <v>79.72</v>
      </c>
      <c r="W40" s="26">
        <v>83.856999999999999</v>
      </c>
      <c r="X40" s="26">
        <v>69.102000000000004</v>
      </c>
    </row>
    <row r="41" spans="2:24" s="3" customFormat="1" x14ac:dyDescent="0.15">
      <c r="B41" s="3" t="s">
        <v>83</v>
      </c>
      <c r="O41" s="25">
        <v>562.51</v>
      </c>
      <c r="P41" s="25">
        <v>708.024</v>
      </c>
      <c r="W41" s="25">
        <v>404.053</v>
      </c>
      <c r="X41" s="25">
        <v>525.86400000000003</v>
      </c>
    </row>
    <row r="42" spans="2:24" x14ac:dyDescent="0.15">
      <c r="B42" s="1" t="s">
        <v>84</v>
      </c>
      <c r="O42" s="26">
        <v>93.179000000000002</v>
      </c>
      <c r="P42" s="26">
        <v>104.887</v>
      </c>
      <c r="W42" s="26">
        <v>68.856999999999999</v>
      </c>
      <c r="X42" s="26">
        <v>89.653999999999996</v>
      </c>
    </row>
    <row r="43" spans="2:24" x14ac:dyDescent="0.15">
      <c r="B43" s="1" t="s">
        <v>85</v>
      </c>
      <c r="K43" s="26">
        <f>SUM(K39:K42)</f>
        <v>0</v>
      </c>
      <c r="L43" s="26">
        <f t="shared" ref="L43:N43" si="28">SUM(L39:L42)</f>
        <v>0</v>
      </c>
      <c r="M43" s="26">
        <f t="shared" si="28"/>
        <v>0</v>
      </c>
      <c r="N43" s="26">
        <f t="shared" si="28"/>
        <v>0</v>
      </c>
      <c r="O43" s="26">
        <f>SUM(O39:O42)</f>
        <v>1212.874</v>
      </c>
      <c r="P43" s="26">
        <f>SUM(P39:P42)</f>
        <v>1262.587</v>
      </c>
      <c r="W43" s="26">
        <f>SUM(W39:W42)</f>
        <v>1661.6289999999999</v>
      </c>
      <c r="X43" s="26">
        <f>SUM(X39:X42)</f>
        <v>1507.759</v>
      </c>
    </row>
    <row r="44" spans="2:24" x14ac:dyDescent="0.15">
      <c r="B44" s="1" t="s">
        <v>86</v>
      </c>
      <c r="O44" s="26">
        <v>497.976</v>
      </c>
      <c r="P44" s="26">
        <v>511.18099999999998</v>
      </c>
      <c r="W44" s="26">
        <v>550.58699999999999</v>
      </c>
      <c r="X44" s="26">
        <v>508.33600000000001</v>
      </c>
    </row>
    <row r="45" spans="2:24" x14ac:dyDescent="0.15">
      <c r="B45" s="1" t="s">
        <v>87</v>
      </c>
      <c r="O45" s="26">
        <v>671.99099999999999</v>
      </c>
      <c r="P45" s="26">
        <v>740.62699999999995</v>
      </c>
      <c r="W45" s="26">
        <v>893.98900000000003</v>
      </c>
      <c r="X45" s="26">
        <v>698.23099999999999</v>
      </c>
    </row>
    <row r="46" spans="2:24" x14ac:dyDescent="0.15">
      <c r="B46" s="1" t="s">
        <v>88</v>
      </c>
      <c r="O46" s="26">
        <v>224.46199999999999</v>
      </c>
      <c r="P46" s="26">
        <v>219.59800000000001</v>
      </c>
      <c r="W46" s="26">
        <v>208.697</v>
      </c>
      <c r="X46" s="26">
        <v>225.16499999999999</v>
      </c>
    </row>
    <row r="47" spans="2:24" x14ac:dyDescent="0.15">
      <c r="B47" s="1" t="s">
        <v>89</v>
      </c>
      <c r="K47" s="26">
        <f>K43+K44+K45+K46</f>
        <v>0</v>
      </c>
      <c r="L47" s="26">
        <f t="shared" ref="L47:N47" si="29">L43+L44+L45+L46</f>
        <v>0</v>
      </c>
      <c r="M47" s="26">
        <f t="shared" si="29"/>
        <v>0</v>
      </c>
      <c r="N47" s="26">
        <f t="shared" si="29"/>
        <v>0</v>
      </c>
      <c r="O47" s="26">
        <f>O43+O44+O45+O46</f>
        <v>2607.3029999999999</v>
      </c>
      <c r="P47" s="26">
        <f>P43+P44+P45+P46</f>
        <v>2733.9929999999999</v>
      </c>
      <c r="W47" s="26">
        <f>W43+W44+W45+W46</f>
        <v>3314.902</v>
      </c>
      <c r="X47" s="26">
        <f>X43+X44+X45+X46</f>
        <v>2939.491</v>
      </c>
    </row>
    <row r="48" spans="2:24" x14ac:dyDescent="0.15">
      <c r="O48" s="26"/>
      <c r="W48" s="26"/>
      <c r="X48" s="26"/>
    </row>
    <row r="49" spans="2:24" x14ac:dyDescent="0.15">
      <c r="B49" s="1" t="s">
        <v>90</v>
      </c>
      <c r="O49" s="26">
        <v>311.35199999999998</v>
      </c>
      <c r="P49" s="26">
        <v>408.29700000000003</v>
      </c>
      <c r="W49" s="26">
        <v>289.39600000000002</v>
      </c>
      <c r="X49" s="26">
        <v>374.82900000000001</v>
      </c>
    </row>
    <row r="50" spans="2:24" x14ac:dyDescent="0.15">
      <c r="B50" s="1" t="s">
        <v>91</v>
      </c>
      <c r="O50" s="26">
        <v>320.68099999999998</v>
      </c>
      <c r="P50" s="26">
        <v>342.69</v>
      </c>
      <c r="W50" s="26">
        <v>396.36500000000001</v>
      </c>
      <c r="X50" s="26">
        <v>395.815</v>
      </c>
    </row>
    <row r="51" spans="2:24" x14ac:dyDescent="0.15">
      <c r="B51" s="1" t="s">
        <v>92</v>
      </c>
      <c r="O51" s="26">
        <v>195.59899999999999</v>
      </c>
      <c r="P51" s="26">
        <v>202.66900000000001</v>
      </c>
      <c r="W51" s="26">
        <v>248.846</v>
      </c>
      <c r="X51" s="26">
        <v>222.82300000000001</v>
      </c>
    </row>
    <row r="52" spans="2:24" x14ac:dyDescent="0.15">
      <c r="B52" s="1" t="s">
        <v>93</v>
      </c>
      <c r="O52" s="26">
        <v>25.4</v>
      </c>
      <c r="P52" s="26">
        <v>5.5819999999999999</v>
      </c>
      <c r="W52" s="26">
        <v>24.792000000000002</v>
      </c>
      <c r="X52" s="26">
        <v>21.773</v>
      </c>
    </row>
    <row r="53" spans="2:24" x14ac:dyDescent="0.15">
      <c r="B53" s="1" t="s">
        <v>94</v>
      </c>
      <c r="K53" s="26">
        <f>SUM(K49:K52)</f>
        <v>0</v>
      </c>
      <c r="L53" s="26">
        <f t="shared" ref="L53:N53" si="30">SUM(L49:L52)</f>
        <v>0</v>
      </c>
      <c r="M53" s="26">
        <f t="shared" si="30"/>
        <v>0</v>
      </c>
      <c r="N53" s="26">
        <f t="shared" si="30"/>
        <v>0</v>
      </c>
      <c r="O53" s="26">
        <f>SUM(O49:O52)</f>
        <v>853.03199999999981</v>
      </c>
      <c r="P53" s="26">
        <f>SUM(P49:P52)</f>
        <v>959.23800000000006</v>
      </c>
      <c r="W53" s="26">
        <f>SUM(W49:W52)</f>
        <v>959.399</v>
      </c>
      <c r="X53" s="26">
        <f>SUM(X49:X52)</f>
        <v>1015.24</v>
      </c>
    </row>
    <row r="54" spans="2:24" x14ac:dyDescent="0.15">
      <c r="B54" s="1" t="s">
        <v>95</v>
      </c>
      <c r="O54" s="26">
        <v>662.322</v>
      </c>
      <c r="P54" s="26">
        <v>714.26499999999999</v>
      </c>
      <c r="W54" s="26">
        <v>957.55799999999999</v>
      </c>
      <c r="X54" s="26">
        <v>697.26400000000001</v>
      </c>
    </row>
    <row r="55" spans="2:24" s="3" customFormat="1" x14ac:dyDescent="0.15">
      <c r="B55" s="3" t="s">
        <v>96</v>
      </c>
      <c r="O55" s="25">
        <v>303.90100000000001</v>
      </c>
      <c r="P55" s="25">
        <v>304.21899999999999</v>
      </c>
      <c r="W55" s="25">
        <v>343.91</v>
      </c>
      <c r="X55" s="25">
        <v>303.57400000000001</v>
      </c>
    </row>
    <row r="56" spans="2:24" x14ac:dyDescent="0.15">
      <c r="B56" s="1" t="s">
        <v>97</v>
      </c>
      <c r="O56" s="26">
        <v>83.242999999999995</v>
      </c>
      <c r="P56" s="26">
        <v>83.415000000000006</v>
      </c>
      <c r="W56" s="26">
        <v>104.693</v>
      </c>
      <c r="X56" s="26">
        <v>86.088999999999999</v>
      </c>
    </row>
    <row r="57" spans="2:24" x14ac:dyDescent="0.15">
      <c r="B57" s="1" t="s">
        <v>98</v>
      </c>
      <c r="K57" s="26">
        <f>K53+K54+K55+K56</f>
        <v>0</v>
      </c>
      <c r="L57" s="26">
        <f t="shared" ref="L57:N57" si="31">L53+L54+L55+L56</f>
        <v>0</v>
      </c>
      <c r="M57" s="26">
        <f t="shared" si="31"/>
        <v>0</v>
      </c>
      <c r="N57" s="26">
        <f t="shared" si="31"/>
        <v>0</v>
      </c>
      <c r="O57" s="26">
        <f>O53+O54+O55+O56</f>
        <v>1902.4979999999998</v>
      </c>
      <c r="P57" s="26">
        <f>P53+P54+P55+P56</f>
        <v>2061.1370000000002</v>
      </c>
      <c r="W57" s="26">
        <f>W53+W54+W55+W56</f>
        <v>2365.56</v>
      </c>
      <c r="X57" s="26">
        <f>X53+X54+X55+X56</f>
        <v>2102.1669999999999</v>
      </c>
    </row>
    <row r="58" spans="2:24" x14ac:dyDescent="0.15">
      <c r="W58" s="26"/>
      <c r="X58" s="26"/>
    </row>
    <row r="59" spans="2:24" x14ac:dyDescent="0.15">
      <c r="B59" s="1" t="s">
        <v>99</v>
      </c>
      <c r="O59" s="26">
        <v>704.80499999999995</v>
      </c>
      <c r="P59" s="26">
        <v>672.92700000000002</v>
      </c>
      <c r="W59" s="26">
        <v>949.31200000000001</v>
      </c>
      <c r="X59" s="26">
        <v>837.32399999999996</v>
      </c>
    </row>
    <row r="60" spans="2:24" x14ac:dyDescent="0.15">
      <c r="B60" s="1" t="s">
        <v>100</v>
      </c>
      <c r="O60" s="26">
        <f>O59+O57</f>
        <v>2607.3029999999999</v>
      </c>
      <c r="P60" s="26">
        <f>P59+P57</f>
        <v>2734.0640000000003</v>
      </c>
      <c r="W60" s="26">
        <f>W59+W57</f>
        <v>3314.8719999999998</v>
      </c>
      <c r="X60" s="26">
        <f>X59+X57</f>
        <v>2939.491</v>
      </c>
    </row>
    <row r="61" spans="2:24" x14ac:dyDescent="0.15">
      <c r="X61" s="26"/>
    </row>
    <row r="62" spans="2:24" x14ac:dyDescent="0.15">
      <c r="B62" s="1" t="s">
        <v>101</v>
      </c>
      <c r="X62" s="26"/>
    </row>
    <row r="63" spans="2:24" x14ac:dyDescent="0.15">
      <c r="B63" s="1" t="s">
        <v>102</v>
      </c>
      <c r="O63" s="26">
        <f>O47-O57</f>
        <v>704.80500000000006</v>
      </c>
      <c r="P63" s="26">
        <f t="shared" ref="P63" si="32">P47-P57</f>
        <v>672.85599999999977</v>
      </c>
      <c r="W63" s="26">
        <f>W47-W57</f>
        <v>949.3420000000001</v>
      </c>
      <c r="X63" s="26">
        <f>X47-X57</f>
        <v>837.32400000000007</v>
      </c>
    </row>
    <row r="64" spans="2:24" x14ac:dyDescent="0.15">
      <c r="O64" s="30">
        <f>O63/O20</f>
        <v>13.533901722449452</v>
      </c>
      <c r="P64" s="30">
        <f t="shared" ref="P64" si="33">P63/P20</f>
        <v>13.339465910667904</v>
      </c>
      <c r="W64" s="26">
        <f>W63/W20</f>
        <v>15.177087496602773</v>
      </c>
      <c r="X64" s="26">
        <f>X63/X20</f>
        <v>14.049767605751969</v>
      </c>
    </row>
    <row r="66" spans="2:24" s="3" customFormat="1" x14ac:dyDescent="0.15">
      <c r="B66" s="3" t="s">
        <v>132</v>
      </c>
      <c r="X66" s="29">
        <f>X41/W41-1</f>
        <v>0.30147282658463137</v>
      </c>
    </row>
    <row r="67" spans="2:24" x14ac:dyDescent="0.15">
      <c r="B67" s="1" t="s">
        <v>133</v>
      </c>
      <c r="P67" s="27">
        <f>P41/O41-1</f>
        <v>0.25868695667632569</v>
      </c>
    </row>
    <row r="69" spans="2:24" s="3" customFormat="1" x14ac:dyDescent="0.15">
      <c r="B69" s="3" t="s">
        <v>134</v>
      </c>
      <c r="X69" s="29">
        <f>X39/W39-1</f>
        <v>-0.25498478543021663</v>
      </c>
    </row>
    <row r="70" spans="2:24" x14ac:dyDescent="0.15">
      <c r="B70" s="1" t="s">
        <v>135</v>
      </c>
    </row>
  </sheetData>
  <hyperlinks>
    <hyperlink ref="O1" r:id="rId1" xr:uid="{A31BC69F-8B0D-4122-89CF-88AC7F503192}"/>
    <hyperlink ref="X1" r:id="rId2" location="i0673e2349c7140edbe9ed5c39f3f5977_73" xr:uid="{7A703C4E-1B76-4F2D-BB2D-470EDEEB4BF3}"/>
    <hyperlink ref="M1" r:id="rId3" location="id3a4d98ceaf340b49a9b4120a6f6242d_31" xr:uid="{F8710F00-6532-1246-AC65-F36142AF7599}"/>
    <hyperlink ref="L1" r:id="rId4" location="ib223de12289d413dbeacbd98f83fd0f5_16" xr:uid="{CB4C7934-1202-5C47-ADA3-87001AAE1270}"/>
    <hyperlink ref="P1" r:id="rId5" xr:uid="{1A8AB90C-3113-8A4A-A39C-004613218F30}"/>
  </hyperlinks>
  <pageMargins left="0.7" right="0.7" top="0.75" bottom="0.75" header="0.3" footer="0.3"/>
  <ignoredErrors>
    <ignoredError sqref="N7 N15:N17 N14 N12" formula="1"/>
  </ignoredErrors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2022-07-23T15:57:08Z</dcterms:created>
  <dcterms:modified xsi:type="dcterms:W3CDTF">2022-11-01T22:03:54Z</dcterms:modified>
</cp:coreProperties>
</file>