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A366BC10-EA3A-40B0-B89C-CA2534819E51}" xr6:coauthVersionLast="36" xr6:coauthVersionMax="47" xr10:uidLastSave="{00000000-0000-0000-0000-000000000000}"/>
  <bookViews>
    <workbookView xWindow="1440" yWindow="825" windowWidth="28800" windowHeight="12225" xr2:uid="{18B12511-5A40-4110-901F-9E6EE9F0D34B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1" l="1"/>
  <c r="C25" i="1"/>
  <c r="I61" i="2"/>
  <c r="I62" i="2" s="1"/>
  <c r="I60" i="2"/>
  <c r="I57" i="2"/>
  <c r="I58" i="2" s="1"/>
  <c r="I55" i="2"/>
  <c r="I35" i="2"/>
  <c r="J52" i="2"/>
  <c r="H52" i="2"/>
  <c r="G52" i="2"/>
  <c r="F52" i="2"/>
  <c r="E52" i="2"/>
  <c r="D52" i="2"/>
  <c r="C52" i="2"/>
  <c r="J49" i="2"/>
  <c r="I49" i="2"/>
  <c r="I52" i="2" s="1"/>
  <c r="H49" i="2"/>
  <c r="G49" i="2"/>
  <c r="F49" i="2"/>
  <c r="E49" i="2"/>
  <c r="D49" i="2"/>
  <c r="C49" i="2"/>
  <c r="J45" i="2"/>
  <c r="H45" i="2"/>
  <c r="G45" i="2"/>
  <c r="F45" i="2"/>
  <c r="E45" i="2"/>
  <c r="D45" i="2"/>
  <c r="C45" i="2"/>
  <c r="J40" i="2"/>
  <c r="I40" i="2"/>
  <c r="I45" i="2" s="1"/>
  <c r="H40" i="2"/>
  <c r="G40" i="2"/>
  <c r="F40" i="2"/>
  <c r="E40" i="2"/>
  <c r="D40" i="2"/>
  <c r="C40" i="2"/>
  <c r="I24" i="2"/>
  <c r="I25" i="2" s="1"/>
  <c r="I23" i="2"/>
  <c r="I22" i="2"/>
  <c r="I16" i="2"/>
  <c r="I13" i="2"/>
  <c r="I15" i="2" s="1"/>
  <c r="I11" i="2"/>
  <c r="J2" i="2"/>
  <c r="J91" i="2"/>
  <c r="J92" i="2" s="1"/>
  <c r="J88" i="2"/>
  <c r="J87" i="2"/>
  <c r="J86" i="2"/>
  <c r="J83" i="2"/>
  <c r="J82" i="2"/>
  <c r="J81" i="2"/>
  <c r="J84" i="2" s="1"/>
  <c r="J89" i="2"/>
  <c r="J79" i="2"/>
  <c r="J78" i="2"/>
  <c r="J77" i="2"/>
  <c r="J76" i="2"/>
  <c r="R91" i="2"/>
  <c r="R92" i="2" s="1"/>
  <c r="R89" i="2"/>
  <c r="R84" i="2"/>
  <c r="R79" i="2"/>
  <c r="K92" i="2"/>
  <c r="I91" i="2"/>
  <c r="I92" i="2" s="1"/>
  <c r="K91" i="2" l="1"/>
  <c r="I89" i="2"/>
  <c r="I84" i="2"/>
  <c r="I79" i="2"/>
  <c r="K89" i="2"/>
  <c r="K84" i="2"/>
  <c r="K79" i="2"/>
  <c r="D10" i="1"/>
  <c r="D9" i="1"/>
  <c r="C10" i="1"/>
  <c r="C9" i="1"/>
  <c r="K62" i="2"/>
  <c r="K61" i="2"/>
  <c r="K60" i="2"/>
  <c r="K52" i="2"/>
  <c r="K55" i="2" s="1"/>
  <c r="K49" i="2"/>
  <c r="K45" i="2"/>
  <c r="K40" i="2"/>
  <c r="K35" i="2"/>
  <c r="K25" i="2"/>
  <c r="K24" i="2"/>
  <c r="K23" i="2"/>
  <c r="D7" i="1"/>
  <c r="D28" i="1"/>
  <c r="C28" i="1"/>
  <c r="C7" i="1"/>
  <c r="K16" i="2"/>
  <c r="K15" i="2"/>
  <c r="K13" i="2"/>
  <c r="K22" i="2"/>
  <c r="K6" i="2"/>
  <c r="K11" i="2" s="1"/>
  <c r="I6" i="2"/>
  <c r="K19" i="2"/>
  <c r="K57" i="2" l="1"/>
  <c r="K58" i="2" s="1"/>
  <c r="C33" i="1" s="1"/>
  <c r="C11" i="1"/>
  <c r="C8" i="1"/>
  <c r="C12" i="1" l="1"/>
</calcChain>
</file>

<file path=xl/sharedStrings.xml><?xml version="1.0" encoding="utf-8"?>
<sst xmlns="http://schemas.openxmlformats.org/spreadsheetml/2006/main" count="135" uniqueCount="120">
  <si>
    <t>£TEG</t>
  </si>
  <si>
    <t>Ten Entertainment Group Plc</t>
  </si>
  <si>
    <t>Stock Overview</t>
  </si>
  <si>
    <t>Price</t>
  </si>
  <si>
    <t>Shares</t>
  </si>
  <si>
    <t>MC</t>
  </si>
  <si>
    <t>Cash</t>
  </si>
  <si>
    <t>Debt</t>
  </si>
  <si>
    <t>Net Cash</t>
  </si>
  <si>
    <t>EV</t>
  </si>
  <si>
    <t>Management</t>
  </si>
  <si>
    <t>Profile</t>
  </si>
  <si>
    <t>HQ</t>
  </si>
  <si>
    <t>Founded</t>
  </si>
  <si>
    <t>Sites</t>
  </si>
  <si>
    <t>IR</t>
  </si>
  <si>
    <t>Link</t>
  </si>
  <si>
    <t>CEO/ED</t>
  </si>
  <si>
    <t>Graham Blackwell</t>
  </si>
  <si>
    <t>CFO, ED</t>
  </si>
  <si>
    <t>Antony Smith</t>
  </si>
  <si>
    <t>COO</t>
  </si>
  <si>
    <t>Bret Astle</t>
  </si>
  <si>
    <t>Cranfield, UK</t>
  </si>
  <si>
    <t>Emply.</t>
  </si>
  <si>
    <t>Key Events</t>
  </si>
  <si>
    <t>Dundee &amp; Milton Keynes site due to open in 2023</t>
  </si>
  <si>
    <t>Valuation Metrics</t>
  </si>
  <si>
    <t>P/B</t>
  </si>
  <si>
    <t>P/S</t>
  </si>
  <si>
    <t>EV/S</t>
  </si>
  <si>
    <t>P/E</t>
  </si>
  <si>
    <t>EV/E</t>
  </si>
  <si>
    <t>ROCE</t>
  </si>
  <si>
    <t>H122</t>
  </si>
  <si>
    <t>Revenue</t>
  </si>
  <si>
    <t>COGS</t>
  </si>
  <si>
    <t>Gross Profit</t>
  </si>
  <si>
    <t>Administrative</t>
  </si>
  <si>
    <t>Loss on JV</t>
  </si>
  <si>
    <t>Reversal of Impairment</t>
  </si>
  <si>
    <t>Exceptional Income</t>
  </si>
  <si>
    <t>Operating Profit</t>
  </si>
  <si>
    <t>Finance Costs</t>
  </si>
  <si>
    <t>Pretax Income</t>
  </si>
  <si>
    <t>Taxes</t>
  </si>
  <si>
    <t>Net Income</t>
  </si>
  <si>
    <t>EPS</t>
  </si>
  <si>
    <t>H121</t>
  </si>
  <si>
    <t>Revenue Y/Y</t>
  </si>
  <si>
    <t>Revenue H/H</t>
  </si>
  <si>
    <t>Gross Margin</t>
  </si>
  <si>
    <t>Operating Margin</t>
  </si>
  <si>
    <t>Net Margin</t>
  </si>
  <si>
    <t>Tax Rate</t>
  </si>
  <si>
    <t>Non-Finance Metrics</t>
  </si>
  <si>
    <t>Update</t>
  </si>
  <si>
    <t>Joint Ventures</t>
  </si>
  <si>
    <t>H221</t>
  </si>
  <si>
    <t>FY18</t>
  </si>
  <si>
    <t>FY19</t>
  </si>
  <si>
    <t>FY20</t>
  </si>
  <si>
    <t>FY21</t>
  </si>
  <si>
    <t>FY22</t>
  </si>
  <si>
    <t>FY23</t>
  </si>
  <si>
    <t>FY24</t>
  </si>
  <si>
    <t>FY25</t>
  </si>
  <si>
    <t>FY26</t>
  </si>
  <si>
    <t>FY27</t>
  </si>
  <si>
    <t>FY28</t>
  </si>
  <si>
    <t>FY29</t>
  </si>
  <si>
    <t>FY30</t>
  </si>
  <si>
    <t>FY31</t>
  </si>
  <si>
    <t>FY32</t>
  </si>
  <si>
    <t>FY33</t>
  </si>
  <si>
    <t>£310k in 50:50 at end of FY19</t>
  </si>
  <si>
    <t>Houdini's Escape Room Ltd.</t>
  </si>
  <si>
    <t>Balance Sheet</t>
  </si>
  <si>
    <t>Goodwill+Intangibles</t>
  </si>
  <si>
    <t>Investments in JV</t>
  </si>
  <si>
    <t>PP&amp;E</t>
  </si>
  <si>
    <t>ROU</t>
  </si>
  <si>
    <t>Deferred Taxes</t>
  </si>
  <si>
    <t>Total NCA</t>
  </si>
  <si>
    <t>Inventories</t>
  </si>
  <si>
    <t>Trade &amp; A/R</t>
  </si>
  <si>
    <t>Tax Receivables</t>
  </si>
  <si>
    <t>Assets</t>
  </si>
  <si>
    <t>Trade &amp; A/P</t>
  </si>
  <si>
    <t>TCL</t>
  </si>
  <si>
    <t>Liabiltiies</t>
  </si>
  <si>
    <t>S/E</t>
  </si>
  <si>
    <t>S/E+L</t>
  </si>
  <si>
    <t>Book Value</t>
  </si>
  <si>
    <t>Book Value per Share</t>
  </si>
  <si>
    <t>Share Price</t>
  </si>
  <si>
    <t>Cashflow Statement</t>
  </si>
  <si>
    <t>Cash from Operations</t>
  </si>
  <si>
    <t>Corporation Tax Received</t>
  </si>
  <si>
    <t>Finance Costs Paid</t>
  </si>
  <si>
    <t>CFFO</t>
  </si>
  <si>
    <t>Acquisition of Sites</t>
  </si>
  <si>
    <t>Purchase of PP&amp;E</t>
  </si>
  <si>
    <t>Purchase of Software</t>
  </si>
  <si>
    <t>CFFI</t>
  </si>
  <si>
    <t>Lease Principal Payments</t>
  </si>
  <si>
    <t>Drawdown of Bank Borrowings</t>
  </si>
  <si>
    <t>Repayment of Borrowings</t>
  </si>
  <si>
    <t>CFFF</t>
  </si>
  <si>
    <t>CapEx</t>
  </si>
  <si>
    <t>FCF</t>
  </si>
  <si>
    <t>Bank Borrowings &amp; Lease</t>
  </si>
  <si>
    <t>Businesses</t>
  </si>
  <si>
    <t>H220</t>
  </si>
  <si>
    <t>H219</t>
  </si>
  <si>
    <t>H218</t>
  </si>
  <si>
    <t>H118</t>
  </si>
  <si>
    <t>H119</t>
  </si>
  <si>
    <t>H120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</si>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</sst>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7" formatCode="0.0"/>
    <numFmt numFmtId="168" formatCode="0.0\x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sz val="8"/>
      <color theme="1" tint="0.499984740745262"/>
      <name val="Arial"/>
      <family val="2"/>
    </font>
    <font>
      <b/>
      <sz val="10"/>
      <color theme="1" tint="0.499984740745262"/>
      <name val="Arial"/>
      <family val="2"/>
    </font>
    <font>
      <b/>
      <u/>
      <sz val="10"/>
      <color theme="1"/>
      <name val="Arial"/>
      <family val="2"/>
    </font>
    <font>
      <i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3" borderId="4" xfId="0" applyFont="1" applyFill="1" applyBorder="1"/>
    <xf numFmtId="0" fontId="1" fillId="0" borderId="0" xfId="0" applyFont="1" applyBorder="1"/>
    <xf numFmtId="0" fontId="3" fillId="3" borderId="6" xfId="0" applyFont="1" applyFill="1" applyBorder="1"/>
    <xf numFmtId="164" fontId="1" fillId="0" borderId="0" xfId="0" applyNumberFormat="1" applyFont="1" applyBorder="1"/>
    <xf numFmtId="164" fontId="1" fillId="0" borderId="7" xfId="0" applyNumberFormat="1" applyFont="1" applyBorder="1"/>
    <xf numFmtId="0" fontId="3" fillId="3" borderId="4" xfId="0" applyFont="1" applyFill="1" applyBorder="1" applyAlignment="1">
      <alignment horizontal="center"/>
    </xf>
    <xf numFmtId="0" fontId="1" fillId="4" borderId="0" xfId="0" applyFont="1" applyFill="1" applyBorder="1"/>
    <xf numFmtId="0" fontId="1" fillId="4" borderId="5" xfId="0" applyFont="1" applyFill="1" applyBorder="1"/>
    <xf numFmtId="0" fontId="3" fillId="3" borderId="6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7" xfId="0" applyFont="1" applyFill="1" applyBorder="1"/>
    <xf numFmtId="0" fontId="1" fillId="4" borderId="8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5" fillId="4" borderId="7" xfId="1" applyFont="1" applyFill="1" applyBorder="1" applyAlignment="1">
      <alignment horizontal="center"/>
    </xf>
    <xf numFmtId="0" fontId="5" fillId="4" borderId="8" xfId="1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4" borderId="0" xfId="0" applyFont="1" applyFill="1" applyBorder="1" applyAlignment="1"/>
    <xf numFmtId="0" fontId="1" fillId="4" borderId="5" xfId="0" applyFont="1" applyFill="1" applyBorder="1" applyAlignment="1"/>
    <xf numFmtId="0" fontId="3" fillId="0" borderId="0" xfId="0" applyFont="1" applyAlignment="1">
      <alignment horizontal="right"/>
    </xf>
    <xf numFmtId="0" fontId="6" fillId="0" borderId="0" xfId="0" applyFont="1"/>
    <xf numFmtId="16" fontId="6" fillId="0" borderId="0" xfId="0" applyNumberFormat="1" applyFont="1"/>
    <xf numFmtId="0" fontId="7" fillId="0" borderId="0" xfId="0" applyFont="1"/>
    <xf numFmtId="0" fontId="5" fillId="0" borderId="0" xfId="1" applyFont="1" applyAlignment="1">
      <alignment horizontal="right"/>
    </xf>
    <xf numFmtId="14" fontId="6" fillId="0" borderId="0" xfId="0" applyNumberFormat="1" applyFont="1"/>
    <xf numFmtId="9" fontId="3" fillId="0" borderId="0" xfId="0" applyNumberFormat="1" applyFont="1"/>
    <xf numFmtId="0" fontId="8" fillId="0" borderId="0" xfId="0" applyFont="1"/>
    <xf numFmtId="9" fontId="1" fillId="0" borderId="0" xfId="0" applyNumberFormat="1" applyFont="1"/>
    <xf numFmtId="2" fontId="1" fillId="0" borderId="0" xfId="0" applyNumberFormat="1" applyFont="1"/>
    <xf numFmtId="167" fontId="1" fillId="0" borderId="0" xfId="0" applyNumberFormat="1" applyFont="1"/>
    <xf numFmtId="167" fontId="1" fillId="0" borderId="0" xfId="0" applyNumberFormat="1" applyFont="1" applyBorder="1"/>
    <xf numFmtId="16" fontId="1" fillId="4" borderId="5" xfId="0" applyNumberFormat="1" applyFont="1" applyFill="1" applyBorder="1" applyAlignment="1">
      <alignment horizontal="center"/>
    </xf>
    <xf numFmtId="164" fontId="3" fillId="0" borderId="0" xfId="0" applyNumberFormat="1" applyFont="1"/>
    <xf numFmtId="164" fontId="1" fillId="0" borderId="0" xfId="0" applyNumberFormat="1" applyFont="1"/>
    <xf numFmtId="0" fontId="1" fillId="4" borderId="6" xfId="0" applyFont="1" applyFill="1" applyBorder="1"/>
    <xf numFmtId="0" fontId="3" fillId="5" borderId="0" xfId="0" applyFont="1" applyFill="1" applyAlignment="1">
      <alignment horizontal="right"/>
    </xf>
    <xf numFmtId="0" fontId="6" fillId="5" borderId="0" xfId="0" applyFont="1" applyFill="1"/>
    <xf numFmtId="0" fontId="3" fillId="5" borderId="0" xfId="0" applyFont="1" applyFill="1"/>
    <xf numFmtId="0" fontId="1" fillId="5" borderId="0" xfId="0" applyFont="1" applyFill="1"/>
    <xf numFmtId="2" fontId="1" fillId="5" borderId="0" xfId="0" applyNumberFormat="1" applyFont="1" applyFill="1"/>
    <xf numFmtId="167" fontId="1" fillId="5" borderId="0" xfId="0" applyNumberFormat="1" applyFont="1" applyFill="1"/>
    <xf numFmtId="0" fontId="3" fillId="4" borderId="4" xfId="0" applyFont="1" applyFill="1" applyBorder="1"/>
    <xf numFmtId="0" fontId="1" fillId="4" borderId="4" xfId="0" applyFont="1" applyFill="1" applyBorder="1" applyAlignment="1">
      <alignment horizontal="left" indent="1"/>
    </xf>
    <xf numFmtId="0" fontId="9" fillId="0" borderId="0" xfId="0" applyFont="1"/>
    <xf numFmtId="0" fontId="9" fillId="5" borderId="0" xfId="0" applyFont="1" applyFill="1"/>
    <xf numFmtId="164" fontId="9" fillId="0" borderId="0" xfId="0" applyNumberFormat="1" applyFont="1"/>
    <xf numFmtId="168" fontId="1" fillId="4" borderId="0" xfId="0" applyNumberFormat="1" applyFont="1" applyFill="1" applyBorder="1" applyAlignment="1">
      <alignment horizontal="center"/>
    </xf>
    <xf numFmtId="168" fontId="1" fillId="4" borderId="5" xfId="0" applyNumberFormat="1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164" fontId="1" fillId="5" borderId="0" xfId="0" applyNumberFormat="1" applyFont="1" applyFill="1"/>
    <xf numFmtId="164" fontId="3" fillId="5" borderId="0" xfId="0" applyNumberFormat="1" applyFont="1" applyFill="1"/>
    <xf numFmtId="0" fontId="1" fillId="4" borderId="6" xfId="0" applyFont="1" applyFill="1" applyBorder="1" applyAlignment="1">
      <alignment horizontal="left" indent="1"/>
    </xf>
    <xf numFmtId="14" fontId="6" fillId="5" borderId="0" xfId="0" applyNumberFormat="1" applyFont="1" applyFill="1"/>
    <xf numFmtId="3" fontId="1" fillId="4" borderId="0" xfId="0" applyNumberFormat="1" applyFont="1" applyFill="1" applyBorder="1" applyAlignment="1">
      <alignment horizontal="center"/>
    </xf>
    <xf numFmtId="3" fontId="1" fillId="4" borderId="5" xfId="0" applyNumberFormat="1" applyFont="1" applyFill="1" applyBorder="1" applyAlignment="1">
      <alignment horizontal="center"/>
    </xf>
    <xf numFmtId="3" fontId="1" fillId="0" borderId="0" xfId="0" applyNumberFormat="1" applyFont="1"/>
    <xf numFmtId="3" fontId="1" fillId="5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368300</xdr:colOff>
      <xdr:row>0</xdr:row>
      <xdr:rowOff>88900</xdr:rowOff>
    </xdr:from>
    <xdr:to>
      <xdr:col>5</xdr:col>
      <xdr:colOff>317500</xdr:colOff>
      <xdr:row>4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E5E63D-AE7A-17F0-A15B-87674A75F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2300" y="88900"/>
          <a:ext cx="6477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0</xdr:row>
      <xdr:rowOff>0</xdr:rowOff>
    </xdr:from>
    <xdr:to>
      <xdr:col>11</xdr:col>
      <xdr:colOff>9525</xdr:colOff>
      <xdr:row>111</xdr:row>
      <xdr:rowOff>104775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159D08D9-148C-4C12-8747-FCB7F528FFED}"/>
            </a:ext>
          </a:extLst>
        </xdr:cNvPr>
        <xdr:cNvCxnSpPr/>
      </xdr:nvCxnSpPr>
      <xdr:spPr>
        <a:xfrm>
          <a:off x="7115175" y="0"/>
          <a:ext cx="0" cy="1807845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0</xdr:row>
      <xdr:rowOff>0</xdr:rowOff>
    </xdr:from>
    <xdr:to>
      <xdr:col>18</xdr:col>
      <xdr:colOff>0</xdr:colOff>
      <xdr:row>111</xdr:row>
      <xdr:rowOff>104775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FBDB451A-2F43-4C9A-89BC-76E93336F7D5}"/>
            </a:ext>
          </a:extLst>
        </xdr:cNvPr>
        <xdr:cNvCxnSpPr/>
      </xdr:nvCxnSpPr>
      <xdr:spPr>
        <a:xfrm>
          <a:off x="11372850" y="0"/>
          <a:ext cx="0" cy="1807845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tegplc.co.uk/results-reports/results-centr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egplc.co.uk/files/file/download/id/2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FB80-2819-4CCA-9F78-6AC8529FFC68}">
  <dimension ref="B2:S38"/>
  <sheetViews>
    <sheetView tabSelected="1" workbookViewId="0">
      <selection activeCell="C27" sqref="C27"/>
    </sheetView>
  </sheetViews>
  <sheetFormatPr defaultColWidth="9.140625" defaultRowHeight="12.75" x14ac:dyDescent="0.2"/>
  <cols>
    <col min="1" max="16384" width="9.140625" style="1"/>
  </cols>
  <sheetData>
    <row r="2" spans="2:19" ht="15" x14ac:dyDescent="0.25">
      <c r="B2" s="2" t="s">
        <v>0</v>
      </c>
      <c r="F2"/>
    </row>
    <row r="3" spans="2:19" x14ac:dyDescent="0.2">
      <c r="B3" s="3" t="s">
        <v>1</v>
      </c>
    </row>
    <row r="5" spans="2:19" x14ac:dyDescent="0.2">
      <c r="B5" s="17" t="s">
        <v>2</v>
      </c>
      <c r="C5" s="18"/>
      <c r="D5" s="19"/>
      <c r="G5" s="17" t="s">
        <v>25</v>
      </c>
      <c r="H5" s="18"/>
      <c r="I5" s="18"/>
      <c r="J5" s="18"/>
      <c r="K5" s="18"/>
      <c r="L5" s="18"/>
      <c r="M5" s="19"/>
      <c r="Q5" s="17" t="s">
        <v>112</v>
      </c>
      <c r="R5" s="18"/>
      <c r="S5" s="19"/>
    </row>
    <row r="6" spans="2:19" x14ac:dyDescent="0.2">
      <c r="B6" s="4" t="s">
        <v>3</v>
      </c>
      <c r="C6" s="5">
        <v>2.7210000000000001</v>
      </c>
      <c r="D6" s="26"/>
      <c r="G6" s="12">
        <v>2023</v>
      </c>
      <c r="H6" s="15" t="s">
        <v>26</v>
      </c>
      <c r="I6" s="15"/>
      <c r="J6" s="15"/>
      <c r="K6" s="15"/>
      <c r="L6" s="15"/>
      <c r="M6" s="16"/>
      <c r="Q6" s="53"/>
      <c r="R6" s="10"/>
      <c r="S6" s="11"/>
    </row>
    <row r="7" spans="2:19" x14ac:dyDescent="0.2">
      <c r="B7" s="4" t="s">
        <v>4</v>
      </c>
      <c r="C7" s="41">
        <f>'Financial Model'!K17</f>
        <v>68.381495999999999</v>
      </c>
      <c r="D7" s="26" t="str">
        <f>$C$28</f>
        <v>H122</v>
      </c>
      <c r="Q7" s="53"/>
      <c r="R7" s="10"/>
      <c r="S7" s="11"/>
    </row>
    <row r="8" spans="2:19" x14ac:dyDescent="0.2">
      <c r="B8" s="4" t="s">
        <v>5</v>
      </c>
      <c r="C8" s="7">
        <f>C6*C7</f>
        <v>186.06605061600001</v>
      </c>
      <c r="D8" s="26"/>
      <c r="Q8" s="53"/>
      <c r="R8" s="10"/>
      <c r="S8" s="11"/>
    </row>
    <row r="9" spans="2:19" x14ac:dyDescent="0.2">
      <c r="B9" s="4" t="s">
        <v>6</v>
      </c>
      <c r="C9" s="7">
        <f>'Financial Model'!K60</f>
        <v>7.734</v>
      </c>
      <c r="D9" s="26" t="str">
        <f t="shared" ref="D9:D10" si="0">$C$28</f>
        <v>H122</v>
      </c>
      <c r="Q9" s="53"/>
      <c r="R9" s="10"/>
      <c r="S9" s="11"/>
    </row>
    <row r="10" spans="2:19" x14ac:dyDescent="0.2">
      <c r="B10" s="4" t="s">
        <v>7</v>
      </c>
      <c r="C10" s="7">
        <f>'Financial Model'!K61</f>
        <v>207.95099999999999</v>
      </c>
      <c r="D10" s="26" t="str">
        <f t="shared" si="0"/>
        <v>H122</v>
      </c>
      <c r="Q10" s="53"/>
      <c r="R10" s="10"/>
      <c r="S10" s="11"/>
    </row>
    <row r="11" spans="2:19" x14ac:dyDescent="0.2">
      <c r="B11" s="4" t="s">
        <v>8</v>
      </c>
      <c r="C11" s="7">
        <f>C9-C10</f>
        <v>-200.21699999999998</v>
      </c>
      <c r="D11" s="26"/>
      <c r="Q11" s="53"/>
      <c r="R11" s="10"/>
      <c r="S11" s="11"/>
    </row>
    <row r="12" spans="2:19" x14ac:dyDescent="0.2">
      <c r="B12" s="6" t="s">
        <v>9</v>
      </c>
      <c r="C12" s="8">
        <f>C8-C11</f>
        <v>386.28305061599997</v>
      </c>
      <c r="D12" s="27"/>
      <c r="Q12" s="53"/>
      <c r="R12" s="10"/>
      <c r="S12" s="11"/>
    </row>
    <row r="13" spans="2:19" x14ac:dyDescent="0.2">
      <c r="Q13" s="53"/>
      <c r="R13" s="10"/>
      <c r="S13" s="11"/>
    </row>
    <row r="14" spans="2:19" x14ac:dyDescent="0.2">
      <c r="Q14" s="53"/>
      <c r="R14" s="10"/>
      <c r="S14" s="11"/>
    </row>
    <row r="15" spans="2:19" x14ac:dyDescent="0.2">
      <c r="B15" s="17" t="s">
        <v>10</v>
      </c>
      <c r="C15" s="18"/>
      <c r="D15" s="19"/>
      <c r="Q15" s="53"/>
      <c r="R15" s="10"/>
      <c r="S15" s="11"/>
    </row>
    <row r="16" spans="2:19" x14ac:dyDescent="0.2">
      <c r="B16" s="59" t="s">
        <v>17</v>
      </c>
      <c r="C16" s="20" t="s">
        <v>18</v>
      </c>
      <c r="D16" s="21"/>
      <c r="Q16" s="63"/>
      <c r="R16" s="15"/>
      <c r="S16" s="16"/>
    </row>
    <row r="17" spans="2:19" x14ac:dyDescent="0.2">
      <c r="B17" s="59" t="s">
        <v>19</v>
      </c>
      <c r="C17" s="20" t="s">
        <v>20</v>
      </c>
      <c r="D17" s="21"/>
    </row>
    <row r="18" spans="2:19" x14ac:dyDescent="0.2">
      <c r="B18" s="59" t="s">
        <v>21</v>
      </c>
      <c r="C18" s="20" t="s">
        <v>22</v>
      </c>
      <c r="D18" s="21"/>
    </row>
    <row r="19" spans="2:19" x14ac:dyDescent="0.2">
      <c r="B19" s="60"/>
      <c r="C19" s="24"/>
      <c r="D19" s="25"/>
      <c r="Q19" s="17" t="s">
        <v>57</v>
      </c>
      <c r="R19" s="18"/>
      <c r="S19" s="19"/>
    </row>
    <row r="20" spans="2:19" x14ac:dyDescent="0.2">
      <c r="Q20" s="52" t="s">
        <v>76</v>
      </c>
      <c r="R20" s="10"/>
      <c r="S20" s="11"/>
    </row>
    <row r="21" spans="2:19" x14ac:dyDescent="0.2">
      <c r="Q21" s="53" t="s">
        <v>75</v>
      </c>
      <c r="R21" s="10"/>
      <c r="S21" s="11"/>
    </row>
    <row r="22" spans="2:19" x14ac:dyDescent="0.2">
      <c r="B22" s="17" t="s">
        <v>11</v>
      </c>
      <c r="C22" s="18"/>
      <c r="D22" s="19"/>
      <c r="Q22" s="45"/>
      <c r="R22" s="15"/>
      <c r="S22" s="16"/>
    </row>
    <row r="23" spans="2:19" x14ac:dyDescent="0.2">
      <c r="B23" s="9" t="s">
        <v>12</v>
      </c>
      <c r="C23" s="20" t="s">
        <v>23</v>
      </c>
      <c r="D23" s="21"/>
    </row>
    <row r="24" spans="2:19" x14ac:dyDescent="0.2">
      <c r="B24" s="9" t="s">
        <v>13</v>
      </c>
      <c r="C24" s="20">
        <v>2009</v>
      </c>
      <c r="D24" s="21"/>
    </row>
    <row r="25" spans="2:19" x14ac:dyDescent="0.2">
      <c r="B25" s="9" t="s">
        <v>14</v>
      </c>
      <c r="C25" s="20">
        <f>'Financial Model'!K30</f>
        <v>47</v>
      </c>
      <c r="D25" s="21"/>
    </row>
    <row r="26" spans="2:19" x14ac:dyDescent="0.2">
      <c r="B26" s="9" t="s">
        <v>24</v>
      </c>
      <c r="C26" s="65">
        <f>'Financial Model'!K31</f>
        <v>1500</v>
      </c>
      <c r="D26" s="66"/>
    </row>
    <row r="27" spans="2:19" x14ac:dyDescent="0.2">
      <c r="B27" s="9"/>
      <c r="C27" s="13"/>
      <c r="D27" s="14"/>
    </row>
    <row r="28" spans="2:19" x14ac:dyDescent="0.2">
      <c r="B28" s="9" t="s">
        <v>56</v>
      </c>
      <c r="C28" s="13" t="str">
        <f>'Financial Model'!K1</f>
        <v>H122</v>
      </c>
      <c r="D28" s="42">
        <f>'Financial Model'!K3</f>
        <v>45190</v>
      </c>
    </row>
    <row r="29" spans="2:19" x14ac:dyDescent="0.2">
      <c r="B29" s="12" t="s">
        <v>15</v>
      </c>
      <c r="C29" s="22" t="s">
        <v>16</v>
      </c>
      <c r="D29" s="23"/>
    </row>
    <row r="32" spans="2:19" x14ac:dyDescent="0.2">
      <c r="B32" s="17" t="s">
        <v>27</v>
      </c>
      <c r="C32" s="18"/>
      <c r="D32" s="19"/>
    </row>
    <row r="33" spans="2:4" x14ac:dyDescent="0.2">
      <c r="B33" s="9" t="s">
        <v>28</v>
      </c>
      <c r="C33" s="57">
        <f>C6/'Financial Model'!K58</f>
        <v>3.5367722369936718</v>
      </c>
      <c r="D33" s="58"/>
    </row>
    <row r="34" spans="2:4" x14ac:dyDescent="0.2">
      <c r="B34" s="9" t="s">
        <v>29</v>
      </c>
      <c r="C34" s="28"/>
      <c r="D34" s="29"/>
    </row>
    <row r="35" spans="2:4" x14ac:dyDescent="0.2">
      <c r="B35" s="9" t="s">
        <v>30</v>
      </c>
      <c r="C35" s="28"/>
      <c r="D35" s="29"/>
    </row>
    <row r="36" spans="2:4" x14ac:dyDescent="0.2">
      <c r="B36" s="9" t="s">
        <v>31</v>
      </c>
      <c r="C36" s="13"/>
      <c r="D36" s="14"/>
    </row>
    <row r="37" spans="2:4" x14ac:dyDescent="0.2">
      <c r="B37" s="9" t="s">
        <v>32</v>
      </c>
      <c r="C37" s="28"/>
      <c r="D37" s="29"/>
    </row>
    <row r="38" spans="2:4" x14ac:dyDescent="0.2">
      <c r="B38" s="12" t="s">
        <v>33</v>
      </c>
      <c r="C38" s="24"/>
      <c r="D38" s="25"/>
    </row>
  </sheetData>
  <mergeCells count="21">
    <mergeCell ref="Q19:S19"/>
    <mergeCell ref="Q5:S5"/>
    <mergeCell ref="C26:D26"/>
    <mergeCell ref="B32:D32"/>
    <mergeCell ref="C33:D33"/>
    <mergeCell ref="C38:D38"/>
    <mergeCell ref="C37:D37"/>
    <mergeCell ref="C35:D35"/>
    <mergeCell ref="C34:D34"/>
    <mergeCell ref="C29:D29"/>
    <mergeCell ref="C19:D19"/>
    <mergeCell ref="B5:D5"/>
    <mergeCell ref="B15:D15"/>
    <mergeCell ref="C16:D16"/>
    <mergeCell ref="C17:D17"/>
    <mergeCell ref="C18:D18"/>
    <mergeCell ref="G5:M5"/>
    <mergeCell ref="B22:D22"/>
    <mergeCell ref="C23:D23"/>
    <mergeCell ref="C24:D24"/>
    <mergeCell ref="C25:D25"/>
  </mergeCells>
  <hyperlinks>
    <hyperlink ref="C29:D29" r:id="rId1" display="Link" xr:uid="{872569F1-2E0E-45DC-998D-58DC741E9E51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7C83F-EC03-4F38-8C2B-BF6F054B4FFD}">
  <dimension ref="B1:AD92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K31" sqref="K31"/>
    </sheetView>
  </sheetViews>
  <sheetFormatPr defaultRowHeight="12.75" x14ac:dyDescent="0.2"/>
  <cols>
    <col min="1" max="1" width="4.28515625" style="1" customWidth="1"/>
    <col min="2" max="2" width="26.5703125" style="1" bestFit="1" customWidth="1"/>
    <col min="3" max="3" width="9.140625" style="1"/>
    <col min="4" max="4" width="9.140625" style="49"/>
    <col min="5" max="5" width="9.140625" style="1"/>
    <col min="6" max="6" width="9.140625" style="49"/>
    <col min="7" max="7" width="9.140625" style="1"/>
    <col min="8" max="8" width="9.140625" style="49"/>
    <col min="9" max="9" width="9.140625" style="1"/>
    <col min="10" max="10" width="9.140625" style="49"/>
    <col min="11" max="16384" width="9.140625" style="1"/>
  </cols>
  <sheetData>
    <row r="1" spans="2:30" s="30" customFormat="1" x14ac:dyDescent="0.2">
      <c r="C1" s="30" t="s">
        <v>116</v>
      </c>
      <c r="D1" s="46" t="s">
        <v>115</v>
      </c>
      <c r="E1" s="30" t="s">
        <v>117</v>
      </c>
      <c r="F1" s="46" t="s">
        <v>114</v>
      </c>
      <c r="G1" s="30" t="s">
        <v>118</v>
      </c>
      <c r="H1" s="46" t="s">
        <v>113</v>
      </c>
      <c r="I1" s="30" t="s">
        <v>48</v>
      </c>
      <c r="J1" s="46" t="s">
        <v>58</v>
      </c>
      <c r="K1" s="34" t="s">
        <v>34</v>
      </c>
      <c r="O1" s="30" t="s">
        <v>59</v>
      </c>
      <c r="P1" s="30" t="s">
        <v>60</v>
      </c>
      <c r="Q1" s="30" t="s">
        <v>61</v>
      </c>
      <c r="R1" s="30" t="s">
        <v>62</v>
      </c>
      <c r="S1" s="30" t="s">
        <v>63</v>
      </c>
      <c r="T1" s="30" t="s">
        <v>64</v>
      </c>
      <c r="U1" s="30" t="s">
        <v>65</v>
      </c>
      <c r="V1" s="30" t="s">
        <v>66</v>
      </c>
      <c r="W1" s="30" t="s">
        <v>67</v>
      </c>
      <c r="X1" s="30" t="s">
        <v>68</v>
      </c>
      <c r="Y1" s="30" t="s">
        <v>69</v>
      </c>
      <c r="Z1" s="30" t="s">
        <v>70</v>
      </c>
      <c r="AA1" s="30" t="s">
        <v>71</v>
      </c>
      <c r="AB1" s="30" t="s">
        <v>72</v>
      </c>
      <c r="AC1" s="30" t="s">
        <v>73</v>
      </c>
      <c r="AD1" s="30" t="s">
        <v>74</v>
      </c>
    </row>
    <row r="2" spans="2:30" s="31" customFormat="1" x14ac:dyDescent="0.2">
      <c r="B2" s="33"/>
      <c r="D2" s="47"/>
      <c r="E2" s="35">
        <v>43645</v>
      </c>
      <c r="F2" s="47"/>
      <c r="G2" s="35">
        <v>44010</v>
      </c>
      <c r="H2" s="47"/>
      <c r="I2" s="35">
        <v>44374</v>
      </c>
      <c r="J2" s="64">
        <f>R2</f>
        <v>44556</v>
      </c>
      <c r="K2" s="35">
        <v>44738</v>
      </c>
      <c r="R2" s="35">
        <v>44556</v>
      </c>
    </row>
    <row r="3" spans="2:30" s="31" customFormat="1" x14ac:dyDescent="0.2">
      <c r="B3" s="33"/>
      <c r="D3" s="47"/>
      <c r="F3" s="47"/>
      <c r="H3" s="47"/>
      <c r="J3" s="47"/>
      <c r="K3" s="32">
        <v>45190</v>
      </c>
    </row>
    <row r="4" spans="2:30" s="3" customFormat="1" x14ac:dyDescent="0.2">
      <c r="B4" s="3" t="s">
        <v>35</v>
      </c>
      <c r="D4" s="48"/>
      <c r="F4" s="48"/>
      <c r="H4" s="48"/>
      <c r="I4" s="43">
        <v>10.61</v>
      </c>
      <c r="J4" s="48"/>
      <c r="K4" s="43">
        <v>63.238</v>
      </c>
    </row>
    <row r="5" spans="2:30" x14ac:dyDescent="0.2">
      <c r="B5" s="1" t="s">
        <v>36</v>
      </c>
      <c r="I5" s="44">
        <v>4.1539999999999999</v>
      </c>
      <c r="K5" s="44">
        <v>19.707000000000001</v>
      </c>
    </row>
    <row r="6" spans="2:30" s="3" customFormat="1" x14ac:dyDescent="0.2">
      <c r="B6" s="3" t="s">
        <v>37</v>
      </c>
      <c r="D6" s="48"/>
      <c r="F6" s="48"/>
      <c r="H6" s="48"/>
      <c r="I6" s="43">
        <f>I4-I5</f>
        <v>6.4559999999999995</v>
      </c>
      <c r="J6" s="48"/>
      <c r="K6" s="43">
        <f>K4-K5</f>
        <v>43.530999999999999</v>
      </c>
    </row>
    <row r="7" spans="2:30" x14ac:dyDescent="0.2">
      <c r="B7" s="1" t="s">
        <v>38</v>
      </c>
      <c r="I7" s="44">
        <v>14.558999999999999</v>
      </c>
      <c r="K7" s="44">
        <v>24.021999999999998</v>
      </c>
    </row>
    <row r="8" spans="2:30" x14ac:dyDescent="0.2">
      <c r="B8" s="1" t="s">
        <v>39</v>
      </c>
      <c r="I8" s="44">
        <v>0</v>
      </c>
      <c r="K8" s="44">
        <v>0.31</v>
      </c>
    </row>
    <row r="9" spans="2:30" x14ac:dyDescent="0.2">
      <c r="B9" s="1" t="s">
        <v>40</v>
      </c>
      <c r="I9" s="44">
        <v>0</v>
      </c>
      <c r="K9" s="44">
        <v>0.747</v>
      </c>
    </row>
    <row r="10" spans="2:30" x14ac:dyDescent="0.2">
      <c r="B10" s="1" t="s">
        <v>41</v>
      </c>
      <c r="I10" s="44">
        <v>0</v>
      </c>
      <c r="K10" s="44">
        <v>4.601</v>
      </c>
    </row>
    <row r="11" spans="2:30" s="3" customFormat="1" x14ac:dyDescent="0.2">
      <c r="B11" s="3" t="s">
        <v>42</v>
      </c>
      <c r="D11" s="48"/>
      <c r="F11" s="48"/>
      <c r="H11" s="48"/>
      <c r="I11" s="43">
        <f>I6-I7-I8+I9+I10</f>
        <v>-8.1029999999999998</v>
      </c>
      <c r="J11" s="48"/>
      <c r="K11" s="43">
        <f>K6-K7-K8+K9+K10</f>
        <v>24.547000000000001</v>
      </c>
    </row>
    <row r="12" spans="2:30" x14ac:dyDescent="0.2">
      <c r="B12" s="1" t="s">
        <v>43</v>
      </c>
      <c r="I12" s="44">
        <v>-2.6659999999999999</v>
      </c>
      <c r="K12" s="44">
        <v>-3.532</v>
      </c>
    </row>
    <row r="13" spans="2:30" x14ac:dyDescent="0.2">
      <c r="B13" s="1" t="s">
        <v>44</v>
      </c>
      <c r="I13" s="44">
        <f>I11+I12</f>
        <v>-10.769</v>
      </c>
      <c r="K13" s="44">
        <f>K11+K12</f>
        <v>21.015000000000001</v>
      </c>
    </row>
    <row r="14" spans="2:30" x14ac:dyDescent="0.2">
      <c r="B14" s="1" t="s">
        <v>45</v>
      </c>
      <c r="I14" s="44">
        <v>-1.97</v>
      </c>
      <c r="K14" s="44">
        <v>2.7210000000000001</v>
      </c>
    </row>
    <row r="15" spans="2:30" s="3" customFormat="1" x14ac:dyDescent="0.2">
      <c r="B15" s="3" t="s">
        <v>46</v>
      </c>
      <c r="D15" s="48"/>
      <c r="F15" s="48"/>
      <c r="H15" s="48"/>
      <c r="I15" s="43">
        <f>I13-I14</f>
        <v>-8.7989999999999995</v>
      </c>
      <c r="J15" s="48"/>
      <c r="K15" s="43">
        <f>K13-K14</f>
        <v>18.294</v>
      </c>
    </row>
    <row r="16" spans="2:30" s="39" customFormat="1" x14ac:dyDescent="0.2">
      <c r="B16" s="39" t="s">
        <v>47</v>
      </c>
      <c r="D16" s="50"/>
      <c r="F16" s="50"/>
      <c r="H16" s="50"/>
      <c r="I16" s="44">
        <f>I15/I17</f>
        <v>-0.12873671520202257</v>
      </c>
      <c r="J16" s="50"/>
      <c r="K16" s="39">
        <f>K15/K17</f>
        <v>0.26752851385409882</v>
      </c>
    </row>
    <row r="17" spans="2:11" s="40" customFormat="1" x14ac:dyDescent="0.2">
      <c r="B17" s="40" t="s">
        <v>4</v>
      </c>
      <c r="D17" s="51"/>
      <c r="F17" s="51"/>
      <c r="H17" s="51"/>
      <c r="I17" s="44">
        <v>68.348799999999997</v>
      </c>
      <c r="J17" s="51"/>
      <c r="K17" s="40">
        <v>68.381495999999999</v>
      </c>
    </row>
    <row r="19" spans="2:11" s="3" customFormat="1" x14ac:dyDescent="0.2">
      <c r="B19" s="3" t="s">
        <v>49</v>
      </c>
      <c r="D19" s="48"/>
      <c r="F19" s="48"/>
      <c r="H19" s="48"/>
      <c r="J19" s="48"/>
      <c r="K19" s="36">
        <f>K4/I4-1</f>
        <v>4.9602262016965133</v>
      </c>
    </row>
    <row r="20" spans="2:11" x14ac:dyDescent="0.2">
      <c r="B20" s="1" t="s">
        <v>50</v>
      </c>
    </row>
    <row r="22" spans="2:11" x14ac:dyDescent="0.2">
      <c r="B22" s="1" t="s">
        <v>51</v>
      </c>
      <c r="I22" s="38">
        <f>I6/I4</f>
        <v>0.60848256361922715</v>
      </c>
      <c r="K22" s="38">
        <f>K6/K4</f>
        <v>0.68836775356589386</v>
      </c>
    </row>
    <row r="23" spans="2:11" x14ac:dyDescent="0.2">
      <c r="B23" s="1" t="s">
        <v>52</v>
      </c>
      <c r="I23" s="38">
        <f>I11/I4</f>
        <v>-0.7637134778510839</v>
      </c>
      <c r="K23" s="38">
        <f>K11/K4</f>
        <v>0.38816850627787092</v>
      </c>
    </row>
    <row r="24" spans="2:11" x14ac:dyDescent="0.2">
      <c r="B24" s="1" t="s">
        <v>53</v>
      </c>
      <c r="I24" s="38">
        <f>I15/I4</f>
        <v>-0.82931196983977384</v>
      </c>
      <c r="K24" s="38">
        <f>K15/K4</f>
        <v>0.2892880862772384</v>
      </c>
    </row>
    <row r="25" spans="2:11" x14ac:dyDescent="0.2">
      <c r="B25" s="1" t="s">
        <v>54</v>
      </c>
      <c r="I25" s="38">
        <f>I24/I14/I13</f>
        <v>-3.9090959519535243E-2</v>
      </c>
      <c r="K25" s="38">
        <f>K24/K14/K13</f>
        <v>5.0590924103622523E-3</v>
      </c>
    </row>
    <row r="29" spans="2:11" s="3" customFormat="1" x14ac:dyDescent="0.2">
      <c r="B29" s="37" t="s">
        <v>55</v>
      </c>
      <c r="D29" s="48"/>
      <c r="F29" s="48"/>
      <c r="H29" s="48"/>
      <c r="J29" s="48"/>
    </row>
    <row r="30" spans="2:11" x14ac:dyDescent="0.2">
      <c r="B30" s="1" t="s">
        <v>14</v>
      </c>
      <c r="E30" s="1">
        <v>44</v>
      </c>
      <c r="G30" s="1">
        <v>45</v>
      </c>
      <c r="I30" s="1">
        <v>46</v>
      </c>
      <c r="K30" s="1">
        <v>47</v>
      </c>
    </row>
    <row r="31" spans="2:11" s="67" customFormat="1" x14ac:dyDescent="0.2">
      <c r="B31" s="67" t="s">
        <v>119</v>
      </c>
      <c r="D31" s="68"/>
      <c r="F31" s="68"/>
      <c r="H31" s="68"/>
      <c r="J31" s="68"/>
      <c r="K31" s="67">
        <v>1500</v>
      </c>
    </row>
    <row r="34" spans="2:11" x14ac:dyDescent="0.2">
      <c r="B34" s="37" t="s">
        <v>77</v>
      </c>
    </row>
    <row r="35" spans="2:11" x14ac:dyDescent="0.2">
      <c r="B35" s="1" t="s">
        <v>78</v>
      </c>
      <c r="I35" s="44">
        <f>29.35+0.355</f>
        <v>29.705000000000002</v>
      </c>
      <c r="K35" s="44">
        <f>29.74+0.195</f>
        <v>29.934999999999999</v>
      </c>
    </row>
    <row r="36" spans="2:11" x14ac:dyDescent="0.2">
      <c r="B36" s="1" t="s">
        <v>79</v>
      </c>
      <c r="I36" s="44">
        <v>0.31</v>
      </c>
      <c r="K36" s="44">
        <v>0</v>
      </c>
    </row>
    <row r="37" spans="2:11" x14ac:dyDescent="0.2">
      <c r="B37" s="1" t="s">
        <v>80</v>
      </c>
      <c r="I37" s="44">
        <v>38.566000000000003</v>
      </c>
      <c r="K37" s="44">
        <v>42.151000000000003</v>
      </c>
    </row>
    <row r="38" spans="2:11" x14ac:dyDescent="0.2">
      <c r="B38" s="1" t="s">
        <v>81</v>
      </c>
      <c r="I38" s="44">
        <v>156.559</v>
      </c>
      <c r="K38" s="44">
        <v>173.00899999999999</v>
      </c>
    </row>
    <row r="39" spans="2:11" x14ac:dyDescent="0.2">
      <c r="B39" s="1" t="s">
        <v>82</v>
      </c>
      <c r="I39" s="44">
        <v>6.0880000000000001</v>
      </c>
      <c r="K39" s="44">
        <v>4.2320000000000002</v>
      </c>
    </row>
    <row r="40" spans="2:11" x14ac:dyDescent="0.2">
      <c r="B40" s="1" t="s">
        <v>83</v>
      </c>
      <c r="C40" s="1">
        <f t="shared" ref="C40:J40" si="0">SUM(C35:C39)</f>
        <v>0</v>
      </c>
      <c r="D40" s="49">
        <f t="shared" si="0"/>
        <v>0</v>
      </c>
      <c r="E40" s="1">
        <f t="shared" si="0"/>
        <v>0</v>
      </c>
      <c r="F40" s="49">
        <f t="shared" si="0"/>
        <v>0</v>
      </c>
      <c r="G40" s="1">
        <f t="shared" si="0"/>
        <v>0</v>
      </c>
      <c r="H40" s="49">
        <f t="shared" si="0"/>
        <v>0</v>
      </c>
      <c r="I40" s="44">
        <f t="shared" si="0"/>
        <v>231.22799999999998</v>
      </c>
      <c r="J40" s="49">
        <f t="shared" si="0"/>
        <v>0</v>
      </c>
      <c r="K40" s="44">
        <f>SUM(K35:K39)</f>
        <v>249.32699999999997</v>
      </c>
    </row>
    <row r="41" spans="2:11" s="3" customFormat="1" x14ac:dyDescent="0.2">
      <c r="B41" s="3" t="s">
        <v>84</v>
      </c>
      <c r="D41" s="48"/>
      <c r="F41" s="48"/>
      <c r="H41" s="48"/>
      <c r="I41" s="43">
        <v>1.05</v>
      </c>
      <c r="J41" s="48"/>
      <c r="K41" s="43">
        <v>1.25</v>
      </c>
    </row>
    <row r="42" spans="2:11" x14ac:dyDescent="0.2">
      <c r="B42" s="1" t="s">
        <v>85</v>
      </c>
      <c r="I42" s="44">
        <v>1.194</v>
      </c>
      <c r="K42" s="44">
        <v>14.776999999999999</v>
      </c>
    </row>
    <row r="43" spans="2:11" s="3" customFormat="1" x14ac:dyDescent="0.2">
      <c r="B43" s="3" t="s">
        <v>6</v>
      </c>
      <c r="D43" s="48"/>
      <c r="F43" s="48"/>
      <c r="H43" s="48"/>
      <c r="I43" s="43">
        <v>17.103000000000002</v>
      </c>
      <c r="J43" s="48"/>
      <c r="K43" s="43">
        <v>7.734</v>
      </c>
    </row>
    <row r="44" spans="2:11" x14ac:dyDescent="0.2">
      <c r="B44" s="1" t="s">
        <v>86</v>
      </c>
      <c r="I44" s="44">
        <v>0.01</v>
      </c>
      <c r="K44" s="44">
        <v>0.314</v>
      </c>
    </row>
    <row r="45" spans="2:11" x14ac:dyDescent="0.2">
      <c r="B45" s="1" t="s">
        <v>87</v>
      </c>
      <c r="C45" s="1">
        <f t="shared" ref="C45:J45" si="1">C40+SUM(C41:C44)</f>
        <v>0</v>
      </c>
      <c r="D45" s="49">
        <f t="shared" si="1"/>
        <v>0</v>
      </c>
      <c r="E45" s="1">
        <f t="shared" si="1"/>
        <v>0</v>
      </c>
      <c r="F45" s="49">
        <f t="shared" si="1"/>
        <v>0</v>
      </c>
      <c r="G45" s="1">
        <f t="shared" si="1"/>
        <v>0</v>
      </c>
      <c r="H45" s="49">
        <f t="shared" si="1"/>
        <v>0</v>
      </c>
      <c r="I45" s="44">
        <f t="shared" si="1"/>
        <v>250.58499999999998</v>
      </c>
      <c r="J45" s="49">
        <f t="shared" si="1"/>
        <v>0</v>
      </c>
      <c r="K45" s="44">
        <f>K40+SUM(K41:K44)</f>
        <v>273.40199999999999</v>
      </c>
    </row>
    <row r="46" spans="2:11" x14ac:dyDescent="0.2">
      <c r="I46" s="44"/>
      <c r="K46" s="44"/>
    </row>
    <row r="47" spans="2:11" s="3" customFormat="1" x14ac:dyDescent="0.2">
      <c r="B47" s="3" t="s">
        <v>111</v>
      </c>
      <c r="D47" s="48"/>
      <c r="F47" s="48"/>
      <c r="H47" s="48"/>
      <c r="I47" s="43">
        <v>43.871000000000002</v>
      </c>
      <c r="J47" s="48"/>
      <c r="K47" s="43">
        <v>17.963999999999999</v>
      </c>
    </row>
    <row r="48" spans="2:11" x14ac:dyDescent="0.2">
      <c r="B48" s="1" t="s">
        <v>88</v>
      </c>
      <c r="I48" s="44">
        <v>12.833</v>
      </c>
      <c r="K48" s="44">
        <v>10.568</v>
      </c>
    </row>
    <row r="49" spans="2:11" x14ac:dyDescent="0.2">
      <c r="B49" s="1" t="s">
        <v>89</v>
      </c>
      <c r="C49" s="1">
        <f t="shared" ref="C49:J49" si="2">C47+C48</f>
        <v>0</v>
      </c>
      <c r="D49" s="49">
        <f t="shared" si="2"/>
        <v>0</v>
      </c>
      <c r="E49" s="1">
        <f t="shared" si="2"/>
        <v>0</v>
      </c>
      <c r="F49" s="49">
        <f t="shared" si="2"/>
        <v>0</v>
      </c>
      <c r="G49" s="1">
        <f t="shared" si="2"/>
        <v>0</v>
      </c>
      <c r="H49" s="49">
        <f t="shared" si="2"/>
        <v>0</v>
      </c>
      <c r="I49" s="44">
        <f t="shared" si="2"/>
        <v>56.704000000000001</v>
      </c>
      <c r="J49" s="49">
        <f t="shared" si="2"/>
        <v>0</v>
      </c>
      <c r="K49" s="44">
        <f>K47+K48</f>
        <v>28.531999999999996</v>
      </c>
    </row>
    <row r="50" spans="2:11" s="3" customFormat="1" x14ac:dyDescent="0.2">
      <c r="B50" s="3" t="s">
        <v>111</v>
      </c>
      <c r="D50" s="48"/>
      <c r="F50" s="48"/>
      <c r="H50" s="48"/>
      <c r="I50" s="43">
        <v>171.18199999999999</v>
      </c>
      <c r="J50" s="48"/>
      <c r="K50" s="43">
        <v>189.98699999999999</v>
      </c>
    </row>
    <row r="51" spans="2:11" x14ac:dyDescent="0.2">
      <c r="B51" s="1" t="s">
        <v>82</v>
      </c>
      <c r="I51" s="44">
        <v>1.5820000000000001</v>
      </c>
      <c r="K51" s="44">
        <v>2.274</v>
      </c>
    </row>
    <row r="52" spans="2:11" x14ac:dyDescent="0.2">
      <c r="B52" s="1" t="s">
        <v>90</v>
      </c>
      <c r="C52" s="1">
        <f t="shared" ref="C52:J52" si="3">C49+SUM(C50:C51)</f>
        <v>0</v>
      </c>
      <c r="D52" s="49">
        <f t="shared" si="3"/>
        <v>0</v>
      </c>
      <c r="E52" s="1">
        <f t="shared" si="3"/>
        <v>0</v>
      </c>
      <c r="F52" s="49">
        <f t="shared" si="3"/>
        <v>0</v>
      </c>
      <c r="G52" s="1">
        <f t="shared" si="3"/>
        <v>0</v>
      </c>
      <c r="H52" s="49">
        <f t="shared" si="3"/>
        <v>0</v>
      </c>
      <c r="I52" s="44">
        <f t="shared" si="3"/>
        <v>229.46799999999999</v>
      </c>
      <c r="J52" s="49">
        <f t="shared" si="3"/>
        <v>0</v>
      </c>
      <c r="K52" s="44">
        <f>K49+SUM(K50:K51)</f>
        <v>220.79300000000001</v>
      </c>
    </row>
    <row r="53" spans="2:11" x14ac:dyDescent="0.2">
      <c r="I53" s="44"/>
      <c r="K53" s="44"/>
    </row>
    <row r="54" spans="2:11" x14ac:dyDescent="0.2">
      <c r="B54" s="1" t="s">
        <v>91</v>
      </c>
      <c r="I54" s="44">
        <v>21.117000000000001</v>
      </c>
      <c r="K54" s="44">
        <v>52.609000000000002</v>
      </c>
    </row>
    <row r="55" spans="2:11" x14ac:dyDescent="0.2">
      <c r="B55" s="1" t="s">
        <v>92</v>
      </c>
      <c r="I55" s="44">
        <f>I54+I52</f>
        <v>250.58499999999998</v>
      </c>
      <c r="K55" s="44">
        <f>K54+K52</f>
        <v>273.40199999999999</v>
      </c>
    </row>
    <row r="57" spans="2:11" x14ac:dyDescent="0.2">
      <c r="B57" s="1" t="s">
        <v>93</v>
      </c>
      <c r="I57" s="44">
        <f>I45-I52</f>
        <v>21.11699999999999</v>
      </c>
      <c r="K57" s="44">
        <f>K45-K52</f>
        <v>52.60899999999998</v>
      </c>
    </row>
    <row r="58" spans="2:11" x14ac:dyDescent="0.2">
      <c r="B58" s="1" t="s">
        <v>94</v>
      </c>
      <c r="I58" s="1">
        <f>I57/I17</f>
        <v>0.30895933798398789</v>
      </c>
      <c r="K58" s="1">
        <f>K57/K17</f>
        <v>0.7693455551191799</v>
      </c>
    </row>
    <row r="60" spans="2:11" s="54" customFormat="1" x14ac:dyDescent="0.2">
      <c r="B60" s="54" t="s">
        <v>6</v>
      </c>
      <c r="D60" s="55"/>
      <c r="F60" s="55"/>
      <c r="H60" s="55"/>
      <c r="I60" s="56">
        <f>I43</f>
        <v>17.103000000000002</v>
      </c>
      <c r="J60" s="55"/>
      <c r="K60" s="56">
        <f>K43</f>
        <v>7.734</v>
      </c>
    </row>
    <row r="61" spans="2:11" s="54" customFormat="1" x14ac:dyDescent="0.2">
      <c r="B61" s="54" t="s">
        <v>7</v>
      </c>
      <c r="D61" s="55"/>
      <c r="F61" s="55"/>
      <c r="H61" s="55"/>
      <c r="I61" s="56">
        <f>+I47+I50</f>
        <v>215.053</v>
      </c>
      <c r="J61" s="55"/>
      <c r="K61" s="56">
        <f>+K47+K50</f>
        <v>207.95099999999999</v>
      </c>
    </row>
    <row r="62" spans="2:11" x14ac:dyDescent="0.2">
      <c r="B62" s="1" t="s">
        <v>8</v>
      </c>
      <c r="I62" s="44">
        <f>I60-I61</f>
        <v>-197.95</v>
      </c>
      <c r="K62" s="44">
        <f>K60-K61</f>
        <v>-200.21699999999998</v>
      </c>
    </row>
    <row r="64" spans="2:11" x14ac:dyDescent="0.2">
      <c r="B64" s="1" t="s">
        <v>95</v>
      </c>
    </row>
    <row r="65" spans="2:18" x14ac:dyDescent="0.2">
      <c r="B65" s="1" t="s">
        <v>5</v>
      </c>
    </row>
    <row r="66" spans="2:18" x14ac:dyDescent="0.2">
      <c r="B66" s="1" t="s">
        <v>9</v>
      </c>
    </row>
    <row r="68" spans="2:18" x14ac:dyDescent="0.2">
      <c r="B68" s="1" t="s">
        <v>28</v>
      </c>
    </row>
    <row r="69" spans="2:18" x14ac:dyDescent="0.2">
      <c r="B69" s="1" t="s">
        <v>29</v>
      </c>
    </row>
    <row r="70" spans="2:18" x14ac:dyDescent="0.2">
      <c r="B70" s="1" t="s">
        <v>30</v>
      </c>
    </row>
    <row r="71" spans="2:18" x14ac:dyDescent="0.2">
      <c r="B71" s="1" t="s">
        <v>31</v>
      </c>
    </row>
    <row r="72" spans="2:18" x14ac:dyDescent="0.2">
      <c r="B72" s="1" t="s">
        <v>32</v>
      </c>
    </row>
    <row r="75" spans="2:18" x14ac:dyDescent="0.2">
      <c r="B75" s="37" t="s">
        <v>96</v>
      </c>
    </row>
    <row r="76" spans="2:18" x14ac:dyDescent="0.2">
      <c r="B76" s="1" t="s">
        <v>97</v>
      </c>
      <c r="I76" s="44">
        <v>5.2080000000000002</v>
      </c>
      <c r="J76" s="61">
        <f>R76-I76</f>
        <v>25.619</v>
      </c>
      <c r="K76" s="44">
        <v>31.850999999999999</v>
      </c>
      <c r="R76" s="44">
        <v>30.827000000000002</v>
      </c>
    </row>
    <row r="77" spans="2:18" x14ac:dyDescent="0.2">
      <c r="B77" s="1" t="s">
        <v>98</v>
      </c>
      <c r="I77" s="44">
        <v>2.2919999999999998</v>
      </c>
      <c r="J77" s="61">
        <f t="shared" ref="J77:J78" si="4">R77-I77</f>
        <v>0</v>
      </c>
      <c r="K77" s="44">
        <v>-2.8780000000000001</v>
      </c>
      <c r="R77" s="44">
        <v>2.2919999999999998</v>
      </c>
    </row>
    <row r="78" spans="2:18" x14ac:dyDescent="0.2">
      <c r="B78" s="1" t="s">
        <v>99</v>
      </c>
      <c r="I78" s="44">
        <v>-2.6509999999999998</v>
      </c>
      <c r="J78" s="61">
        <f t="shared" si="4"/>
        <v>-3.0350000000000001</v>
      </c>
      <c r="K78" s="44">
        <v>-3.4740000000000002</v>
      </c>
      <c r="R78" s="44">
        <v>-5.6859999999999999</v>
      </c>
    </row>
    <row r="79" spans="2:18" s="3" customFormat="1" x14ac:dyDescent="0.2">
      <c r="B79" s="3" t="s">
        <v>100</v>
      </c>
      <c r="D79" s="48"/>
      <c r="F79" s="48"/>
      <c r="H79" s="48"/>
      <c r="I79" s="43">
        <f>SUM(I76:I78)</f>
        <v>4.8490000000000002</v>
      </c>
      <c r="J79" s="62">
        <f>SUM(J76:J78)</f>
        <v>22.584</v>
      </c>
      <c r="K79" s="43">
        <f>SUM(K76:K78)</f>
        <v>25.498999999999999</v>
      </c>
      <c r="R79" s="43">
        <f>SUM(R76:R78)</f>
        <v>27.433</v>
      </c>
    </row>
    <row r="80" spans="2:18" x14ac:dyDescent="0.2">
      <c r="I80" s="44"/>
      <c r="J80" s="61"/>
      <c r="K80" s="44"/>
      <c r="R80" s="44"/>
    </row>
    <row r="81" spans="2:18" x14ac:dyDescent="0.2">
      <c r="B81" s="1" t="s">
        <v>101</v>
      </c>
      <c r="I81" s="44">
        <v>0</v>
      </c>
      <c r="J81" s="61">
        <f t="shared" ref="J81:J83" si="5">R81-I81</f>
        <v>0</v>
      </c>
      <c r="K81" s="44">
        <v>-0.45400000000000001</v>
      </c>
      <c r="R81" s="44">
        <v>0</v>
      </c>
    </row>
    <row r="82" spans="2:18" x14ac:dyDescent="0.2">
      <c r="B82" s="1" t="s">
        <v>102</v>
      </c>
      <c r="I82" s="44">
        <v>-0.20499999999999999</v>
      </c>
      <c r="J82" s="61">
        <f t="shared" si="5"/>
        <v>-6.9029999999999996</v>
      </c>
      <c r="K82" s="44">
        <v>-16.632000000000001</v>
      </c>
      <c r="R82" s="44">
        <v>-7.1079999999999997</v>
      </c>
    </row>
    <row r="83" spans="2:18" x14ac:dyDescent="0.2">
      <c r="B83" s="1" t="s">
        <v>103</v>
      </c>
      <c r="I83" s="44">
        <v>0</v>
      </c>
      <c r="J83" s="61">
        <f t="shared" si="5"/>
        <v>-2.4E-2</v>
      </c>
      <c r="K83" s="44">
        <v>-1.2999999999999999E-2</v>
      </c>
      <c r="R83" s="44">
        <v>-2.4E-2</v>
      </c>
    </row>
    <row r="84" spans="2:18" s="3" customFormat="1" x14ac:dyDescent="0.2">
      <c r="B84" s="3" t="s">
        <v>104</v>
      </c>
      <c r="D84" s="48"/>
      <c r="F84" s="48"/>
      <c r="H84" s="48"/>
      <c r="I84" s="43">
        <f>SUM(I81:I83)</f>
        <v>-0.20499999999999999</v>
      </c>
      <c r="J84" s="62">
        <f>SUM(J81:J83)</f>
        <v>-6.9269999999999996</v>
      </c>
      <c r="K84" s="43">
        <f>SUM(K81:K83)</f>
        <v>-17.099000000000004</v>
      </c>
      <c r="R84" s="43">
        <f>SUM(R81:R83)</f>
        <v>-7.1319999999999997</v>
      </c>
    </row>
    <row r="85" spans="2:18" x14ac:dyDescent="0.2">
      <c r="I85" s="44"/>
      <c r="J85" s="61"/>
      <c r="K85" s="44"/>
      <c r="R85" s="44"/>
    </row>
    <row r="86" spans="2:18" x14ac:dyDescent="0.2">
      <c r="B86" s="1" t="s">
        <v>105</v>
      </c>
      <c r="I86" s="44">
        <v>-2.9350000000000001</v>
      </c>
      <c r="J86" s="61">
        <f t="shared" ref="J86:J88" si="6">R86-I86</f>
        <v>-7.0670000000000002</v>
      </c>
      <c r="K86" s="44">
        <v>-5.1769999999999996</v>
      </c>
      <c r="R86" s="44">
        <v>-10.002000000000001</v>
      </c>
    </row>
    <row r="87" spans="2:18" x14ac:dyDescent="0.2">
      <c r="B87" s="1" t="s">
        <v>106</v>
      </c>
      <c r="I87" s="44">
        <v>18</v>
      </c>
      <c r="J87" s="61">
        <f t="shared" si="6"/>
        <v>4</v>
      </c>
      <c r="K87" s="44">
        <v>0</v>
      </c>
      <c r="R87" s="44">
        <v>22</v>
      </c>
    </row>
    <row r="88" spans="2:18" x14ac:dyDescent="0.2">
      <c r="B88" s="1" t="s">
        <v>107</v>
      </c>
      <c r="I88" s="44">
        <v>-10</v>
      </c>
      <c r="J88" s="61">
        <f t="shared" si="6"/>
        <v>-18</v>
      </c>
      <c r="K88" s="44">
        <v>-7</v>
      </c>
      <c r="R88" s="44">
        <v>-28</v>
      </c>
    </row>
    <row r="89" spans="2:18" s="3" customFormat="1" x14ac:dyDescent="0.2">
      <c r="B89" s="3" t="s">
        <v>108</v>
      </c>
      <c r="D89" s="48"/>
      <c r="F89" s="48"/>
      <c r="H89" s="48"/>
      <c r="I89" s="43">
        <f>SUM(I86:I88)</f>
        <v>5.0649999999999995</v>
      </c>
      <c r="J89" s="62">
        <f>SUM(J86:J88)</f>
        <v>-21.067</v>
      </c>
      <c r="K89" s="43">
        <f>SUM(K86:K88)</f>
        <v>-12.177</v>
      </c>
      <c r="R89" s="43">
        <f>SUM(R86:R88)</f>
        <v>-16.002000000000002</v>
      </c>
    </row>
    <row r="91" spans="2:18" x14ac:dyDescent="0.2">
      <c r="B91" s="1" t="s">
        <v>109</v>
      </c>
      <c r="I91" s="44">
        <f>+I81+I82+I83</f>
        <v>-0.20499999999999999</v>
      </c>
      <c r="J91" s="61">
        <f t="shared" ref="J91" si="7">+J81+J82+J83</f>
        <v>-6.9269999999999996</v>
      </c>
      <c r="K91" s="44">
        <f>+K81+K82+K83</f>
        <v>-17.099000000000004</v>
      </c>
      <c r="R91" s="44">
        <f>+R81+R82+R83</f>
        <v>-7.1319999999999997</v>
      </c>
    </row>
    <row r="92" spans="2:18" x14ac:dyDescent="0.2">
      <c r="B92" s="1" t="s">
        <v>110</v>
      </c>
      <c r="I92" s="44">
        <f>+I79+I91</f>
        <v>4.6440000000000001</v>
      </c>
      <c r="J92" s="61">
        <f t="shared" ref="J92" si="8">+J79+J91</f>
        <v>15.657</v>
      </c>
      <c r="K92" s="44">
        <f>+K79+K91</f>
        <v>8.399999999999995</v>
      </c>
      <c r="R92" s="44">
        <f>+R79+R91</f>
        <v>20.301000000000002</v>
      </c>
    </row>
  </sheetData>
  <hyperlinks>
    <hyperlink ref="K1" r:id="rId1" xr:uid="{4AF70136-1990-41FC-9821-A532866EF9F7}"/>
  </hyperlinks>
  <pageMargins left="0.7" right="0.7" top="0.75" bottom="0.75" header="0.3" footer="0.3"/>
  <pageSetup paperSize="125" orientation="portrait" horizontalDpi="203" verticalDpi="203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2022-07-06T18:16:50Z</dcterms:created>
  <dcterms:modified xsi:type="dcterms:W3CDTF">2023-03-08T13:05:42Z</dcterms:modified>
</cp:coreProperties>
</file>