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FD58D62-8DAD-4B2C-8F76-2C1CE54931AB}" xr6:coauthVersionLast="36" xr6:coauthVersionMax="47" xr10:uidLastSave="{00000000-0000-0000-0000-000000000000}"/>
  <bookViews>
    <workbookView xWindow="0" yWindow="495" windowWidth="33600" windowHeight="18900" xr2:uid="{1821E3F4-C005-474E-95BC-C5AE66A060FF}"/>
  </bookViews>
  <sheets>
    <sheet name="Main" sheetId="1" r:id="rId1"/>
    <sheet name="Financial Model" sheetId="2" r:id="rId2"/>
    <sheet name="Historical Projection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10" i="1"/>
  <c r="C9" i="1"/>
  <c r="C7" i="1"/>
  <c r="N77" i="2"/>
  <c r="N75" i="2"/>
  <c r="N74" i="2"/>
  <c r="N73" i="2"/>
  <c r="N72" i="2"/>
  <c r="N69" i="2"/>
  <c r="N70" i="2" s="1"/>
  <c r="N68" i="2"/>
  <c r="N3" i="2"/>
  <c r="N2" i="2"/>
  <c r="N65" i="2"/>
  <c r="N64" i="2"/>
  <c r="N66" i="2" s="1"/>
  <c r="N62" i="2"/>
  <c r="N61" i="2"/>
  <c r="N59" i="2"/>
  <c r="N58" i="2"/>
  <c r="N55" i="2"/>
  <c r="N54" i="2"/>
  <c r="N53" i="2"/>
  <c r="N52" i="2"/>
  <c r="N51" i="2"/>
  <c r="N56" i="2"/>
  <c r="N50" i="2"/>
  <c r="N49" i="2"/>
  <c r="R49" i="2"/>
  <c r="N48" i="2"/>
  <c r="N42" i="2"/>
  <c r="N47" i="2"/>
  <c r="N46" i="2"/>
  <c r="N45" i="2"/>
  <c r="N44" i="2"/>
  <c r="N43" i="2"/>
  <c r="N40" i="2"/>
  <c r="N37" i="2"/>
  <c r="N36" i="2"/>
  <c r="N35" i="2"/>
  <c r="N34" i="2"/>
  <c r="N33" i="2"/>
  <c r="N32" i="2"/>
  <c r="N31" i="2"/>
  <c r="N29" i="2"/>
  <c r="N39" i="2"/>
  <c r="N38" i="2"/>
  <c r="N30" i="2"/>
  <c r="N28" i="2"/>
  <c r="N23" i="2"/>
  <c r="N22" i="2"/>
  <c r="N21" i="2"/>
  <c r="N19" i="2"/>
  <c r="N18" i="2"/>
  <c r="N16" i="2"/>
  <c r="N14" i="2"/>
  <c r="N10" i="2"/>
  <c r="N11" i="2"/>
  <c r="N9" i="2"/>
  <c r="N8" i="2"/>
  <c r="N7" i="2"/>
  <c r="N6" i="2"/>
  <c r="N5" i="2"/>
  <c r="N4" i="2"/>
  <c r="X77" i="2"/>
  <c r="X76" i="2"/>
  <c r="X75" i="2"/>
  <c r="X74" i="2"/>
  <c r="X73" i="2"/>
  <c r="X72" i="2"/>
  <c r="X69" i="2"/>
  <c r="X70" i="2" s="1"/>
  <c r="X66" i="2"/>
  <c r="X65" i="2"/>
  <c r="X64" i="2"/>
  <c r="X62" i="2"/>
  <c r="X61" i="2"/>
  <c r="X59" i="2"/>
  <c r="X56" i="2"/>
  <c r="X49" i="2"/>
  <c r="X40" i="2"/>
  <c r="X34" i="2"/>
  <c r="X28" i="2"/>
  <c r="X21" i="2"/>
  <c r="X18" i="2"/>
  <c r="W15" i="2"/>
  <c r="X10" i="2"/>
  <c r="X12" i="2" s="1"/>
  <c r="N12" i="2" l="1"/>
  <c r="X15" i="2"/>
  <c r="X13" i="2"/>
  <c r="X22" i="2"/>
  <c r="X23" i="2"/>
  <c r="E75" i="2"/>
  <c r="D75" i="2"/>
  <c r="E74" i="2"/>
  <c r="D74" i="2"/>
  <c r="E73" i="2"/>
  <c r="D73" i="2"/>
  <c r="E72" i="2"/>
  <c r="D72" i="2"/>
  <c r="D69" i="2"/>
  <c r="D68" i="2"/>
  <c r="D65" i="2"/>
  <c r="D64" i="2"/>
  <c r="D66" i="2" s="1"/>
  <c r="D61" i="2"/>
  <c r="D62" i="2" s="1"/>
  <c r="D59" i="2"/>
  <c r="D58" i="2"/>
  <c r="D55" i="2"/>
  <c r="D54" i="2"/>
  <c r="D53" i="2"/>
  <c r="D52" i="2"/>
  <c r="D51" i="2"/>
  <c r="D50" i="2"/>
  <c r="D48" i="2"/>
  <c r="D47" i="2"/>
  <c r="D46" i="2"/>
  <c r="D45" i="2"/>
  <c r="D44" i="2"/>
  <c r="D43" i="2"/>
  <c r="D42" i="2"/>
  <c r="D39" i="2"/>
  <c r="D38" i="2"/>
  <c r="D37" i="2"/>
  <c r="D36" i="2"/>
  <c r="D35" i="2"/>
  <c r="D33" i="2"/>
  <c r="D32" i="2"/>
  <c r="D31" i="2"/>
  <c r="D34" i="2" s="1"/>
  <c r="D30" i="2"/>
  <c r="D29" i="2"/>
  <c r="D28" i="2"/>
  <c r="S77" i="2"/>
  <c r="R77" i="2"/>
  <c r="S75" i="2"/>
  <c r="R75" i="2"/>
  <c r="S72" i="2"/>
  <c r="S69" i="2"/>
  <c r="S73" i="2" s="1"/>
  <c r="R69" i="2"/>
  <c r="R73" i="2" s="1"/>
  <c r="S65" i="2"/>
  <c r="R65" i="2"/>
  <c r="S64" i="2"/>
  <c r="S66" i="2" s="1"/>
  <c r="R64" i="2"/>
  <c r="R66" i="2" s="1"/>
  <c r="S61" i="2"/>
  <c r="S62" i="2" s="1"/>
  <c r="S59" i="2"/>
  <c r="S56" i="2"/>
  <c r="R56" i="2"/>
  <c r="R61" i="2" s="1"/>
  <c r="R62" i="2" s="1"/>
  <c r="R72" i="2" s="1"/>
  <c r="S49" i="2"/>
  <c r="R40" i="2"/>
  <c r="S40" i="2"/>
  <c r="R28" i="2"/>
  <c r="R34" i="2"/>
  <c r="S34" i="2"/>
  <c r="S28" i="2"/>
  <c r="D19" i="2"/>
  <c r="D23" i="2"/>
  <c r="D22" i="2"/>
  <c r="D21" i="2"/>
  <c r="F18" i="2"/>
  <c r="E19" i="2"/>
  <c r="S23" i="2"/>
  <c r="R23" i="2"/>
  <c r="S22" i="2"/>
  <c r="R22" i="2"/>
  <c r="S15" i="2"/>
  <c r="R15" i="2"/>
  <c r="S13" i="2"/>
  <c r="R13" i="2"/>
  <c r="R12" i="2"/>
  <c r="R10" i="2"/>
  <c r="S10" i="2"/>
  <c r="S12" i="2" s="1"/>
  <c r="D2" i="2"/>
  <c r="S18" i="2"/>
  <c r="T18" i="2"/>
  <c r="S21" i="2"/>
  <c r="R21" i="2"/>
  <c r="J18" i="2"/>
  <c r="H18" i="2"/>
  <c r="F72" i="2"/>
  <c r="F73" i="2"/>
  <c r="G73" i="2"/>
  <c r="L74" i="2"/>
  <c r="K74" i="2"/>
  <c r="J74" i="2"/>
  <c r="I74" i="2"/>
  <c r="H74" i="2"/>
  <c r="G74" i="2"/>
  <c r="F74" i="2"/>
  <c r="M74" i="2"/>
  <c r="F75" i="2"/>
  <c r="H75" i="2"/>
  <c r="F70" i="2"/>
  <c r="F69" i="2"/>
  <c r="F68" i="2"/>
  <c r="F65" i="2"/>
  <c r="F64" i="2"/>
  <c r="F66" i="2" s="1"/>
  <c r="F61" i="2"/>
  <c r="F62" i="2" s="1"/>
  <c r="F59" i="2"/>
  <c r="F58" i="2"/>
  <c r="F55" i="2"/>
  <c r="F54" i="2"/>
  <c r="F53" i="2"/>
  <c r="F52" i="2"/>
  <c r="F51" i="2"/>
  <c r="F47" i="2"/>
  <c r="F46" i="2"/>
  <c r="F45" i="2"/>
  <c r="F44" i="2"/>
  <c r="F49" i="2" s="1"/>
  <c r="F43" i="2"/>
  <c r="F50" i="2"/>
  <c r="F48" i="2"/>
  <c r="F42" i="2"/>
  <c r="F37" i="2"/>
  <c r="F36" i="2"/>
  <c r="F35" i="2"/>
  <c r="F33" i="2"/>
  <c r="F32" i="2"/>
  <c r="F31" i="2"/>
  <c r="F39" i="2"/>
  <c r="F38" i="2"/>
  <c r="F34" i="2"/>
  <c r="F40" i="2" s="1"/>
  <c r="F30" i="2"/>
  <c r="F29" i="2"/>
  <c r="F28" i="2"/>
  <c r="H73" i="2"/>
  <c r="H72" i="2"/>
  <c r="J72" i="2"/>
  <c r="L72" i="2"/>
  <c r="F23" i="2"/>
  <c r="F22" i="2"/>
  <c r="F21" i="2"/>
  <c r="H23" i="2"/>
  <c r="H22" i="2"/>
  <c r="H21" i="2"/>
  <c r="I19" i="2"/>
  <c r="H19" i="2"/>
  <c r="G19" i="2"/>
  <c r="F19" i="2"/>
  <c r="J19" i="2"/>
  <c r="H69" i="2"/>
  <c r="H70" i="2" s="1"/>
  <c r="H68" i="2"/>
  <c r="H65" i="2"/>
  <c r="H64" i="2"/>
  <c r="H66" i="2" s="1"/>
  <c r="H61" i="2"/>
  <c r="H62" i="2" s="1"/>
  <c r="H58" i="2"/>
  <c r="H59" i="2"/>
  <c r="H50" i="2"/>
  <c r="H51" i="2"/>
  <c r="H55" i="2"/>
  <c r="H54" i="2"/>
  <c r="H53" i="2"/>
  <c r="H52" i="2"/>
  <c r="H47" i="2"/>
  <c r="H46" i="2"/>
  <c r="H45" i="2"/>
  <c r="H44" i="2"/>
  <c r="H48" i="2"/>
  <c r="H49" i="2"/>
  <c r="H56" i="2" s="1"/>
  <c r="H43" i="2"/>
  <c r="H42" i="2"/>
  <c r="H37" i="2"/>
  <c r="H36" i="2"/>
  <c r="H35" i="2"/>
  <c r="H33" i="2"/>
  <c r="H32" i="2"/>
  <c r="H31" i="2"/>
  <c r="H29" i="2"/>
  <c r="H39" i="2"/>
  <c r="H38" i="2"/>
  <c r="H40" i="2"/>
  <c r="H34" i="2"/>
  <c r="H30" i="2"/>
  <c r="H28" i="2"/>
  <c r="T77" i="2"/>
  <c r="T75" i="2"/>
  <c r="T73" i="2"/>
  <c r="T65" i="2"/>
  <c r="T64" i="2"/>
  <c r="T66" i="2" s="1"/>
  <c r="T61" i="2"/>
  <c r="T62" i="2" s="1"/>
  <c r="T72" i="2" s="1"/>
  <c r="T59" i="2"/>
  <c r="T49" i="2"/>
  <c r="T56" i="2" s="1"/>
  <c r="T40" i="2"/>
  <c r="T34" i="2"/>
  <c r="T28" i="2"/>
  <c r="V76" i="2"/>
  <c r="V74" i="2"/>
  <c r="U77" i="2"/>
  <c r="U65" i="2"/>
  <c r="U64" i="2"/>
  <c r="U66" i="2" s="1"/>
  <c r="U61" i="2"/>
  <c r="U62" i="2" s="1"/>
  <c r="U72" i="2" s="1"/>
  <c r="U59" i="2"/>
  <c r="U56" i="2"/>
  <c r="U49" i="2"/>
  <c r="U40" i="2"/>
  <c r="U34" i="2"/>
  <c r="U28" i="2"/>
  <c r="R59" i="2" l="1"/>
  <c r="N13" i="2"/>
  <c r="N15" i="2"/>
  <c r="D70" i="2"/>
  <c r="D49" i="2"/>
  <c r="D56" i="2" s="1"/>
  <c r="D40" i="2"/>
  <c r="R70" i="2"/>
  <c r="S70" i="2"/>
  <c r="F56" i="2"/>
  <c r="D16" i="2"/>
  <c r="S74" i="2" l="1"/>
  <c r="S76" i="2"/>
  <c r="R74" i="2"/>
  <c r="R76" i="2"/>
  <c r="AK27" i="2"/>
  <c r="Y16" i="2" l="1"/>
  <c r="Z16" i="2" s="1"/>
  <c r="AA16" i="2" s="1"/>
  <c r="AB16" i="2" s="1"/>
  <c r="AC16" i="2" s="1"/>
  <c r="AD16" i="2" s="1"/>
  <c r="AE16" i="2" s="1"/>
  <c r="AF16" i="2" s="1"/>
  <c r="AG16" i="2" s="1"/>
  <c r="AH16" i="2" s="1"/>
  <c r="J68" i="2" l="1"/>
  <c r="L68" i="2"/>
  <c r="W69" i="2"/>
  <c r="W73" i="2" s="1"/>
  <c r="V69" i="2"/>
  <c r="U69" i="2"/>
  <c r="U70" i="2" s="1"/>
  <c r="T69" i="2"/>
  <c r="T70" i="2" s="1"/>
  <c r="W65" i="2"/>
  <c r="W64" i="2"/>
  <c r="V65" i="2"/>
  <c r="V64" i="2"/>
  <c r="V66" i="2" s="1"/>
  <c r="W49" i="2"/>
  <c r="W56" i="2" s="1"/>
  <c r="W59" i="2" s="1"/>
  <c r="V49" i="2"/>
  <c r="V56" i="2" s="1"/>
  <c r="V59" i="2" s="1"/>
  <c r="J58" i="2"/>
  <c r="J55" i="2"/>
  <c r="J54" i="2"/>
  <c r="J53" i="2"/>
  <c r="J52" i="2"/>
  <c r="J51" i="2"/>
  <c r="J47" i="2"/>
  <c r="J46" i="2"/>
  <c r="J45" i="2"/>
  <c r="J44" i="2"/>
  <c r="J43" i="2"/>
  <c r="J50" i="2"/>
  <c r="J48" i="2"/>
  <c r="J42" i="2"/>
  <c r="J37" i="2"/>
  <c r="J36" i="2"/>
  <c r="J35" i="2"/>
  <c r="J33" i="2"/>
  <c r="J32" i="2"/>
  <c r="J31" i="2"/>
  <c r="J39" i="2"/>
  <c r="J38" i="2"/>
  <c r="J30" i="2"/>
  <c r="J29" i="2"/>
  <c r="V28" i="2"/>
  <c r="V34" i="2" s="1"/>
  <c r="V40" i="2" s="1"/>
  <c r="W28" i="2"/>
  <c r="W34" i="2" s="1"/>
  <c r="W40" i="2" s="1"/>
  <c r="T21" i="2"/>
  <c r="F2" i="2"/>
  <c r="H2" i="2"/>
  <c r="T10" i="2"/>
  <c r="T23" i="2" s="1"/>
  <c r="U21" i="2"/>
  <c r="U10" i="2"/>
  <c r="U23" i="2" s="1"/>
  <c r="V18" i="2"/>
  <c r="U18" i="2"/>
  <c r="H3" i="2"/>
  <c r="T74" i="2" l="1"/>
  <c r="T76" i="2"/>
  <c r="U74" i="2"/>
  <c r="U76" i="2"/>
  <c r="J28" i="2"/>
  <c r="J34" i="2" s="1"/>
  <c r="J40" i="2" s="1"/>
  <c r="W66" i="2"/>
  <c r="W70" i="2" s="1"/>
  <c r="Y4" i="2"/>
  <c r="J65" i="2"/>
  <c r="J64" i="2"/>
  <c r="V77" i="2"/>
  <c r="V61" i="2"/>
  <c r="V62" i="2" s="1"/>
  <c r="V72" i="2" s="1"/>
  <c r="W77" i="2"/>
  <c r="W61" i="2"/>
  <c r="W62" i="2" s="1"/>
  <c r="W72" i="2" s="1"/>
  <c r="U73" i="2"/>
  <c r="V70" i="2"/>
  <c r="V73" i="2"/>
  <c r="J49" i="2"/>
  <c r="J56" i="2" s="1"/>
  <c r="J61" i="2" s="1"/>
  <c r="U12" i="2"/>
  <c r="T12" i="2"/>
  <c r="D14" i="2"/>
  <c r="D11" i="2"/>
  <c r="D9" i="2"/>
  <c r="D8" i="2"/>
  <c r="D7" i="2"/>
  <c r="D6" i="2"/>
  <c r="D5" i="2"/>
  <c r="D4" i="2"/>
  <c r="F16" i="2"/>
  <c r="F14" i="2"/>
  <c r="F11" i="2"/>
  <c r="F9" i="2"/>
  <c r="F8" i="2"/>
  <c r="F7" i="2"/>
  <c r="F6" i="2"/>
  <c r="F5" i="2"/>
  <c r="F4" i="2"/>
  <c r="H16" i="2"/>
  <c r="H14" i="2"/>
  <c r="H11" i="2"/>
  <c r="H9" i="2"/>
  <c r="H8" i="2"/>
  <c r="H7" i="2"/>
  <c r="H6" i="2"/>
  <c r="H5" i="2"/>
  <c r="H4" i="2"/>
  <c r="W74" i="2" l="1"/>
  <c r="A74" i="2" s="1"/>
  <c r="W76" i="2"/>
  <c r="A76" i="2"/>
  <c r="Z4" i="2"/>
  <c r="Y5" i="2"/>
  <c r="J66" i="2"/>
  <c r="D10" i="2"/>
  <c r="D12" i="2" s="1"/>
  <c r="D15" i="2" s="1"/>
  <c r="J59" i="2"/>
  <c r="T15" i="2"/>
  <c r="T13" i="2"/>
  <c r="T22" i="2"/>
  <c r="U15" i="2"/>
  <c r="U75" i="2" s="1"/>
  <c r="U22" i="2"/>
  <c r="U13" i="2"/>
  <c r="F10" i="2"/>
  <c r="F12" i="2" s="1"/>
  <c r="F13" i="2" s="1"/>
  <c r="H10" i="2"/>
  <c r="H12" i="2" s="1"/>
  <c r="J2" i="2"/>
  <c r="J16" i="2"/>
  <c r="J69" i="2" s="1"/>
  <c r="J11" i="2"/>
  <c r="J14" i="2"/>
  <c r="J9" i="2"/>
  <c r="J8" i="2"/>
  <c r="J7" i="2"/>
  <c r="J6" i="2"/>
  <c r="J5" i="2"/>
  <c r="J4" i="2"/>
  <c r="K19" i="2" s="1"/>
  <c r="L58" i="2"/>
  <c r="L55" i="2"/>
  <c r="L54" i="2"/>
  <c r="L53" i="2"/>
  <c r="L52" i="2"/>
  <c r="L51" i="2"/>
  <c r="L47" i="2"/>
  <c r="L46" i="2"/>
  <c r="L45" i="2"/>
  <c r="L44" i="2"/>
  <c r="L43" i="2"/>
  <c r="L37" i="2"/>
  <c r="L36" i="2"/>
  <c r="L35" i="2"/>
  <c r="L33" i="2"/>
  <c r="L32" i="2"/>
  <c r="L31" i="2"/>
  <c r="L30" i="2"/>
  <c r="L50" i="2"/>
  <c r="L48" i="2"/>
  <c r="L42" i="2"/>
  <c r="L39" i="2"/>
  <c r="L38" i="2"/>
  <c r="L29" i="2"/>
  <c r="L28" i="2"/>
  <c r="L14" i="2"/>
  <c r="L16" i="2"/>
  <c r="L69" i="2" s="1"/>
  <c r="L11" i="2"/>
  <c r="L9" i="2"/>
  <c r="L8" i="2"/>
  <c r="L7" i="2"/>
  <c r="L6" i="2"/>
  <c r="L3" i="2"/>
  <c r="L2" i="2"/>
  <c r="L5" i="2"/>
  <c r="L4" i="2"/>
  <c r="M19" i="2" s="1"/>
  <c r="W21" i="2"/>
  <c r="V21" i="2"/>
  <c r="W18" i="2"/>
  <c r="V10" i="2"/>
  <c r="V12" i="2" s="1"/>
  <c r="W10" i="2"/>
  <c r="W23" i="2" s="1"/>
  <c r="D13" i="2" l="1"/>
  <c r="Y21" i="2"/>
  <c r="Y9" i="2"/>
  <c r="Z9" i="2" s="1"/>
  <c r="AA4" i="2"/>
  <c r="Z5" i="2"/>
  <c r="L64" i="2"/>
  <c r="J70" i="2"/>
  <c r="J73" i="2"/>
  <c r="J21" i="2"/>
  <c r="J77" i="2"/>
  <c r="L73" i="2"/>
  <c r="J62" i="2"/>
  <c r="L65" i="2"/>
  <c r="L66" i="2" s="1"/>
  <c r="L70" i="2" s="1"/>
  <c r="L34" i="2"/>
  <c r="L40" i="2" s="1"/>
  <c r="L77" i="2" s="1"/>
  <c r="J10" i="2"/>
  <c r="J23" i="2" s="1"/>
  <c r="L10" i="2"/>
  <c r="L12" i="2" s="1"/>
  <c r="L18" i="2"/>
  <c r="F15" i="2"/>
  <c r="L49" i="2"/>
  <c r="L56" i="2" s="1"/>
  <c r="L59" i="2" s="1"/>
  <c r="H13" i="2"/>
  <c r="H15" i="2"/>
  <c r="L21" i="2"/>
  <c r="L19" i="2"/>
  <c r="V15" i="2"/>
  <c r="V75" i="2" s="1"/>
  <c r="V13" i="2"/>
  <c r="V22" i="2"/>
  <c r="W12" i="2"/>
  <c r="V23" i="2"/>
  <c r="C65" i="2"/>
  <c r="C64" i="2"/>
  <c r="C66" i="2" s="1"/>
  <c r="E65" i="2"/>
  <c r="E64" i="2"/>
  <c r="C49" i="2"/>
  <c r="C56" i="2" s="1"/>
  <c r="C59" i="2" s="1"/>
  <c r="E49" i="2"/>
  <c r="E56" i="2" s="1"/>
  <c r="E59" i="2" s="1"/>
  <c r="C28" i="2"/>
  <c r="C34" i="2" s="1"/>
  <c r="C40" i="2" s="1"/>
  <c r="C61" i="2" s="1"/>
  <c r="C62" i="2" s="1"/>
  <c r="C72" i="2" s="1"/>
  <c r="E28" i="2"/>
  <c r="E34" i="2" s="1"/>
  <c r="E40" i="2" s="1"/>
  <c r="E18" i="2"/>
  <c r="G18" i="2"/>
  <c r="C21" i="2"/>
  <c r="E21" i="2"/>
  <c r="C10" i="2"/>
  <c r="C12" i="2" s="1"/>
  <c r="E10" i="2"/>
  <c r="E12" i="2" s="1"/>
  <c r="C69" i="2"/>
  <c r="E69" i="2"/>
  <c r="G69" i="2"/>
  <c r="I69" i="2"/>
  <c r="I73" i="2" s="1"/>
  <c r="G65" i="2"/>
  <c r="G64" i="2"/>
  <c r="I65" i="2"/>
  <c r="I64" i="2"/>
  <c r="K65" i="2"/>
  <c r="M65" i="2"/>
  <c r="G49" i="2"/>
  <c r="G56" i="2" s="1"/>
  <c r="G59" i="2" s="1"/>
  <c r="I49" i="2"/>
  <c r="I56" i="2" s="1"/>
  <c r="I59" i="2" s="1"/>
  <c r="M49" i="2"/>
  <c r="M56" i="2" s="1"/>
  <c r="M59" i="2" s="1"/>
  <c r="K49" i="2"/>
  <c r="K56" i="2" s="1"/>
  <c r="K59" i="2" s="1"/>
  <c r="G28" i="2"/>
  <c r="G34" i="2" s="1"/>
  <c r="G40" i="2" s="1"/>
  <c r="I28" i="2"/>
  <c r="I34" i="2" s="1"/>
  <c r="I40" i="2" s="1"/>
  <c r="I18" i="2"/>
  <c r="G21" i="2"/>
  <c r="I21" i="2"/>
  <c r="K18" i="2"/>
  <c r="G10" i="2"/>
  <c r="G23" i="2" s="1"/>
  <c r="I10" i="2"/>
  <c r="I12" i="2" s="1"/>
  <c r="K69" i="2"/>
  <c r="K73" i="2" s="1"/>
  <c r="K64" i="2"/>
  <c r="K28" i="2"/>
  <c r="K34" i="2" s="1"/>
  <c r="K40" i="2" s="1"/>
  <c r="D11" i="1"/>
  <c r="D10" i="1"/>
  <c r="D9" i="1"/>
  <c r="D7" i="1"/>
  <c r="C8" i="1"/>
  <c r="M69" i="2"/>
  <c r="M73" i="2" s="1"/>
  <c r="M64" i="2"/>
  <c r="M28" i="2"/>
  <c r="M34" i="2" s="1"/>
  <c r="M40" i="2" s="1"/>
  <c r="K21" i="2"/>
  <c r="M21" i="2"/>
  <c r="M18" i="2"/>
  <c r="K10" i="2"/>
  <c r="K12" i="2" s="1"/>
  <c r="K15" i="2" s="1"/>
  <c r="M10" i="2"/>
  <c r="M12" i="2" s="1"/>
  <c r="J12" i="2" l="1"/>
  <c r="J15" i="2" s="1"/>
  <c r="J75" i="2" s="1"/>
  <c r="Z21" i="2"/>
  <c r="AB4" i="2"/>
  <c r="AA5" i="2"/>
  <c r="Y8" i="2"/>
  <c r="AA9" i="2"/>
  <c r="K77" i="2"/>
  <c r="L23" i="2"/>
  <c r="M77" i="2"/>
  <c r="I77" i="2"/>
  <c r="I66" i="2"/>
  <c r="I70" i="2" s="1"/>
  <c r="A73" i="2"/>
  <c r="E61" i="2"/>
  <c r="E62" i="2" s="1"/>
  <c r="J13" i="2"/>
  <c r="J22" i="2"/>
  <c r="E66" i="2"/>
  <c r="E70" i="2" s="1"/>
  <c r="L61" i="2"/>
  <c r="L62" i="2" s="1"/>
  <c r="E23" i="2"/>
  <c r="C23" i="2"/>
  <c r="G66" i="2"/>
  <c r="L22" i="2"/>
  <c r="L15" i="2"/>
  <c r="L75" i="2" s="1"/>
  <c r="L13" i="2"/>
  <c r="W13" i="2"/>
  <c r="W22" i="2"/>
  <c r="W75" i="2"/>
  <c r="C70" i="2"/>
  <c r="C15" i="2"/>
  <c r="C13" i="2"/>
  <c r="C22" i="2"/>
  <c r="G61" i="2"/>
  <c r="G62" i="2" s="1"/>
  <c r="G72" i="2" s="1"/>
  <c r="E22" i="2"/>
  <c r="E13" i="2"/>
  <c r="E15" i="2"/>
  <c r="I61" i="2"/>
  <c r="I62" i="2" s="1"/>
  <c r="I72" i="2" s="1"/>
  <c r="M23" i="2"/>
  <c r="G70" i="2"/>
  <c r="K66" i="2"/>
  <c r="K70" i="2" s="1"/>
  <c r="G12" i="2"/>
  <c r="G22" i="2" s="1"/>
  <c r="K61" i="2"/>
  <c r="K62" i="2" s="1"/>
  <c r="K72" i="2" s="1"/>
  <c r="M61" i="2"/>
  <c r="M62" i="2" s="1"/>
  <c r="I22" i="2"/>
  <c r="I13" i="2"/>
  <c r="I15" i="2"/>
  <c r="I75" i="2" s="1"/>
  <c r="I23" i="2"/>
  <c r="M66" i="2"/>
  <c r="M70" i="2" s="1"/>
  <c r="C11" i="1"/>
  <c r="M15" i="2"/>
  <c r="M13" i="2"/>
  <c r="M22" i="2"/>
  <c r="K22" i="2"/>
  <c r="K23" i="2"/>
  <c r="K13" i="2"/>
  <c r="Z8" i="2" l="1"/>
  <c r="AA8" i="2" s="1"/>
  <c r="AA10" i="2" s="1"/>
  <c r="Y10" i="2"/>
  <c r="AA21" i="2"/>
  <c r="AC4" i="2"/>
  <c r="AB5" i="2"/>
  <c r="AB9" i="2"/>
  <c r="C12" i="1"/>
  <c r="AK24" i="2"/>
  <c r="K75" i="2"/>
  <c r="M75" i="2"/>
  <c r="M72" i="2"/>
  <c r="A72" i="2" s="1"/>
  <c r="G15" i="2"/>
  <c r="G75" i="2" s="1"/>
  <c r="G13" i="2"/>
  <c r="AB21" i="2" l="1"/>
  <c r="AD4" i="2"/>
  <c r="AC5" i="2"/>
  <c r="AC9" i="2"/>
  <c r="AA11" i="2"/>
  <c r="AA12" i="2" s="1"/>
  <c r="Y11" i="2"/>
  <c r="Y12" i="2" s="1"/>
  <c r="AB8" i="2"/>
  <c r="AC8" i="2" s="1"/>
  <c r="Z10" i="2"/>
  <c r="AD8" i="2" l="1"/>
  <c r="AC10" i="2"/>
  <c r="AC21" i="2"/>
  <c r="Y14" i="2"/>
  <c r="Y13" i="2" s="1"/>
  <c r="Y15" i="2" s="1"/>
  <c r="Y68" i="2" s="1"/>
  <c r="Y22" i="2"/>
  <c r="AE4" i="2"/>
  <c r="AD5" i="2"/>
  <c r="AA22" i="2"/>
  <c r="AA14" i="2"/>
  <c r="AA13" i="2" s="1"/>
  <c r="AA15" i="2" s="1"/>
  <c r="AA68" i="2" s="1"/>
  <c r="AB10" i="2"/>
  <c r="AD9" i="2"/>
  <c r="Z11" i="2"/>
  <c r="Z12" i="2" s="1"/>
  <c r="AB11" i="2" l="1"/>
  <c r="AB12" i="2" s="1"/>
  <c r="AC11" i="2"/>
  <c r="AC12" i="2" s="1"/>
  <c r="AD10" i="2"/>
  <c r="AD21" i="2"/>
  <c r="AE9" i="2"/>
  <c r="Z22" i="2"/>
  <c r="Z14" i="2"/>
  <c r="Z13" i="2" s="1"/>
  <c r="Z15" i="2" s="1"/>
  <c r="Z68" i="2" s="1"/>
  <c r="AF4" i="2"/>
  <c r="AE5" i="2"/>
  <c r="AE8" i="2"/>
  <c r="AE10" i="2" l="1"/>
  <c r="AE21" i="2"/>
  <c r="AC14" i="2"/>
  <c r="AC13" i="2" s="1"/>
  <c r="AC15" i="2" s="1"/>
  <c r="AC68" i="2" s="1"/>
  <c r="AC22" i="2"/>
  <c r="AF8" i="2"/>
  <c r="AB14" i="2"/>
  <c r="AB13" i="2" s="1"/>
  <c r="AB15" i="2" s="1"/>
  <c r="AB68" i="2" s="1"/>
  <c r="AB22" i="2"/>
  <c r="AG4" i="2"/>
  <c r="AF5" i="2"/>
  <c r="AD11" i="2"/>
  <c r="AD12" i="2" s="1"/>
  <c r="AF9" i="2"/>
  <c r="AD14" i="2" l="1"/>
  <c r="AD13" i="2" s="1"/>
  <c r="AD15" i="2" s="1"/>
  <c r="AD68" i="2" s="1"/>
  <c r="AD22" i="2"/>
  <c r="AF10" i="2"/>
  <c r="AF21" i="2"/>
  <c r="AH4" i="2"/>
  <c r="AH5" i="2" s="1"/>
  <c r="AG5" i="2"/>
  <c r="AE11" i="2"/>
  <c r="AE12" i="2" s="1"/>
  <c r="AG9" i="2"/>
  <c r="AH9" i="2" s="1"/>
  <c r="AG8" i="2"/>
  <c r="AH8" i="2" s="1"/>
  <c r="AH10" i="2" l="1"/>
  <c r="AH21" i="2"/>
  <c r="AF11" i="2"/>
  <c r="AF12" i="2" s="1"/>
  <c r="AE14" i="2"/>
  <c r="AE13" i="2" s="1"/>
  <c r="AE15" i="2" s="1"/>
  <c r="AE68" i="2" s="1"/>
  <c r="AE22" i="2"/>
  <c r="AG10" i="2"/>
  <c r="AG21" i="2"/>
  <c r="AG11" i="2" l="1"/>
  <c r="AG12" i="2" s="1"/>
  <c r="AF14" i="2"/>
  <c r="AF13" i="2" s="1"/>
  <c r="AF15" i="2" s="1"/>
  <c r="AF68" i="2" s="1"/>
  <c r="AF22" i="2"/>
  <c r="AH11" i="2"/>
  <c r="AH12" i="2" s="1"/>
  <c r="AI12" i="2" l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AK23" i="2" s="1"/>
  <c r="AK25" i="2" s="1"/>
  <c r="AK26" i="2" s="1"/>
  <c r="AK28" i="2" s="1"/>
  <c r="AH14" i="2"/>
  <c r="AH13" i="2" s="1"/>
  <c r="AH15" i="2" s="1"/>
  <c r="AH68" i="2" s="1"/>
  <c r="AH22" i="2"/>
  <c r="AG14" i="2"/>
  <c r="AG13" i="2" s="1"/>
  <c r="AG15" i="2" s="1"/>
  <c r="AG68" i="2" s="1"/>
  <c r="AG22" i="2"/>
  <c r="A75" i="2" l="1"/>
</calcChain>
</file>

<file path=xl/sharedStrings.xml><?xml version="1.0" encoding="utf-8"?>
<sst xmlns="http://schemas.openxmlformats.org/spreadsheetml/2006/main" count="177" uniqueCount="121">
  <si>
    <t>£HLMA</t>
  </si>
  <si>
    <t>Halma Plc</t>
  </si>
  <si>
    <t>Global group of safety equipment companies for hazard detection &amp; life protection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</si>
  <si>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</si>
  <si>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</si>
  <si>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</si>
  <si>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</si>
  <si>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</si>
  <si>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</si>
  <si>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</si>
  <si>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</si>
  <si>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</si>
  <si>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</si>
  <si>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</si>
  <si>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</si>
  <si>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</si>
  <si>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</si>
  <si>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</si>
  <si>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</si>
  <si>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</si>
  <si>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</si>
  <si>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Metrics &amp; Ratios</t>
  </si>
  <si>
    <t>P/B</t>
  </si>
  <si>
    <t>P/S</t>
  </si>
  <si>
    <t>EV/S</t>
  </si>
  <si>
    <t>P/E</t>
  </si>
  <si>
    <t>EV/E</t>
  </si>
  <si>
    <t>ROCE</t>
  </si>
  <si>
    <t>Key Events</t>
  </si>
  <si>
    <t>Revenue</t>
  </si>
  <si>
    <t>Link</t>
  </si>
  <si>
    <t>Amersham, UK</t>
  </si>
  <si>
    <t>Andrew Williams</t>
  </si>
  <si>
    <t>Marc Ronchetti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</si>
  <si>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</si>
  <si>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</si>
  <si>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</si>
  <si>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</si>
  <si>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</si>
  <si>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</si>
  <si>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</si>
  <si>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</si>
  <si>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</si>
  <si>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</si>
  <si>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</si>
  <si>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</si>
  <si>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</si>
  <si>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</si>
  <si>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</si>
  <si>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</si>
  <si>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</si>
  <si>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</si>
  <si>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</si>
  <si>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</si>
  <si>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</si>
  <si>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</si>
  <si>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</si>
  <si>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</si>
  <si>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</si>
  <si>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</si>
  <si>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</si>
  <si>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Operating Profit</t>
  </si>
  <si>
    <t>Results of Associates</t>
  </si>
  <si>
    <t>Gain on Disposal of Operations</t>
  </si>
  <si>
    <t>Finance Income</t>
  </si>
  <si>
    <t>Finance Expenses</t>
  </si>
  <si>
    <t>Pretax Income</t>
  </si>
  <si>
    <t>Taxes</t>
  </si>
  <si>
    <t>Net Income</t>
  </si>
  <si>
    <t>Net Income (Non Controlling)</t>
  </si>
  <si>
    <t>EPS</t>
  </si>
  <si>
    <t>Net Income (Parent)</t>
  </si>
  <si>
    <t>Revenue Y/Y</t>
  </si>
  <si>
    <t>Revenue H/H</t>
  </si>
  <si>
    <t>Operating Margin</t>
  </si>
  <si>
    <t>Net Margin</t>
  </si>
  <si>
    <t>Balance Sheet</t>
  </si>
  <si>
    <t>Goodwill+Intangibles</t>
  </si>
  <si>
    <t>PP&amp;E</t>
  </si>
  <si>
    <t>Investments in Associates &amp; Other</t>
  </si>
  <si>
    <t>Retirement Benefit</t>
  </si>
  <si>
    <t>Tax Receivables</t>
  </si>
  <si>
    <t>Deferred Taxes</t>
  </si>
  <si>
    <t>Total NCA</t>
  </si>
  <si>
    <t>Inventories</t>
  </si>
  <si>
    <t>Trade &amp; A/R</t>
  </si>
  <si>
    <t>Cash &amp; Bank Balances</t>
  </si>
  <si>
    <t>Assets</t>
  </si>
  <si>
    <t>Borrowings</t>
  </si>
  <si>
    <t>Lease Liabilities</t>
  </si>
  <si>
    <t>Retirement Benefit Obligations</t>
  </si>
  <si>
    <t>Trade &amp; A/P</t>
  </si>
  <si>
    <t>Provisions</t>
  </si>
  <si>
    <t>Liabilities</t>
  </si>
  <si>
    <t>Derivative Financial Instruments</t>
  </si>
  <si>
    <t>S/E</t>
  </si>
  <si>
    <t>S/E+L</t>
  </si>
  <si>
    <t>Book Value</t>
  </si>
  <si>
    <t>Book Value per Share</t>
  </si>
  <si>
    <t>Share Price</t>
  </si>
  <si>
    <t>TCL</t>
  </si>
  <si>
    <t>H217</t>
  </si>
  <si>
    <t>H117</t>
  </si>
  <si>
    <t>FY17</t>
  </si>
  <si>
    <t>Tax Rate</t>
  </si>
  <si>
    <t>-</t>
  </si>
  <si>
    <t>FY16</t>
  </si>
  <si>
    <t>(Projected)</t>
  </si>
  <si>
    <t>Maturity Rate</t>
  </si>
  <si>
    <t>Discount Rate</t>
  </si>
  <si>
    <t>NPV</t>
  </si>
  <si>
    <t>Total Value</t>
  </si>
  <si>
    <t>Per Share</t>
  </si>
  <si>
    <t>S/P</t>
  </si>
  <si>
    <t>Upside</t>
  </si>
  <si>
    <t>Segments</t>
  </si>
  <si>
    <t>Safety Sector</t>
  </si>
  <si>
    <t>Health Care Sector</t>
  </si>
  <si>
    <t>Environmental &amp; Analysis Sector</t>
  </si>
  <si>
    <t>Company Info</t>
  </si>
  <si>
    <t>FTSE 100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</si>
</sst>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_);[Red]\(#,##0.0\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2" fillId="5" borderId="4" xfId="0" applyFont="1" applyFill="1" applyBorder="1"/>
    <xf numFmtId="0" fontId="2" fillId="5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2" fillId="2" borderId="4" xfId="0" applyFont="1" applyFill="1" applyBorder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5" borderId="4" xfId="0" applyFont="1" applyFill="1" applyBorder="1"/>
    <xf numFmtId="0" fontId="0" fillId="5" borderId="4" xfId="0" applyFill="1" applyBorder="1"/>
    <xf numFmtId="0" fontId="1" fillId="5" borderId="6" xfId="0" applyFont="1" applyFill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2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6" fillId="0" borderId="0" xfId="1" applyFont="1" applyAlignment="1">
      <alignment horizontal="right"/>
    </xf>
    <xf numFmtId="16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6" borderId="0" xfId="0" applyNumberFormat="1" applyFont="1" applyFill="1"/>
    <xf numFmtId="164" fontId="1" fillId="6" borderId="0" xfId="0" applyNumberFormat="1" applyFont="1" applyFill="1"/>
    <xf numFmtId="4" fontId="1" fillId="0" borderId="0" xfId="0" applyNumberFormat="1" applyFont="1"/>
    <xf numFmtId="4" fontId="1" fillId="6" borderId="0" xfId="0" applyNumberFormat="1" applyFont="1" applyFill="1"/>
    <xf numFmtId="9" fontId="1" fillId="0" borderId="0" xfId="0" applyNumberFormat="1" applyFont="1"/>
    <xf numFmtId="9" fontId="1" fillId="6" borderId="0" xfId="0" applyNumberFormat="1" applyFont="1" applyFill="1"/>
    <xf numFmtId="9" fontId="2" fillId="0" borderId="0" xfId="0" applyNumberFormat="1" applyFont="1"/>
    <xf numFmtId="9" fontId="2" fillId="6" borderId="0" xfId="0" applyNumberFormat="1" applyFont="1" applyFill="1"/>
    <xf numFmtId="0" fontId="7" fillId="0" borderId="0" xfId="0" applyFont="1"/>
    <xf numFmtId="165" fontId="1" fillId="0" borderId="0" xfId="0" applyNumberFormat="1" applyFont="1"/>
    <xf numFmtId="16" fontId="1" fillId="2" borderId="5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5" fontId="8" fillId="0" borderId="0" xfId="0" applyNumberFormat="1" applyFont="1"/>
    <xf numFmtId="0" fontId="9" fillId="7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164" fontId="9" fillId="7" borderId="0" xfId="0" applyNumberFormat="1" applyFont="1" applyFill="1"/>
    <xf numFmtId="164" fontId="11" fillId="7" borderId="0" xfId="0" applyNumberFormat="1" applyFont="1" applyFill="1"/>
    <xf numFmtId="4" fontId="11" fillId="7" borderId="0" xfId="0" applyNumberFormat="1" applyFont="1" applyFill="1"/>
    <xf numFmtId="9" fontId="9" fillId="7" borderId="0" xfId="0" applyNumberFormat="1" applyFont="1" applyFill="1"/>
    <xf numFmtId="9" fontId="11" fillId="7" borderId="0" xfId="0" applyNumberFormat="1" applyFont="1" applyFill="1"/>
    <xf numFmtId="0" fontId="11" fillId="7" borderId="0" xfId="0" applyFont="1" applyFill="1"/>
    <xf numFmtId="14" fontId="4" fillId="6" borderId="0" xfId="0" applyNumberFormat="1" applyFont="1" applyFill="1" applyAlignment="1">
      <alignment horizontal="right"/>
    </xf>
    <xf numFmtId="16" fontId="4" fillId="6" borderId="0" xfId="0" applyNumberFormat="1" applyFont="1" applyFill="1" applyAlignment="1">
      <alignment horizontal="right"/>
    </xf>
    <xf numFmtId="165" fontId="1" fillId="6" borderId="0" xfId="0" applyNumberFormat="1" applyFont="1" applyFill="1"/>
    <xf numFmtId="0" fontId="12" fillId="0" borderId="0" xfId="1" applyFont="1" applyAlignment="1">
      <alignment horizontal="right"/>
    </xf>
    <xf numFmtId="9" fontId="1" fillId="4" borderId="1" xfId="0" applyNumberFormat="1" applyFont="1" applyFill="1" applyBorder="1"/>
    <xf numFmtId="9" fontId="1" fillId="4" borderId="4" xfId="0" applyNumberFormat="1" applyFont="1" applyFill="1" applyBorder="1"/>
    <xf numFmtId="0" fontId="1" fillId="4" borderId="4" xfId="0" applyFont="1" applyFill="1" applyBorder="1"/>
    <xf numFmtId="0" fontId="2" fillId="4" borderId="4" xfId="0" applyFont="1" applyFill="1" applyBorder="1"/>
    <xf numFmtId="0" fontId="1" fillId="4" borderId="6" xfId="0" applyFont="1" applyFill="1" applyBorder="1"/>
    <xf numFmtId="9" fontId="1" fillId="2" borderId="3" xfId="0" applyNumberFormat="1" applyFont="1" applyFill="1" applyBorder="1"/>
    <xf numFmtId="9" fontId="1" fillId="2" borderId="5" xfId="0" applyNumberFormat="1" applyFont="1" applyFill="1" applyBorder="1"/>
    <xf numFmtId="166" fontId="1" fillId="2" borderId="5" xfId="0" applyNumberFormat="1" applyFont="1" applyFill="1" applyBorder="1"/>
    <xf numFmtId="164" fontId="1" fillId="2" borderId="5" xfId="0" applyNumberFormat="1" applyFont="1" applyFill="1" applyBorder="1"/>
    <xf numFmtId="4" fontId="2" fillId="2" borderId="5" xfId="0" applyNumberFormat="1" applyFont="1" applyFill="1" applyBorder="1"/>
    <xf numFmtId="9" fontId="1" fillId="2" borderId="8" xfId="0" applyNumberFormat="1" applyFont="1" applyFill="1" applyBorder="1"/>
    <xf numFmtId="0" fontId="1" fillId="2" borderId="4" xfId="0" applyFont="1" applyFill="1" applyBorder="1"/>
    <xf numFmtId="0" fontId="2" fillId="2" borderId="4" xfId="0" applyFont="1" applyFill="1" applyBorder="1"/>
    <xf numFmtId="0" fontId="1" fillId="2" borderId="4" xfId="0" applyFont="1" applyFill="1" applyBorder="1" applyAlignment="1">
      <alignment horizontal="left" indent="1"/>
    </xf>
    <xf numFmtId="0" fontId="1" fillId="2" borderId="6" xfId="0" applyFont="1" applyFill="1" applyBorder="1"/>
    <xf numFmtId="4" fontId="11" fillId="0" borderId="0" xfId="0" applyNumberFormat="1" applyFont="1"/>
    <xf numFmtId="0" fontId="11" fillId="0" borderId="0" xfId="0" applyFont="1"/>
    <xf numFmtId="165" fontId="11" fillId="0" borderId="0" xfId="0" applyNumberFormat="1" applyFont="1"/>
    <xf numFmtId="2" fontId="1" fillId="0" borderId="0" xfId="0" applyNumberFormat="1" applyFont="1"/>
    <xf numFmtId="16" fontId="1" fillId="0" borderId="0" xfId="0" applyNumberFormat="1" applyFont="1"/>
    <xf numFmtId="9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9" fontId="2" fillId="6" borderId="0" xfId="0" applyNumberFormat="1" applyFont="1" applyFill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/>
    <xf numFmtId="4" fontId="1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0" fontId="6" fillId="0" borderId="0" xfId="1" applyFont="1" applyFill="1" applyAlignment="1">
      <alignment horizontal="right"/>
    </xf>
    <xf numFmtId="16" fontId="4" fillId="0" borderId="0" xfId="0" applyNumberFormat="1" applyFont="1" applyFill="1" applyAlignment="1">
      <alignment horizontal="right"/>
    </xf>
    <xf numFmtId="0" fontId="6" fillId="8" borderId="0" xfId="1" applyFont="1" applyFill="1" applyAlignment="1">
      <alignment horizontal="right"/>
    </xf>
    <xf numFmtId="14" fontId="4" fillId="8" borderId="0" xfId="0" applyNumberFormat="1" applyFont="1" applyFill="1" applyAlignment="1">
      <alignment horizontal="right"/>
    </xf>
    <xf numFmtId="164" fontId="2" fillId="8" borderId="0" xfId="0" applyNumberFormat="1" applyFont="1" applyFill="1"/>
    <xf numFmtId="164" fontId="1" fillId="8" borderId="0" xfId="0" applyNumberFormat="1" applyFont="1" applyFill="1"/>
    <xf numFmtId="4" fontId="1" fillId="8" borderId="0" xfId="0" applyNumberFormat="1" applyFont="1" applyFill="1"/>
    <xf numFmtId="0" fontId="1" fillId="8" borderId="0" xfId="0" applyFont="1" applyFill="1"/>
    <xf numFmtId="9" fontId="2" fillId="8" borderId="0" xfId="0" applyNumberFormat="1" applyFont="1" applyFill="1"/>
    <xf numFmtId="9" fontId="1" fillId="8" borderId="0" xfId="0" applyNumberFormat="1" applyFont="1" applyFill="1" applyAlignment="1">
      <alignment horizontal="right"/>
    </xf>
    <xf numFmtId="9" fontId="1" fillId="8" borderId="0" xfId="0" applyNumberFormat="1" applyFont="1" applyFill="1"/>
    <xf numFmtId="0" fontId="2" fillId="9" borderId="0" xfId="0" applyFont="1" applyFill="1" applyAlignment="1">
      <alignment horizontal="right"/>
    </xf>
    <xf numFmtId="0" fontId="4" fillId="9" borderId="0" xfId="0" applyFont="1" applyFill="1" applyAlignment="1">
      <alignment horizontal="right"/>
    </xf>
    <xf numFmtId="164" fontId="2" fillId="9" borderId="0" xfId="0" applyNumberFormat="1" applyFont="1" applyFill="1"/>
    <xf numFmtId="164" fontId="1" fillId="9" borderId="0" xfId="0" applyNumberFormat="1" applyFont="1" applyFill="1"/>
    <xf numFmtId="4" fontId="1" fillId="9" borderId="0" xfId="0" applyNumberFormat="1" applyFont="1" applyFill="1"/>
    <xf numFmtId="0" fontId="1" fillId="9" borderId="0" xfId="0" applyFont="1" applyFill="1"/>
    <xf numFmtId="9" fontId="2" fillId="9" borderId="0" xfId="0" applyNumberFormat="1" applyFont="1" applyFill="1"/>
    <xf numFmtId="9" fontId="1" fillId="9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161926</xdr:colOff>
      <xdr:row>0</xdr:row>
      <xdr:rowOff>123412</xdr:rowOff>
    </xdr:from>
    <xdr:to>
      <xdr:col>4</xdr:col>
      <xdr:colOff>510009</xdr:colOff>
      <xdr:row>3</xdr:row>
      <xdr:rowOff>19050</xdr:rowOff>
    </xdr:to>
    <xdr:pic>
      <xdr:nvPicPr>
        <xdr:cNvPr id="2" name="Picture 1" descr="Castell Safety Halma named Britain's Most Admired Company 2020 - News &amp;  Insights">
          <a:extLst>
            <a:ext uri="{FF2B5EF4-FFF2-40B4-BE49-F238E27FC236}">
              <a16:creationId xmlns:a16="http://schemas.microsoft.com/office/drawing/2014/main" id="{6ADC4337-D34B-4588-8040-F015D4DC2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6" y="123412"/>
          <a:ext cx="1567283" cy="38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14</xdr:col>
      <xdr:colOff>0</xdr:colOff>
      <xdr:row>106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B430B1-32D9-44F7-8439-063FC07A4108}"/>
            </a:ext>
          </a:extLst>
        </xdr:cNvPr>
        <xdr:cNvCxnSpPr/>
      </xdr:nvCxnSpPr>
      <xdr:spPr>
        <a:xfrm>
          <a:off x="9772650" y="0"/>
          <a:ext cx="0" cy="172783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0</xdr:row>
      <xdr:rowOff>0</xdr:rowOff>
    </xdr:from>
    <xdr:to>
      <xdr:col>24</xdr:col>
      <xdr:colOff>9525</xdr:colOff>
      <xdr:row>110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C9F1C8F-33DD-4E76-AD6B-3E4529529C08}"/>
            </a:ext>
          </a:extLst>
        </xdr:cNvPr>
        <xdr:cNvCxnSpPr/>
      </xdr:nvCxnSpPr>
      <xdr:spPr>
        <a:xfrm>
          <a:off x="15878175" y="0"/>
          <a:ext cx="0" cy="178974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ma.com/investor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halma.com/~/media/Files/H/Halma/Corp-V2/reports-and-presentations/reports/2018/Halma-Half-Year-2018-2019-report.pdf" TargetMode="External"/><Relationship Id="rId7" Type="http://schemas.openxmlformats.org/officeDocument/2006/relationships/hyperlink" Target="https://www.halma.com/~/media/Files/H/Halma/Corp-V2/reports-and-presentations/reports/2023/Halma_Full_Year_Results_2022-23_Report.pdf" TargetMode="External"/><Relationship Id="rId2" Type="http://schemas.openxmlformats.org/officeDocument/2006/relationships/hyperlink" Target="https://www.halma.com/~/media/Files/H/Halma/Corp-V2/reports-and-presentations/reports/2020/hy20-21/half-year-report-2020-21.pdf" TargetMode="External"/><Relationship Id="rId1" Type="http://schemas.openxmlformats.org/officeDocument/2006/relationships/hyperlink" Target="https://www.halma.com/~/media/Files/H/Halma/Corp-V2/reports-and-presentations/reports/2023/Halma_HY2223_Report.pdf" TargetMode="External"/><Relationship Id="rId6" Type="http://schemas.openxmlformats.org/officeDocument/2006/relationships/hyperlink" Target="https://www.halma.com/news/press-releases/2018/final-results-2017-18" TargetMode="External"/><Relationship Id="rId5" Type="http://schemas.openxmlformats.org/officeDocument/2006/relationships/hyperlink" Target="https://www.halma.com/~/media/Files/H/Halma/Corp-V2/reports-and-presentations/reports/2020/Halma_ARA_2020.pdf" TargetMode="External"/><Relationship Id="rId4" Type="http://schemas.openxmlformats.org/officeDocument/2006/relationships/hyperlink" Target="https://www.halma.com/~/media/Files/H/Halma/Corp-V2/reports-and-presentations/reports/2022/full-year-21-22-results-report.pdf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DFEF-2721-42A7-BBC6-F0639EC003A0}">
  <dimension ref="B2:Z38"/>
  <sheetViews>
    <sheetView tabSelected="1" zoomScaleNormal="100" workbookViewId="0">
      <selection activeCell="C37" sqref="C37:D37"/>
    </sheetView>
  </sheetViews>
  <sheetFormatPr defaultColWidth="9.140625" defaultRowHeight="12.75" x14ac:dyDescent="0.2"/>
  <cols>
    <col min="1" max="16384" width="9.140625" style="1"/>
  </cols>
  <sheetData>
    <row r="2" spans="2:26" x14ac:dyDescent="0.2">
      <c r="B2" s="2" t="s">
        <v>0</v>
      </c>
      <c r="G2" s="3" t="s">
        <v>2</v>
      </c>
      <c r="H2" s="3"/>
      <c r="I2" s="3"/>
      <c r="J2" s="3"/>
      <c r="K2" s="3"/>
      <c r="L2" s="3"/>
      <c r="M2" s="3"/>
      <c r="N2" s="3"/>
    </row>
    <row r="3" spans="2:26" x14ac:dyDescent="0.2">
      <c r="B3" s="2" t="s">
        <v>1</v>
      </c>
    </row>
    <row r="5" spans="2:26" x14ac:dyDescent="0.2">
      <c r="B5" s="81" t="s">
        <v>3</v>
      </c>
      <c r="C5" s="82"/>
      <c r="D5" s="83"/>
      <c r="G5" s="81" t="s">
        <v>28</v>
      </c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3"/>
      <c r="V5" s="81" t="s">
        <v>119</v>
      </c>
      <c r="W5" s="82"/>
      <c r="X5" s="82"/>
      <c r="Y5" s="82"/>
      <c r="Z5" s="83"/>
    </row>
    <row r="6" spans="2:26" x14ac:dyDescent="0.2">
      <c r="B6" s="4" t="s">
        <v>4</v>
      </c>
      <c r="C6" s="76">
        <v>23.32</v>
      </c>
      <c r="D6" s="6"/>
      <c r="G6" s="1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V6" s="69"/>
      <c r="W6" s="11"/>
      <c r="X6" s="11"/>
      <c r="Y6" s="11"/>
      <c r="Z6" s="12"/>
    </row>
    <row r="7" spans="2:26" x14ac:dyDescent="0.2">
      <c r="B7" s="4" t="s">
        <v>5</v>
      </c>
      <c r="C7" s="8">
        <f>'Financial Model'!X16</f>
        <v>378</v>
      </c>
      <c r="D7" s="6" t="str">
        <f>$C$28</f>
        <v>FY22</v>
      </c>
      <c r="G7" s="1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  <c r="V7" s="69"/>
      <c r="W7" s="11"/>
      <c r="X7" s="11"/>
      <c r="Y7" s="11"/>
      <c r="Z7" s="12"/>
    </row>
    <row r="8" spans="2:26" x14ac:dyDescent="0.2">
      <c r="B8" s="4" t="s">
        <v>6</v>
      </c>
      <c r="C8" s="8">
        <f>C6*C7</f>
        <v>8814.9600000000009</v>
      </c>
      <c r="D8" s="6"/>
      <c r="G8" s="1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2"/>
      <c r="V8" s="70" t="s">
        <v>115</v>
      </c>
      <c r="W8" s="11"/>
      <c r="X8" s="11"/>
      <c r="Y8" s="11"/>
      <c r="Z8" s="12"/>
    </row>
    <row r="9" spans="2:26" x14ac:dyDescent="0.2">
      <c r="B9" s="4" t="s">
        <v>7</v>
      </c>
      <c r="C9" s="8">
        <f>'Financial Model'!X64</f>
        <v>192</v>
      </c>
      <c r="D9" s="6" t="str">
        <f t="shared" ref="D9:D11" si="0">$C$28</f>
        <v>FY22</v>
      </c>
      <c r="G9" s="1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"/>
      <c r="V9" s="71" t="s">
        <v>116</v>
      </c>
      <c r="W9" s="11"/>
      <c r="X9" s="11"/>
      <c r="Y9" s="11"/>
      <c r="Z9" s="12"/>
    </row>
    <row r="10" spans="2:26" ht="15" x14ac:dyDescent="0.25">
      <c r="B10" s="4" t="s">
        <v>8</v>
      </c>
      <c r="C10" s="8">
        <f>'Financial Model'!X65</f>
        <v>679.19999999999993</v>
      </c>
      <c r="D10" s="6" t="str">
        <f t="shared" si="0"/>
        <v>FY22</v>
      </c>
      <c r="G10" s="19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2"/>
      <c r="V10" s="71" t="s">
        <v>117</v>
      </c>
      <c r="W10" s="11"/>
      <c r="X10" s="11"/>
      <c r="Y10" s="11"/>
      <c r="Z10" s="12"/>
    </row>
    <row r="11" spans="2:26" x14ac:dyDescent="0.2">
      <c r="B11" s="4" t="s">
        <v>9</v>
      </c>
      <c r="C11" s="8">
        <f>C9-C10</f>
        <v>-487.19999999999993</v>
      </c>
      <c r="D11" s="6" t="str">
        <f t="shared" si="0"/>
        <v>FY22</v>
      </c>
      <c r="G11" s="18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  <c r="V11" s="71" t="s">
        <v>118</v>
      </c>
      <c r="W11" s="11"/>
      <c r="X11" s="11"/>
      <c r="Y11" s="11"/>
      <c r="Z11" s="12"/>
    </row>
    <row r="12" spans="2:26" x14ac:dyDescent="0.2">
      <c r="B12" s="5" t="s">
        <v>10</v>
      </c>
      <c r="C12" s="9">
        <f>C8-C11</f>
        <v>9302.1600000000017</v>
      </c>
      <c r="D12" s="7"/>
      <c r="G12" s="1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2"/>
      <c r="V12" s="69"/>
      <c r="W12" s="11"/>
      <c r="X12" s="11"/>
      <c r="Y12" s="11"/>
      <c r="Z12" s="12"/>
    </row>
    <row r="13" spans="2:26" x14ac:dyDescent="0.2">
      <c r="G13" s="1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  <c r="V13" s="69"/>
      <c r="W13" s="11"/>
      <c r="X13" s="11"/>
      <c r="Y13" s="11"/>
      <c r="Z13" s="12"/>
    </row>
    <row r="14" spans="2:26" x14ac:dyDescent="0.2">
      <c r="G14" s="18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  <c r="V14" s="69" t="s">
        <v>120</v>
      </c>
      <c r="W14" s="11"/>
      <c r="X14" s="11"/>
      <c r="Y14" s="11"/>
      <c r="Z14" s="12"/>
    </row>
    <row r="15" spans="2:26" x14ac:dyDescent="0.2">
      <c r="B15" s="81" t="s">
        <v>11</v>
      </c>
      <c r="C15" s="82"/>
      <c r="D15" s="83"/>
      <c r="G15" s="18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  <c r="V15" s="69"/>
      <c r="W15" s="11"/>
      <c r="X15" s="11"/>
      <c r="Y15" s="11"/>
      <c r="Z15" s="12"/>
    </row>
    <row r="16" spans="2:26" x14ac:dyDescent="0.2">
      <c r="B16" s="10" t="s">
        <v>12</v>
      </c>
      <c r="C16" s="84" t="s">
        <v>32</v>
      </c>
      <c r="D16" s="85"/>
      <c r="G16" s="18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  <c r="V16" s="69"/>
      <c r="W16" s="11"/>
      <c r="X16" s="11"/>
      <c r="Y16" s="11"/>
      <c r="Z16" s="12"/>
    </row>
    <row r="17" spans="2:26" x14ac:dyDescent="0.2">
      <c r="B17" s="10" t="s">
        <v>13</v>
      </c>
      <c r="C17" s="84" t="s">
        <v>33</v>
      </c>
      <c r="D17" s="85"/>
      <c r="G17" s="18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  <c r="V17" s="69"/>
      <c r="W17" s="11"/>
      <c r="X17" s="11"/>
      <c r="Y17" s="11"/>
      <c r="Z17" s="12"/>
    </row>
    <row r="18" spans="2:26" x14ac:dyDescent="0.2">
      <c r="B18" s="10" t="s">
        <v>14</v>
      </c>
      <c r="C18" s="84"/>
      <c r="D18" s="85"/>
      <c r="G18" s="18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  <c r="V18" s="69"/>
      <c r="W18" s="11"/>
      <c r="X18" s="11"/>
      <c r="Y18" s="11"/>
      <c r="Z18" s="12"/>
    </row>
    <row r="19" spans="2:26" x14ac:dyDescent="0.2">
      <c r="B19" s="13" t="s">
        <v>15</v>
      </c>
      <c r="C19" s="86"/>
      <c r="D19" s="87"/>
      <c r="G19" s="18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  <c r="V19" s="72"/>
      <c r="W19" s="14"/>
      <c r="X19" s="14"/>
      <c r="Y19" s="14"/>
      <c r="Z19" s="15"/>
    </row>
    <row r="20" spans="2:26" x14ac:dyDescent="0.2">
      <c r="G20" s="1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</row>
    <row r="21" spans="2:26" x14ac:dyDescent="0.2">
      <c r="G21" s="18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2"/>
    </row>
    <row r="22" spans="2:26" x14ac:dyDescent="0.2">
      <c r="B22" s="81" t="s">
        <v>16</v>
      </c>
      <c r="C22" s="82"/>
      <c r="D22" s="83"/>
      <c r="G22" s="18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2"/>
    </row>
    <row r="23" spans="2:26" x14ac:dyDescent="0.2">
      <c r="B23" s="16" t="s">
        <v>17</v>
      </c>
      <c r="C23" s="84" t="s">
        <v>31</v>
      </c>
      <c r="D23" s="85"/>
      <c r="G23" s="18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2"/>
    </row>
    <row r="24" spans="2:26" x14ac:dyDescent="0.2">
      <c r="B24" s="16" t="s">
        <v>18</v>
      </c>
      <c r="C24" s="84">
        <v>1894</v>
      </c>
      <c r="D24" s="85"/>
      <c r="G24" s="18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2"/>
    </row>
    <row r="25" spans="2:26" x14ac:dyDescent="0.2">
      <c r="B25" s="16"/>
      <c r="C25" s="84"/>
      <c r="D25" s="85"/>
      <c r="G25" s="18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2"/>
    </row>
    <row r="26" spans="2:26" x14ac:dyDescent="0.2">
      <c r="B26" s="16"/>
      <c r="C26" s="84"/>
      <c r="D26" s="85"/>
      <c r="G26" s="18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26" x14ac:dyDescent="0.2">
      <c r="B27" s="16"/>
      <c r="C27" s="84"/>
      <c r="D27" s="85"/>
      <c r="G27" s="18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2"/>
    </row>
    <row r="28" spans="2:26" x14ac:dyDescent="0.2">
      <c r="B28" s="16" t="s">
        <v>19</v>
      </c>
      <c r="C28" s="24" t="s">
        <v>50</v>
      </c>
      <c r="D28" s="43">
        <v>45092</v>
      </c>
      <c r="E28" s="77"/>
      <c r="G28" s="18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2"/>
    </row>
    <row r="29" spans="2:26" x14ac:dyDescent="0.2">
      <c r="B29" s="17" t="s">
        <v>20</v>
      </c>
      <c r="C29" s="88" t="s">
        <v>30</v>
      </c>
      <c r="D29" s="89"/>
      <c r="G29" s="18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2"/>
    </row>
    <row r="30" spans="2:26" x14ac:dyDescent="0.2">
      <c r="G30" s="18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2"/>
    </row>
    <row r="31" spans="2:26" x14ac:dyDescent="0.2">
      <c r="G31" s="18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/>
    </row>
    <row r="32" spans="2:26" x14ac:dyDescent="0.2">
      <c r="B32" s="81" t="s">
        <v>21</v>
      </c>
      <c r="C32" s="82"/>
      <c r="D32" s="83"/>
      <c r="G32" s="18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2"/>
    </row>
    <row r="33" spans="2:19" x14ac:dyDescent="0.2">
      <c r="B33" s="16" t="s">
        <v>22</v>
      </c>
      <c r="C33" s="90">
        <f>C6/'Financial Model'!X62</f>
        <v>5.5131402839452122</v>
      </c>
      <c r="D33" s="91"/>
      <c r="G33" s="18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2"/>
    </row>
    <row r="34" spans="2:19" x14ac:dyDescent="0.2">
      <c r="B34" s="16" t="s">
        <v>23</v>
      </c>
      <c r="C34" s="90">
        <f>C8/'Financial Model'!X4</f>
        <v>4.757642487046633</v>
      </c>
      <c r="D34" s="91"/>
      <c r="G34" s="18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2"/>
    </row>
    <row r="35" spans="2:19" x14ac:dyDescent="0.2">
      <c r="B35" s="16" t="s">
        <v>24</v>
      </c>
      <c r="C35" s="90">
        <f>C12/'Financial Model'!X4</f>
        <v>5.0205958549222807</v>
      </c>
      <c r="D35" s="91"/>
      <c r="G35" s="18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2"/>
    </row>
    <row r="36" spans="2:19" x14ac:dyDescent="0.2">
      <c r="B36" s="16" t="s">
        <v>25</v>
      </c>
      <c r="C36" s="90">
        <f>C6/'Financial Model'!X15</f>
        <v>32.455670103092785</v>
      </c>
      <c r="D36" s="91"/>
      <c r="G36" s="18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2"/>
    </row>
    <row r="37" spans="2:19" x14ac:dyDescent="0.2">
      <c r="B37" s="16" t="s">
        <v>26</v>
      </c>
      <c r="C37" s="90">
        <f>C12/'Financial Model'!X12</f>
        <v>34.249484536082484</v>
      </c>
      <c r="D37" s="91"/>
      <c r="G37" s="18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2"/>
    </row>
    <row r="38" spans="2:19" x14ac:dyDescent="0.2">
      <c r="B38" s="17" t="s">
        <v>27</v>
      </c>
      <c r="C38" s="86"/>
      <c r="D38" s="87"/>
      <c r="G38" s="20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5"/>
    </row>
  </sheetData>
  <mergeCells count="22">
    <mergeCell ref="V5:Z5"/>
    <mergeCell ref="C38:D38"/>
    <mergeCell ref="G5:S5"/>
    <mergeCell ref="C16:D16"/>
    <mergeCell ref="C17:D17"/>
    <mergeCell ref="C18:D18"/>
    <mergeCell ref="C19:D19"/>
    <mergeCell ref="C29:D29"/>
    <mergeCell ref="C33:D33"/>
    <mergeCell ref="C34:D34"/>
    <mergeCell ref="C35:D35"/>
    <mergeCell ref="C36:D36"/>
    <mergeCell ref="C37:D37"/>
    <mergeCell ref="B5:D5"/>
    <mergeCell ref="B15:D15"/>
    <mergeCell ref="B22:D22"/>
    <mergeCell ref="B32:D32"/>
    <mergeCell ref="C23:D23"/>
    <mergeCell ref="C24:D24"/>
    <mergeCell ref="C25:D25"/>
    <mergeCell ref="C26:D26"/>
    <mergeCell ref="C27:D27"/>
  </mergeCells>
  <hyperlinks>
    <hyperlink ref="C29:D29" r:id="rId1" display="Link" xr:uid="{14EC5317-C73B-4350-A09D-C7641F7FCA8D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332D-7B2B-4D46-8BAA-4FBC91F2AA00}">
  <dimension ref="A1:BU7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3" sqref="C23"/>
    </sheetView>
  </sheetViews>
  <sheetFormatPr defaultColWidth="9.140625" defaultRowHeight="12.75" x14ac:dyDescent="0.2"/>
  <cols>
    <col min="1" max="1" width="6" style="1" bestFit="1" customWidth="1"/>
    <col min="2" max="2" width="30.85546875" style="1" bestFit="1" customWidth="1"/>
    <col min="3" max="3" width="9.140625" style="1"/>
    <col min="4" max="4" width="9.140625" style="28"/>
    <col min="5" max="5" width="9.140625" style="1"/>
    <col min="6" max="6" width="9.140625" style="28"/>
    <col min="7" max="7" width="9.140625" style="1"/>
    <col min="8" max="8" width="9.140625" style="28"/>
    <col min="9" max="9" width="9.140625" style="1"/>
    <col min="10" max="10" width="9.140625" style="28"/>
    <col min="11" max="11" width="9.140625" style="1"/>
    <col min="12" max="12" width="9.140625" style="28"/>
    <col min="13" max="13" width="9.140625" style="1"/>
    <col min="14" max="14" width="9.140625" style="28"/>
    <col min="15" max="15" width="9.140625" style="1"/>
    <col min="16" max="16" width="9.140625" style="28"/>
    <col min="17" max="23" width="9.140625" style="1"/>
    <col min="24" max="24" width="9.140625" style="95"/>
    <col min="25" max="35" width="9.140625" style="1"/>
    <col min="36" max="36" width="12" style="1" bestFit="1" customWidth="1"/>
    <col min="37" max="37" width="10" style="1" bestFit="1" customWidth="1"/>
    <col min="38" max="16384" width="9.140625" style="1"/>
  </cols>
  <sheetData>
    <row r="1" spans="2:73" s="21" customFormat="1" ht="14.25" x14ac:dyDescent="0.2">
      <c r="C1" s="21" t="s">
        <v>102</v>
      </c>
      <c r="D1" s="25" t="s">
        <v>101</v>
      </c>
      <c r="E1" s="29" t="s">
        <v>34</v>
      </c>
      <c r="F1" s="25" t="s">
        <v>35</v>
      </c>
      <c r="G1" s="21" t="s">
        <v>36</v>
      </c>
      <c r="H1" s="25" t="s">
        <v>37</v>
      </c>
      <c r="I1" s="29" t="s">
        <v>38</v>
      </c>
      <c r="J1" s="25" t="s">
        <v>39</v>
      </c>
      <c r="K1" s="21" t="s">
        <v>40</v>
      </c>
      <c r="L1" s="25" t="s">
        <v>41</v>
      </c>
      <c r="M1" s="29" t="s">
        <v>42</v>
      </c>
      <c r="N1" s="25" t="s">
        <v>43</v>
      </c>
      <c r="O1" s="21" t="s">
        <v>44</v>
      </c>
      <c r="P1" s="25" t="s">
        <v>45</v>
      </c>
      <c r="R1" s="21" t="s">
        <v>106</v>
      </c>
      <c r="S1" s="29" t="s">
        <v>103</v>
      </c>
      <c r="T1" s="21" t="s">
        <v>46</v>
      </c>
      <c r="U1" s="57" t="s">
        <v>47</v>
      </c>
      <c r="V1" s="21" t="s">
        <v>48</v>
      </c>
      <c r="W1" s="29" t="s">
        <v>49</v>
      </c>
      <c r="X1" s="97" t="s">
        <v>50</v>
      </c>
      <c r="Y1" s="21" t="s">
        <v>51</v>
      </c>
      <c r="Z1" s="21" t="s">
        <v>52</v>
      </c>
      <c r="AA1" s="21" t="s">
        <v>53</v>
      </c>
      <c r="AB1" s="21" t="s">
        <v>54</v>
      </c>
      <c r="AC1" s="21" t="s">
        <v>55</v>
      </c>
      <c r="AD1" s="21" t="s">
        <v>56</v>
      </c>
      <c r="AE1" s="21" t="s">
        <v>57</v>
      </c>
      <c r="AF1" s="21" t="s">
        <v>58</v>
      </c>
      <c r="AG1" s="21" t="s">
        <v>59</v>
      </c>
      <c r="AH1" s="21" t="s">
        <v>60</v>
      </c>
    </row>
    <row r="2" spans="2:73" s="23" customFormat="1" x14ac:dyDescent="0.2">
      <c r="B2" s="22"/>
      <c r="C2" s="31">
        <v>43008</v>
      </c>
      <c r="D2" s="54">
        <f>S2</f>
        <v>43190</v>
      </c>
      <c r="E2" s="31">
        <v>43373</v>
      </c>
      <c r="F2" s="54">
        <f>T2</f>
        <v>43555</v>
      </c>
      <c r="G2" s="31">
        <v>43738</v>
      </c>
      <c r="H2" s="54">
        <f>U2</f>
        <v>43921</v>
      </c>
      <c r="I2" s="31">
        <v>44104</v>
      </c>
      <c r="J2" s="54">
        <f>V2</f>
        <v>44286</v>
      </c>
      <c r="K2" s="31">
        <v>44469</v>
      </c>
      <c r="L2" s="54">
        <f>W2</f>
        <v>44651</v>
      </c>
      <c r="M2" s="31">
        <v>44834</v>
      </c>
      <c r="N2" s="54">
        <f>X2</f>
        <v>45016</v>
      </c>
      <c r="P2" s="26"/>
      <c r="R2" s="31">
        <v>42826</v>
      </c>
      <c r="S2" s="31">
        <v>43190</v>
      </c>
      <c r="T2" s="31">
        <v>43555</v>
      </c>
      <c r="U2" s="31">
        <v>43921</v>
      </c>
      <c r="V2" s="31">
        <v>44286</v>
      </c>
      <c r="W2" s="31">
        <v>44651</v>
      </c>
      <c r="X2" s="31">
        <v>45016</v>
      </c>
    </row>
    <row r="3" spans="2:73" s="23" customFormat="1" x14ac:dyDescent="0.2">
      <c r="B3" s="22"/>
      <c r="D3" s="26"/>
      <c r="E3" s="30">
        <v>44885</v>
      </c>
      <c r="F3" s="26"/>
      <c r="H3" s="55">
        <f>U3</f>
        <v>44756</v>
      </c>
      <c r="I3" s="30">
        <v>44884</v>
      </c>
      <c r="J3" s="26"/>
      <c r="L3" s="55">
        <f>W3</f>
        <v>44728</v>
      </c>
      <c r="M3" s="30">
        <v>44882</v>
      </c>
      <c r="N3" s="55">
        <f>X3</f>
        <v>45092</v>
      </c>
      <c r="P3" s="26"/>
      <c r="S3" s="30">
        <v>45089</v>
      </c>
      <c r="U3" s="30">
        <v>44756</v>
      </c>
      <c r="W3" s="30">
        <v>44728</v>
      </c>
      <c r="X3" s="98">
        <v>45092</v>
      </c>
    </row>
    <row r="4" spans="2:73" s="32" customFormat="1" x14ac:dyDescent="0.2">
      <c r="B4" s="32" t="s">
        <v>29</v>
      </c>
      <c r="C4" s="32">
        <v>506.3</v>
      </c>
      <c r="D4" s="33">
        <f>S4-C4</f>
        <v>569.91100000000006</v>
      </c>
      <c r="E4" s="32">
        <v>585.5</v>
      </c>
      <c r="F4" s="33">
        <f>T4-E4</f>
        <v>625.40000000000009</v>
      </c>
      <c r="G4" s="32">
        <v>653.70000000000005</v>
      </c>
      <c r="H4" s="33">
        <f>U4-G4</f>
        <v>684.7</v>
      </c>
      <c r="I4" s="32">
        <v>618.4</v>
      </c>
      <c r="J4" s="33">
        <f>V4-I4</f>
        <v>699.80000000000007</v>
      </c>
      <c r="K4" s="32">
        <v>737.2</v>
      </c>
      <c r="L4" s="33">
        <f t="shared" ref="L4:L9" si="0">W4-K4</f>
        <v>788.09999999999991</v>
      </c>
      <c r="M4" s="32">
        <v>875.5</v>
      </c>
      <c r="N4" s="33">
        <f>X4-M4</f>
        <v>977.3</v>
      </c>
      <c r="P4" s="33"/>
      <c r="R4" s="32">
        <v>961.66200000000003</v>
      </c>
      <c r="S4" s="32">
        <v>1076.211</v>
      </c>
      <c r="T4" s="32">
        <v>1210.9000000000001</v>
      </c>
      <c r="U4" s="32">
        <v>1338.4</v>
      </c>
      <c r="V4" s="32">
        <v>1318.2</v>
      </c>
      <c r="W4" s="32">
        <v>1525.3</v>
      </c>
      <c r="X4" s="92">
        <v>1852.8</v>
      </c>
      <c r="Y4" s="32">
        <f>X4*(1+Y18)</f>
        <v>2186.3039999999996</v>
      </c>
      <c r="Z4" s="32">
        <f t="shared" ref="Z4:AH4" si="1">Y4*(1+Z18)</f>
        <v>2514.2495999999992</v>
      </c>
      <c r="AA4" s="32">
        <f t="shared" si="1"/>
        <v>2841.1020479999988</v>
      </c>
      <c r="AB4" s="32">
        <f t="shared" si="1"/>
        <v>3153.623273279999</v>
      </c>
      <c r="AC4" s="32">
        <f t="shared" si="1"/>
        <v>3500.5218333407993</v>
      </c>
      <c r="AD4" s="32">
        <f t="shared" si="1"/>
        <v>3850.5740166748797</v>
      </c>
      <c r="AE4" s="32">
        <f t="shared" si="1"/>
        <v>4235.6314183423683</v>
      </c>
      <c r="AF4" s="32">
        <f t="shared" si="1"/>
        <v>4659.1945601766056</v>
      </c>
      <c r="AG4" s="32">
        <f t="shared" si="1"/>
        <v>5125.1140161942667</v>
      </c>
      <c r="AH4" s="32">
        <f t="shared" si="1"/>
        <v>5637.6254178136942</v>
      </c>
    </row>
    <row r="5" spans="2:73" s="32" customFormat="1" x14ac:dyDescent="0.2">
      <c r="B5" s="32" t="s">
        <v>61</v>
      </c>
      <c r="C5" s="32">
        <v>81.8</v>
      </c>
      <c r="D5" s="33">
        <f>S5-C5</f>
        <v>99.458000000000013</v>
      </c>
      <c r="E5" s="32">
        <v>100.4</v>
      </c>
      <c r="F5" s="33">
        <f>T5-E5</f>
        <v>117.4</v>
      </c>
      <c r="G5" s="32">
        <v>111.6</v>
      </c>
      <c r="H5" s="33">
        <f>U5-G5</f>
        <v>121.80000000000001</v>
      </c>
      <c r="I5" s="32">
        <v>102.1</v>
      </c>
      <c r="J5" s="33">
        <f>V5-I5</f>
        <v>138.70000000000002</v>
      </c>
      <c r="K5" s="32">
        <v>137.6</v>
      </c>
      <c r="L5" s="33">
        <f t="shared" si="0"/>
        <v>141.29999999999998</v>
      </c>
      <c r="M5" s="32">
        <v>151.69999999999999</v>
      </c>
      <c r="N5" s="33">
        <f>X5-M5</f>
        <v>156.69999999999999</v>
      </c>
      <c r="P5" s="33"/>
      <c r="R5" s="32">
        <v>167.07</v>
      </c>
      <c r="S5" s="32">
        <v>181.25800000000001</v>
      </c>
      <c r="T5" s="32">
        <v>217.8</v>
      </c>
      <c r="U5" s="32">
        <v>233.4</v>
      </c>
      <c r="V5" s="32">
        <v>240.8</v>
      </c>
      <c r="W5" s="32">
        <v>278.89999999999998</v>
      </c>
      <c r="X5" s="92">
        <v>308.39999999999998</v>
      </c>
      <c r="Y5" s="32">
        <f>Y4*0.18</f>
        <v>393.53471999999994</v>
      </c>
      <c r="Z5" s="32">
        <f t="shared" ref="Z5:AH5" si="2">Z4*0.18</f>
        <v>452.56492799999984</v>
      </c>
      <c r="AA5" s="32">
        <f t="shared" si="2"/>
        <v>511.39836863999977</v>
      </c>
      <c r="AB5" s="32">
        <f t="shared" si="2"/>
        <v>567.65218919039978</v>
      </c>
      <c r="AC5" s="32">
        <f t="shared" si="2"/>
        <v>630.09393000134389</v>
      </c>
      <c r="AD5" s="32">
        <f t="shared" si="2"/>
        <v>693.10332300147832</v>
      </c>
      <c r="AE5" s="32">
        <f t="shared" si="2"/>
        <v>762.41365530162625</v>
      </c>
      <c r="AF5" s="32">
        <f t="shared" si="2"/>
        <v>838.65502083178899</v>
      </c>
      <c r="AG5" s="32">
        <f t="shared" si="2"/>
        <v>922.52052291496796</v>
      </c>
      <c r="AH5" s="32">
        <f t="shared" si="2"/>
        <v>1014.7725752064649</v>
      </c>
    </row>
    <row r="6" spans="2:73" s="8" customFormat="1" x14ac:dyDescent="0.2">
      <c r="B6" s="8" t="s">
        <v>62</v>
      </c>
      <c r="C6" s="8">
        <v>-0.1</v>
      </c>
      <c r="D6" s="34">
        <f>S6-C6</f>
        <v>-0.21</v>
      </c>
      <c r="E6" s="8">
        <v>-0.1</v>
      </c>
      <c r="F6" s="34">
        <f>T6-E6</f>
        <v>0</v>
      </c>
      <c r="G6" s="8">
        <v>-0.1</v>
      </c>
      <c r="H6" s="34">
        <f>U6-G6</f>
        <v>0</v>
      </c>
      <c r="I6" s="8">
        <v>0</v>
      </c>
      <c r="J6" s="34">
        <f>V6-I6</f>
        <v>0</v>
      </c>
      <c r="K6" s="8">
        <v>-0.1</v>
      </c>
      <c r="L6" s="34">
        <f t="shared" si="0"/>
        <v>0</v>
      </c>
      <c r="M6" s="8">
        <v>0</v>
      </c>
      <c r="N6" s="34">
        <f>X6-M6</f>
        <v>-0.1</v>
      </c>
      <c r="P6" s="34"/>
      <c r="R6" s="8">
        <v>-8.1000000000000003E-2</v>
      </c>
      <c r="S6" s="8">
        <v>-0.31</v>
      </c>
      <c r="T6" s="8">
        <v>-0.1</v>
      </c>
      <c r="U6" s="8">
        <v>-0.1</v>
      </c>
      <c r="V6" s="8">
        <v>0</v>
      </c>
      <c r="W6" s="8">
        <v>-0.1</v>
      </c>
      <c r="X6" s="93">
        <v>-0.1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</row>
    <row r="7" spans="2:73" s="8" customFormat="1" x14ac:dyDescent="0.2">
      <c r="B7" s="8" t="s">
        <v>63</v>
      </c>
      <c r="C7" s="8">
        <v>0</v>
      </c>
      <c r="D7" s="34">
        <f t="shared" ref="D7:D11" si="3">S7-C7</f>
        <v>0.71899999999999997</v>
      </c>
      <c r="E7" s="8">
        <v>-0.9</v>
      </c>
      <c r="F7" s="34">
        <f t="shared" ref="F7:F11" si="4">T7-E7</f>
        <v>-9.9999999999999978E-2</v>
      </c>
      <c r="G7" s="8">
        <v>0</v>
      </c>
      <c r="H7" s="34">
        <f t="shared" ref="H7:H11" si="5">U7-G7</f>
        <v>2.9</v>
      </c>
      <c r="I7" s="8">
        <v>0</v>
      </c>
      <c r="J7" s="34">
        <f t="shared" ref="J7:J11" si="6">V7-I7</f>
        <v>22.1</v>
      </c>
      <c r="K7" s="8">
        <v>34</v>
      </c>
      <c r="L7" s="34">
        <f t="shared" si="0"/>
        <v>0</v>
      </c>
      <c r="M7" s="8">
        <v>0</v>
      </c>
      <c r="N7" s="34">
        <f t="shared" ref="N7:N11" si="7">X7-M7</f>
        <v>0</v>
      </c>
      <c r="P7" s="34"/>
      <c r="R7" s="8">
        <v>0</v>
      </c>
      <c r="S7" s="8">
        <v>0.71899999999999997</v>
      </c>
      <c r="T7" s="8">
        <v>-1</v>
      </c>
      <c r="U7" s="8">
        <v>2.9</v>
      </c>
      <c r="V7" s="8">
        <v>22.1</v>
      </c>
      <c r="W7" s="8">
        <v>34</v>
      </c>
      <c r="X7" s="93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</row>
    <row r="8" spans="2:73" s="8" customFormat="1" x14ac:dyDescent="0.2">
      <c r="B8" s="8" t="s">
        <v>64</v>
      </c>
      <c r="C8" s="8">
        <v>0.1</v>
      </c>
      <c r="D8" s="34">
        <f t="shared" si="3"/>
        <v>0.19499999999999998</v>
      </c>
      <c r="E8" s="8">
        <v>0.1</v>
      </c>
      <c r="F8" s="34">
        <f t="shared" si="4"/>
        <v>0.4</v>
      </c>
      <c r="G8" s="8">
        <v>0.4</v>
      </c>
      <c r="H8" s="34">
        <f t="shared" si="5"/>
        <v>0.19999999999999996</v>
      </c>
      <c r="I8" s="8">
        <v>1</v>
      </c>
      <c r="J8" s="34">
        <f t="shared" si="6"/>
        <v>0</v>
      </c>
      <c r="K8" s="8">
        <v>0.6</v>
      </c>
      <c r="L8" s="34">
        <f t="shared" si="0"/>
        <v>0</v>
      </c>
      <c r="M8" s="8">
        <v>0.8</v>
      </c>
      <c r="N8" s="34">
        <f t="shared" si="7"/>
        <v>1</v>
      </c>
      <c r="P8" s="34"/>
      <c r="R8" s="8">
        <v>0.49399999999999999</v>
      </c>
      <c r="S8" s="8">
        <v>0.29499999999999998</v>
      </c>
      <c r="T8" s="8">
        <v>0.5</v>
      </c>
      <c r="U8" s="8">
        <v>0.6</v>
      </c>
      <c r="V8" s="8">
        <v>1</v>
      </c>
      <c r="W8" s="8">
        <v>0.6</v>
      </c>
      <c r="X8" s="93">
        <v>1.8</v>
      </c>
      <c r="Y8" s="8">
        <f t="shared" ref="Y8" si="8">AVERAGE(V8:X8)</f>
        <v>1.1333333333333335</v>
      </c>
      <c r="Z8" s="8">
        <f t="shared" ref="Z8" si="9">AVERAGE(W8:Y8)</f>
        <v>1.1777777777777778</v>
      </c>
      <c r="AA8" s="8">
        <f t="shared" ref="AA8" si="10">AVERAGE(X8:Z8)</f>
        <v>1.3703703703703705</v>
      </c>
      <c r="AB8" s="8">
        <f t="shared" ref="AB8" si="11">AVERAGE(Y8:AA8)</f>
        <v>1.2271604938271607</v>
      </c>
      <c r="AC8" s="8">
        <f t="shared" ref="AC8" si="12">AVERAGE(Z8:AB8)</f>
        <v>1.2584362139917697</v>
      </c>
      <c r="AD8" s="8">
        <f t="shared" ref="AD8" si="13">AVERAGE(AA8:AC8)</f>
        <v>1.2853223593964336</v>
      </c>
      <c r="AE8" s="8">
        <f t="shared" ref="AE8" si="14">AVERAGE(AB8:AD8)</f>
        <v>1.2569730224051214</v>
      </c>
      <c r="AF8" s="8">
        <f t="shared" ref="AF8" si="15">AVERAGE(AC8:AE8)</f>
        <v>1.2669105319311083</v>
      </c>
      <c r="AG8" s="8">
        <f t="shared" ref="AG8" si="16">AVERAGE(AD8:AF8)</f>
        <v>1.2697353045775543</v>
      </c>
      <c r="AH8" s="8">
        <f t="shared" ref="AH8" si="17">AVERAGE(AE8:AG8)</f>
        <v>1.2645396196379279</v>
      </c>
    </row>
    <row r="9" spans="2:73" s="8" customFormat="1" x14ac:dyDescent="0.2">
      <c r="B9" s="8" t="s">
        <v>65</v>
      </c>
      <c r="C9" s="8">
        <v>5</v>
      </c>
      <c r="D9" s="34">
        <f t="shared" si="3"/>
        <v>5.0129999999999999</v>
      </c>
      <c r="E9" s="8">
        <v>5</v>
      </c>
      <c r="F9" s="34">
        <f t="shared" si="4"/>
        <v>5.5</v>
      </c>
      <c r="G9" s="8">
        <v>6.1</v>
      </c>
      <c r="H9" s="34">
        <f t="shared" si="5"/>
        <v>6.6</v>
      </c>
      <c r="I9" s="8">
        <v>6.8</v>
      </c>
      <c r="J9" s="34">
        <f t="shared" si="6"/>
        <v>4.2</v>
      </c>
      <c r="K9" s="8">
        <v>4.5999999999999996</v>
      </c>
      <c r="L9" s="34">
        <f t="shared" si="0"/>
        <v>4.4000000000000004</v>
      </c>
      <c r="M9" s="8">
        <v>7</v>
      </c>
      <c r="N9" s="34">
        <f t="shared" si="7"/>
        <v>-25.7</v>
      </c>
      <c r="P9" s="34"/>
      <c r="R9" s="8">
        <v>9.7799999999999994</v>
      </c>
      <c r="S9" s="8">
        <v>10.013</v>
      </c>
      <c r="T9" s="8">
        <v>10.5</v>
      </c>
      <c r="U9" s="8">
        <v>12.7</v>
      </c>
      <c r="V9" s="8">
        <v>11</v>
      </c>
      <c r="W9" s="8">
        <v>9</v>
      </c>
      <c r="X9" s="93">
        <v>-18.7</v>
      </c>
      <c r="Y9" s="8">
        <f>AVERAGE(V9:X9)</f>
        <v>0.43333333333333357</v>
      </c>
      <c r="Z9" s="8">
        <f t="shared" ref="Z9:AH9" si="18">AVERAGE(W9:Y9)</f>
        <v>-3.0888888888888886</v>
      </c>
      <c r="AA9" s="8">
        <f t="shared" si="18"/>
        <v>-7.1185185185185178</v>
      </c>
      <c r="AB9" s="8">
        <f t="shared" si="18"/>
        <v>-3.258024691358024</v>
      </c>
      <c r="AC9" s="8">
        <f t="shared" si="18"/>
        <v>-4.4884773662551432</v>
      </c>
      <c r="AD9" s="8">
        <f t="shared" si="18"/>
        <v>-4.9550068587105613</v>
      </c>
      <c r="AE9" s="8">
        <f t="shared" si="18"/>
        <v>-4.2338363054412431</v>
      </c>
      <c r="AF9" s="8">
        <f t="shared" si="18"/>
        <v>-4.5591068434689825</v>
      </c>
      <c r="AG9" s="8">
        <f t="shared" si="18"/>
        <v>-4.5826500025402623</v>
      </c>
      <c r="AH9" s="8">
        <f t="shared" si="18"/>
        <v>-4.4585310504834963</v>
      </c>
    </row>
    <row r="10" spans="2:73" s="8" customFormat="1" x14ac:dyDescent="0.2">
      <c r="B10" s="8" t="s">
        <v>66</v>
      </c>
      <c r="C10" s="8">
        <f t="shared" ref="C10:N10" si="19">C5+C6+C7+C8-C9</f>
        <v>76.8</v>
      </c>
      <c r="D10" s="34">
        <f t="shared" si="19"/>
        <v>95.149000000000001</v>
      </c>
      <c r="E10" s="8">
        <f t="shared" si="19"/>
        <v>94.5</v>
      </c>
      <c r="F10" s="34">
        <f t="shared" si="19"/>
        <v>112.20000000000002</v>
      </c>
      <c r="G10" s="8">
        <f t="shared" si="19"/>
        <v>105.80000000000001</v>
      </c>
      <c r="H10" s="34">
        <f t="shared" si="19"/>
        <v>118.30000000000003</v>
      </c>
      <c r="I10" s="8">
        <f t="shared" si="19"/>
        <v>96.3</v>
      </c>
      <c r="J10" s="34">
        <f t="shared" si="19"/>
        <v>156.60000000000002</v>
      </c>
      <c r="K10" s="8">
        <f t="shared" si="19"/>
        <v>167.5</v>
      </c>
      <c r="L10" s="34">
        <f t="shared" si="19"/>
        <v>136.89999999999998</v>
      </c>
      <c r="M10" s="8">
        <f t="shared" si="19"/>
        <v>145.5</v>
      </c>
      <c r="N10" s="34">
        <f t="shared" si="19"/>
        <v>183.29999999999998</v>
      </c>
      <c r="P10" s="34"/>
      <c r="R10" s="8">
        <f t="shared" ref="R10:X10" si="20">R5+R6+R7+R8-R9</f>
        <v>157.703</v>
      </c>
      <c r="S10" s="8">
        <f t="shared" si="20"/>
        <v>171.94899999999998</v>
      </c>
      <c r="T10" s="8">
        <f t="shared" si="20"/>
        <v>206.70000000000002</v>
      </c>
      <c r="U10" s="8">
        <f t="shared" si="20"/>
        <v>224.10000000000002</v>
      </c>
      <c r="V10" s="8">
        <f t="shared" si="20"/>
        <v>252.90000000000003</v>
      </c>
      <c r="W10" s="8">
        <f t="shared" si="20"/>
        <v>304.39999999999998</v>
      </c>
      <c r="X10" s="8">
        <f t="shared" si="20"/>
        <v>328.79999999999995</v>
      </c>
      <c r="Y10" s="8">
        <f t="shared" ref="Y10:AH10" si="21">Y5+Y6+Y7+Y8-Y9</f>
        <v>394.23471999999992</v>
      </c>
      <c r="Z10" s="8">
        <f t="shared" si="21"/>
        <v>456.83159466666655</v>
      </c>
      <c r="AA10" s="8">
        <f t="shared" si="21"/>
        <v>519.88725752888865</v>
      </c>
      <c r="AB10" s="8">
        <f t="shared" si="21"/>
        <v>572.13737437558495</v>
      </c>
      <c r="AC10" s="8">
        <f t="shared" si="21"/>
        <v>635.84084358159078</v>
      </c>
      <c r="AD10" s="8">
        <f t="shared" si="21"/>
        <v>699.34365221958535</v>
      </c>
      <c r="AE10" s="8">
        <f t="shared" si="21"/>
        <v>767.90446462947261</v>
      </c>
      <c r="AF10" s="8">
        <f t="shared" si="21"/>
        <v>844.48103820718904</v>
      </c>
      <c r="AG10" s="8">
        <f t="shared" si="21"/>
        <v>928.37290822208581</v>
      </c>
      <c r="AH10" s="8">
        <f t="shared" si="21"/>
        <v>1020.4956458765864</v>
      </c>
    </row>
    <row r="11" spans="2:73" s="8" customFormat="1" x14ac:dyDescent="0.2">
      <c r="B11" s="8" t="s">
        <v>67</v>
      </c>
      <c r="C11" s="8">
        <v>15.1</v>
      </c>
      <c r="D11" s="34">
        <f t="shared" si="3"/>
        <v>2.6210000000000004</v>
      </c>
      <c r="E11" s="8">
        <v>19.899999999999999</v>
      </c>
      <c r="F11" s="34">
        <f t="shared" si="4"/>
        <v>17</v>
      </c>
      <c r="G11" s="8">
        <v>20.8</v>
      </c>
      <c r="H11" s="34">
        <f t="shared" si="5"/>
        <v>18.900000000000002</v>
      </c>
      <c r="I11" s="8">
        <v>19</v>
      </c>
      <c r="J11" s="34">
        <f t="shared" si="6"/>
        <v>30.6</v>
      </c>
      <c r="K11" s="8">
        <v>31.8</v>
      </c>
      <c r="L11" s="34">
        <f>W11-K11</f>
        <v>28.400000000000002</v>
      </c>
      <c r="M11" s="8">
        <v>30.7</v>
      </c>
      <c r="N11" s="34">
        <f t="shared" si="7"/>
        <v>26.500000000000004</v>
      </c>
      <c r="P11" s="34"/>
      <c r="R11" s="8">
        <v>28.013999999999999</v>
      </c>
      <c r="S11" s="8">
        <v>17.721</v>
      </c>
      <c r="T11" s="8">
        <v>36.9</v>
      </c>
      <c r="U11" s="8">
        <v>39.700000000000003</v>
      </c>
      <c r="V11" s="8">
        <v>49.6</v>
      </c>
      <c r="W11" s="8">
        <v>60.2</v>
      </c>
      <c r="X11" s="93">
        <v>57.2</v>
      </c>
      <c r="Y11" s="8">
        <f>Y10*Y23</f>
        <v>82.78929119999998</v>
      </c>
      <c r="Z11" s="8">
        <f t="shared" ref="Z11:AH11" si="22">Z10*Z23</f>
        <v>95.934634879999976</v>
      </c>
      <c r="AA11" s="8">
        <f t="shared" si="22"/>
        <v>109.17632408106661</v>
      </c>
      <c r="AB11" s="8">
        <f t="shared" si="22"/>
        <v>120.14884861887283</v>
      </c>
      <c r="AC11" s="8">
        <f t="shared" si="22"/>
        <v>133.52657715213405</v>
      </c>
      <c r="AD11" s="8">
        <f t="shared" si="22"/>
        <v>146.86216696611291</v>
      </c>
      <c r="AE11" s="8">
        <f t="shared" si="22"/>
        <v>161.25993757218924</v>
      </c>
      <c r="AF11" s="8">
        <f t="shared" si="22"/>
        <v>177.34101802350969</v>
      </c>
      <c r="AG11" s="8">
        <f t="shared" si="22"/>
        <v>194.95831072663802</v>
      </c>
      <c r="AH11" s="8">
        <f t="shared" si="22"/>
        <v>214.30408563408315</v>
      </c>
    </row>
    <row r="12" spans="2:73" s="32" customFormat="1" x14ac:dyDescent="0.2">
      <c r="B12" s="32" t="s">
        <v>68</v>
      </c>
      <c r="C12" s="32">
        <f t="shared" ref="C12:M12" si="23">C10-C11</f>
        <v>61.699999999999996</v>
      </c>
      <c r="D12" s="33">
        <f t="shared" si="23"/>
        <v>92.528000000000006</v>
      </c>
      <c r="E12" s="32">
        <f t="shared" si="23"/>
        <v>74.599999999999994</v>
      </c>
      <c r="F12" s="33">
        <f t="shared" si="23"/>
        <v>95.200000000000017</v>
      </c>
      <c r="G12" s="32">
        <f t="shared" si="23"/>
        <v>85.000000000000014</v>
      </c>
      <c r="H12" s="33">
        <f t="shared" si="23"/>
        <v>99.40000000000002</v>
      </c>
      <c r="I12" s="32">
        <f t="shared" si="23"/>
        <v>77.3</v>
      </c>
      <c r="J12" s="33">
        <f t="shared" si="23"/>
        <v>126.00000000000003</v>
      </c>
      <c r="K12" s="32">
        <f t="shared" si="23"/>
        <v>135.69999999999999</v>
      </c>
      <c r="L12" s="33">
        <f t="shared" si="23"/>
        <v>108.49999999999997</v>
      </c>
      <c r="M12" s="32">
        <f t="shared" si="23"/>
        <v>114.8</v>
      </c>
      <c r="N12" s="33">
        <f>N10-N11</f>
        <v>156.79999999999998</v>
      </c>
      <c r="P12" s="33"/>
      <c r="R12" s="32">
        <f t="shared" ref="R12:X12" si="24">R10-R11</f>
        <v>129.68899999999999</v>
      </c>
      <c r="S12" s="32">
        <f t="shared" si="24"/>
        <v>154.22799999999998</v>
      </c>
      <c r="T12" s="32">
        <f t="shared" si="24"/>
        <v>169.8</v>
      </c>
      <c r="U12" s="32">
        <f t="shared" si="24"/>
        <v>184.40000000000003</v>
      </c>
      <c r="V12" s="32">
        <f t="shared" si="24"/>
        <v>203.30000000000004</v>
      </c>
      <c r="W12" s="32">
        <f t="shared" si="24"/>
        <v>244.2</v>
      </c>
      <c r="X12" s="32">
        <f t="shared" si="24"/>
        <v>271.59999999999997</v>
      </c>
      <c r="Y12" s="32">
        <f t="shared" ref="X12:AH12" si="25">Y10-Y11</f>
        <v>311.44542879999995</v>
      </c>
      <c r="Z12" s="32">
        <f t="shared" si="25"/>
        <v>360.89695978666657</v>
      </c>
      <c r="AA12" s="32">
        <f t="shared" si="25"/>
        <v>410.71093344782207</v>
      </c>
      <c r="AB12" s="32">
        <f t="shared" si="25"/>
        <v>451.98852575671214</v>
      </c>
      <c r="AC12" s="32">
        <f t="shared" si="25"/>
        <v>502.31426642945672</v>
      </c>
      <c r="AD12" s="32">
        <f t="shared" si="25"/>
        <v>552.48148525347244</v>
      </c>
      <c r="AE12" s="32">
        <f t="shared" si="25"/>
        <v>606.64452705728331</v>
      </c>
      <c r="AF12" s="32">
        <f t="shared" si="25"/>
        <v>667.14002018367933</v>
      </c>
      <c r="AG12" s="32">
        <f t="shared" si="25"/>
        <v>733.41459749544777</v>
      </c>
      <c r="AH12" s="32">
        <f t="shared" si="25"/>
        <v>806.19156024250333</v>
      </c>
      <c r="AI12" s="32">
        <f>AH12*(1+$AK$21)</f>
        <v>798.12964464007825</v>
      </c>
      <c r="AJ12" s="32">
        <f t="shared" ref="AJ12:BU12" si="26">AI12*(1+$AK$21)</f>
        <v>790.14834819367752</v>
      </c>
      <c r="AK12" s="32">
        <f t="shared" si="26"/>
        <v>782.24686471174073</v>
      </c>
      <c r="AL12" s="32">
        <f t="shared" si="26"/>
        <v>774.42439606462335</v>
      </c>
      <c r="AM12" s="32">
        <f t="shared" si="26"/>
        <v>766.68015210397709</v>
      </c>
      <c r="AN12" s="32">
        <f t="shared" si="26"/>
        <v>759.01335058293728</v>
      </c>
      <c r="AO12" s="32">
        <f t="shared" si="26"/>
        <v>751.42321707710789</v>
      </c>
      <c r="AP12" s="32">
        <f t="shared" si="26"/>
        <v>743.90898490633685</v>
      </c>
      <c r="AQ12" s="32">
        <f t="shared" si="26"/>
        <v>736.46989505727345</v>
      </c>
      <c r="AR12" s="32">
        <f t="shared" si="26"/>
        <v>729.10519610670076</v>
      </c>
      <c r="AS12" s="32">
        <f t="shared" si="26"/>
        <v>721.81414414563369</v>
      </c>
      <c r="AT12" s="32">
        <f t="shared" si="26"/>
        <v>714.59600270417729</v>
      </c>
      <c r="AU12" s="32">
        <f t="shared" si="26"/>
        <v>707.45004267713557</v>
      </c>
      <c r="AV12" s="32">
        <f t="shared" si="26"/>
        <v>700.37554225036422</v>
      </c>
      <c r="AW12" s="32">
        <f t="shared" si="26"/>
        <v>693.37178682786055</v>
      </c>
      <c r="AX12" s="32">
        <f t="shared" si="26"/>
        <v>686.43806895958198</v>
      </c>
      <c r="AY12" s="32">
        <f t="shared" si="26"/>
        <v>679.57368826998618</v>
      </c>
      <c r="AZ12" s="32">
        <f t="shared" si="26"/>
        <v>672.77795138728629</v>
      </c>
      <c r="BA12" s="32">
        <f t="shared" si="26"/>
        <v>666.05017187341343</v>
      </c>
      <c r="BB12" s="32">
        <f t="shared" si="26"/>
        <v>659.38967015467927</v>
      </c>
      <c r="BC12" s="32">
        <f t="shared" si="26"/>
        <v>652.79577345313248</v>
      </c>
      <c r="BD12" s="32">
        <f t="shared" si="26"/>
        <v>646.26781571860113</v>
      </c>
      <c r="BE12" s="32">
        <f t="shared" si="26"/>
        <v>639.80513756141511</v>
      </c>
      <c r="BF12" s="32">
        <f t="shared" si="26"/>
        <v>633.40708618580095</v>
      </c>
      <c r="BG12" s="32">
        <f t="shared" si="26"/>
        <v>627.07301532394297</v>
      </c>
      <c r="BH12" s="32">
        <f t="shared" si="26"/>
        <v>620.8022851707035</v>
      </c>
      <c r="BI12" s="32">
        <f t="shared" si="26"/>
        <v>614.59426231899647</v>
      </c>
      <c r="BJ12" s="32">
        <f t="shared" si="26"/>
        <v>608.4483196958065</v>
      </c>
      <c r="BK12" s="32">
        <f t="shared" si="26"/>
        <v>602.3638364988484</v>
      </c>
      <c r="BL12" s="32">
        <f t="shared" si="26"/>
        <v>596.34019813385987</v>
      </c>
      <c r="BM12" s="32">
        <f t="shared" si="26"/>
        <v>590.37679615252125</v>
      </c>
      <c r="BN12" s="32">
        <f t="shared" si="26"/>
        <v>584.47302819099605</v>
      </c>
      <c r="BO12" s="32">
        <f t="shared" si="26"/>
        <v>578.62829790908609</v>
      </c>
      <c r="BP12" s="32">
        <f t="shared" si="26"/>
        <v>572.84201492999523</v>
      </c>
      <c r="BQ12" s="32">
        <f t="shared" si="26"/>
        <v>567.11359478069528</v>
      </c>
      <c r="BR12" s="32">
        <f t="shared" si="26"/>
        <v>561.44245883288829</v>
      </c>
      <c r="BS12" s="32">
        <f t="shared" si="26"/>
        <v>555.82803424455938</v>
      </c>
      <c r="BT12" s="32">
        <f t="shared" si="26"/>
        <v>550.26975390211373</v>
      </c>
      <c r="BU12" s="32">
        <f t="shared" si="26"/>
        <v>544.76705636309259</v>
      </c>
    </row>
    <row r="13" spans="2:73" s="32" customFormat="1" x14ac:dyDescent="0.2">
      <c r="B13" s="8" t="s">
        <v>71</v>
      </c>
      <c r="C13" s="32">
        <f t="shared" ref="C13:N13" si="27">C12+C14</f>
        <v>61.699999999999996</v>
      </c>
      <c r="D13" s="33">
        <f t="shared" si="27"/>
        <v>92.528000000000006</v>
      </c>
      <c r="E13" s="32">
        <f t="shared" si="27"/>
        <v>74.599999999999994</v>
      </c>
      <c r="F13" s="33">
        <f t="shared" si="27"/>
        <v>95.200000000000017</v>
      </c>
      <c r="G13" s="32">
        <f t="shared" si="27"/>
        <v>85.000000000000014</v>
      </c>
      <c r="H13" s="33">
        <f t="shared" si="27"/>
        <v>99.40000000000002</v>
      </c>
      <c r="I13" s="32">
        <f t="shared" si="27"/>
        <v>77.3</v>
      </c>
      <c r="J13" s="33">
        <f t="shared" si="27"/>
        <v>125.90000000000003</v>
      </c>
      <c r="K13" s="32">
        <f t="shared" si="27"/>
        <v>135.79999999999998</v>
      </c>
      <c r="L13" s="33">
        <f t="shared" si="27"/>
        <v>108.19999999999997</v>
      </c>
      <c r="M13" s="32">
        <f t="shared" si="27"/>
        <v>115</v>
      </c>
      <c r="N13" s="33">
        <f t="shared" si="27"/>
        <v>156.39999999999998</v>
      </c>
      <c r="P13" s="33"/>
      <c r="R13" s="32">
        <f t="shared" ref="R13:S13" si="28">R12+R14</f>
        <v>129.68899999999999</v>
      </c>
      <c r="S13" s="32">
        <f t="shared" si="28"/>
        <v>154.22799999999998</v>
      </c>
      <c r="T13" s="32">
        <f>T12+T14</f>
        <v>169.8</v>
      </c>
      <c r="U13" s="32">
        <f>U12+U14</f>
        <v>184.40000000000003</v>
      </c>
      <c r="V13" s="32">
        <f>V12+V14</f>
        <v>203.20000000000005</v>
      </c>
      <c r="W13" s="32">
        <f>W12+W14</f>
        <v>244</v>
      </c>
      <c r="X13" s="32">
        <f>X12+X14</f>
        <v>271.39999999999998</v>
      </c>
      <c r="Y13" s="32">
        <f>Y12+Y14</f>
        <v>311.48591670574393</v>
      </c>
      <c r="Z13" s="32">
        <f t="shared" ref="Z13:AH13" si="29">Z12+Z14</f>
        <v>360.94387639143883</v>
      </c>
      <c r="AA13" s="32">
        <f t="shared" si="29"/>
        <v>410.76432586917031</v>
      </c>
      <c r="AB13" s="32">
        <f t="shared" si="29"/>
        <v>452.04728426506051</v>
      </c>
      <c r="AC13" s="32">
        <f t="shared" si="29"/>
        <v>502.37956728409256</v>
      </c>
      <c r="AD13" s="32">
        <f t="shared" si="29"/>
        <v>552.55330784655541</v>
      </c>
      <c r="AE13" s="32">
        <f t="shared" si="29"/>
        <v>606.72339084580074</v>
      </c>
      <c r="AF13" s="32">
        <f t="shared" si="29"/>
        <v>667.22674838630326</v>
      </c>
      <c r="AG13" s="32">
        <f t="shared" si="29"/>
        <v>733.50994139312218</v>
      </c>
      <c r="AH13" s="32">
        <f t="shared" si="29"/>
        <v>806.2963651453349</v>
      </c>
    </row>
    <row r="14" spans="2:73" s="8" customFormat="1" x14ac:dyDescent="0.2">
      <c r="B14" s="8" t="s">
        <v>69</v>
      </c>
      <c r="C14" s="44">
        <v>0</v>
      </c>
      <c r="D14" s="34">
        <f>S14-C14</f>
        <v>0</v>
      </c>
      <c r="E14" s="44">
        <v>0</v>
      </c>
      <c r="F14" s="34">
        <f>T14-E14</f>
        <v>0</v>
      </c>
      <c r="G14" s="44">
        <v>0</v>
      </c>
      <c r="H14" s="34">
        <f t="shared" ref="H14" si="30">U14-G14</f>
        <v>0</v>
      </c>
      <c r="I14" s="44">
        <v>0</v>
      </c>
      <c r="J14" s="34">
        <f>V14-I14</f>
        <v>-0.1</v>
      </c>
      <c r="K14" s="8">
        <v>0.1</v>
      </c>
      <c r="L14" s="34">
        <f>W14-K14</f>
        <v>-0.30000000000000004</v>
      </c>
      <c r="M14" s="8">
        <v>0.2</v>
      </c>
      <c r="N14" s="34">
        <f>X14-M14</f>
        <v>-0.4</v>
      </c>
      <c r="P14" s="34"/>
      <c r="R14" s="8">
        <v>0</v>
      </c>
      <c r="S14" s="8">
        <v>0</v>
      </c>
      <c r="T14" s="8">
        <v>0</v>
      </c>
      <c r="U14" s="8">
        <v>0</v>
      </c>
      <c r="V14" s="8">
        <v>-0.1</v>
      </c>
      <c r="W14" s="8">
        <v>-0.2</v>
      </c>
      <c r="X14" s="93">
        <v>-0.2</v>
      </c>
      <c r="Y14" s="8">
        <f>Y12*0.00013</f>
        <v>4.0487905743999991E-2</v>
      </c>
      <c r="Z14" s="8">
        <f t="shared" ref="Z14:AH14" si="31">Z12*0.00013</f>
        <v>4.6916604772266647E-2</v>
      </c>
      <c r="AA14" s="8">
        <f t="shared" si="31"/>
        <v>5.3392421348216867E-2</v>
      </c>
      <c r="AB14" s="8">
        <f t="shared" si="31"/>
        <v>5.8758508348372575E-2</v>
      </c>
      <c r="AC14" s="8">
        <f t="shared" si="31"/>
        <v>6.5300854635829367E-2</v>
      </c>
      <c r="AD14" s="8">
        <f t="shared" si="31"/>
        <v>7.1822593082951414E-2</v>
      </c>
      <c r="AE14" s="8">
        <f t="shared" si="31"/>
        <v>7.8863788517446826E-2</v>
      </c>
      <c r="AF14" s="8">
        <f t="shared" si="31"/>
        <v>8.67282026238783E-2</v>
      </c>
      <c r="AG14" s="8">
        <f t="shared" si="31"/>
        <v>9.5343897674408207E-2</v>
      </c>
      <c r="AH14" s="8">
        <f t="shared" si="31"/>
        <v>0.10480490283152542</v>
      </c>
    </row>
    <row r="15" spans="2:73" s="35" customFormat="1" x14ac:dyDescent="0.2">
      <c r="B15" s="35" t="s">
        <v>70</v>
      </c>
      <c r="C15" s="35">
        <f t="shared" ref="C15:N15" si="32">C12/C16</f>
        <v>0.16270266756508422</v>
      </c>
      <c r="D15" s="36">
        <f t="shared" si="32"/>
        <v>0.24414534950419484</v>
      </c>
      <c r="E15" s="35">
        <f t="shared" si="32"/>
        <v>0.19681108372907286</v>
      </c>
      <c r="F15" s="36">
        <f t="shared" si="32"/>
        <v>0.25108149993397905</v>
      </c>
      <c r="G15" s="35">
        <f t="shared" si="32"/>
        <v>0.22419479233636896</v>
      </c>
      <c r="H15" s="36">
        <f t="shared" si="32"/>
        <v>0.26220905435668357</v>
      </c>
      <c r="I15" s="35">
        <f t="shared" si="32"/>
        <v>0.20390802308932054</v>
      </c>
      <c r="J15" s="36">
        <f t="shared" si="32"/>
        <v>0.33271719038817016</v>
      </c>
      <c r="K15" s="35">
        <f t="shared" si="32"/>
        <v>0.35795304668952777</v>
      </c>
      <c r="L15" s="36">
        <f t="shared" si="32"/>
        <v>0.28650646950092412</v>
      </c>
      <c r="M15" s="35">
        <f t="shared" si="32"/>
        <v>0.30354309888947645</v>
      </c>
      <c r="N15" s="36">
        <f t="shared" si="32"/>
        <v>0.41481481481481475</v>
      </c>
      <c r="P15" s="36"/>
      <c r="R15" s="35">
        <f t="shared" ref="R15:U15" si="33">R12/R16</f>
        <v>0.34247131519848928</v>
      </c>
      <c r="S15" s="35">
        <f t="shared" si="33"/>
        <v>0.40694761546054115</v>
      </c>
      <c r="T15" s="35">
        <f t="shared" si="33"/>
        <v>0.44783233916795839</v>
      </c>
      <c r="U15" s="35">
        <f t="shared" si="33"/>
        <v>0.48643208876632238</v>
      </c>
      <c r="V15" s="35">
        <f>V12/V16</f>
        <v>0.53612869198312252</v>
      </c>
      <c r="W15" s="35">
        <f>W12/W16</f>
        <v>0.6448376023237391</v>
      </c>
      <c r="X15" s="35">
        <f>X12/X16</f>
        <v>0.71851851851851845</v>
      </c>
      <c r="Y15" s="35">
        <f>Y13/Y16</f>
        <v>0.82403681668186224</v>
      </c>
      <c r="Z15" s="35">
        <f t="shared" ref="Z15:AH15" si="34">Z13/Z16</f>
        <v>0.95487797987153133</v>
      </c>
      <c r="AA15" s="35">
        <f t="shared" si="34"/>
        <v>1.0866781107650008</v>
      </c>
      <c r="AB15" s="35">
        <f t="shared" si="34"/>
        <v>1.1958922864155039</v>
      </c>
      <c r="AC15" s="35">
        <f t="shared" si="34"/>
        <v>1.3290464742965411</v>
      </c>
      <c r="AD15" s="35">
        <f t="shared" si="34"/>
        <v>1.4617812376893</v>
      </c>
      <c r="AE15" s="35">
        <f t="shared" si="34"/>
        <v>1.6050883355709014</v>
      </c>
      <c r="AF15" s="35">
        <f t="shared" si="34"/>
        <v>1.7651501280060933</v>
      </c>
      <c r="AG15" s="35">
        <f t="shared" si="34"/>
        <v>1.9405024904579953</v>
      </c>
      <c r="AH15" s="35">
        <f t="shared" si="34"/>
        <v>2.1330591670511505</v>
      </c>
    </row>
    <row r="16" spans="2:73" s="8" customFormat="1" x14ac:dyDescent="0.2">
      <c r="B16" s="8" t="s">
        <v>5</v>
      </c>
      <c r="C16" s="8">
        <v>379.21935100000002</v>
      </c>
      <c r="D16" s="34">
        <f>S16</f>
        <v>378.98735399999998</v>
      </c>
      <c r="E16" s="8">
        <v>379.04369300000002</v>
      </c>
      <c r="F16" s="34">
        <f>T16</f>
        <v>379.15975500000002</v>
      </c>
      <c r="G16" s="8">
        <v>379.13458700000001</v>
      </c>
      <c r="H16" s="34">
        <f>U16</f>
        <v>379.08683300000001</v>
      </c>
      <c r="I16" s="8">
        <v>379.092489</v>
      </c>
      <c r="J16" s="34">
        <f>W16</f>
        <v>378.7</v>
      </c>
      <c r="K16" s="8">
        <v>379.1</v>
      </c>
      <c r="L16" s="34">
        <f>W16</f>
        <v>378.7</v>
      </c>
      <c r="M16" s="8">
        <v>378.2</v>
      </c>
      <c r="N16" s="34">
        <f>X16</f>
        <v>378</v>
      </c>
      <c r="P16" s="34"/>
      <c r="R16" s="8">
        <v>378.68572999999998</v>
      </c>
      <c r="S16" s="8">
        <v>378.98735399999998</v>
      </c>
      <c r="T16" s="8">
        <v>379.15975500000002</v>
      </c>
      <c r="U16" s="8">
        <v>379.08683300000001</v>
      </c>
      <c r="V16" s="8">
        <v>379.2</v>
      </c>
      <c r="W16" s="8">
        <v>378.7</v>
      </c>
      <c r="X16" s="93">
        <v>378</v>
      </c>
      <c r="Y16" s="8">
        <f>X16</f>
        <v>378</v>
      </c>
      <c r="Z16" s="8">
        <f t="shared" ref="Z16:AH16" si="35">Y16</f>
        <v>378</v>
      </c>
      <c r="AA16" s="8">
        <f t="shared" si="35"/>
        <v>378</v>
      </c>
      <c r="AB16" s="8">
        <f t="shared" si="35"/>
        <v>378</v>
      </c>
      <c r="AC16" s="8">
        <f t="shared" si="35"/>
        <v>378</v>
      </c>
      <c r="AD16" s="8">
        <f t="shared" si="35"/>
        <v>378</v>
      </c>
      <c r="AE16" s="8">
        <f t="shared" si="35"/>
        <v>378</v>
      </c>
      <c r="AF16" s="8">
        <f t="shared" si="35"/>
        <v>378</v>
      </c>
      <c r="AG16" s="8">
        <f t="shared" si="35"/>
        <v>378</v>
      </c>
      <c r="AH16" s="8">
        <f t="shared" si="35"/>
        <v>378</v>
      </c>
    </row>
    <row r="18" spans="2:37" s="39" customFormat="1" x14ac:dyDescent="0.2">
      <c r="B18" s="39" t="s">
        <v>72</v>
      </c>
      <c r="C18" s="79" t="s">
        <v>105</v>
      </c>
      <c r="D18" s="80" t="s">
        <v>105</v>
      </c>
      <c r="E18" s="39">
        <f t="shared" ref="E18:N18" si="36">E4/C4-1</f>
        <v>0.15642899466719329</v>
      </c>
      <c r="F18" s="40">
        <f t="shared" si="36"/>
        <v>9.7364325306933841E-2</v>
      </c>
      <c r="G18" s="39">
        <f t="shared" si="36"/>
        <v>0.11648163962425295</v>
      </c>
      <c r="H18" s="40">
        <f t="shared" si="36"/>
        <v>9.4819315637991508E-2</v>
      </c>
      <c r="I18" s="39">
        <f t="shared" si="36"/>
        <v>-5.4000305950742011E-2</v>
      </c>
      <c r="J18" s="40">
        <f t="shared" si="36"/>
        <v>2.2053454067474831E-2</v>
      </c>
      <c r="K18" s="39">
        <f t="shared" si="36"/>
        <v>0.19210866752910749</v>
      </c>
      <c r="L18" s="40">
        <f t="shared" si="36"/>
        <v>0.1261789082595024</v>
      </c>
      <c r="M18" s="39">
        <f t="shared" si="36"/>
        <v>0.18760173629951149</v>
      </c>
      <c r="N18" s="40">
        <f t="shared" si="36"/>
        <v>0.24007105697246556</v>
      </c>
      <c r="P18" s="40"/>
      <c r="R18" s="78" t="s">
        <v>105</v>
      </c>
      <c r="S18" s="39">
        <f t="shared" ref="S18:V18" si="37">S4/R4-1</f>
        <v>0.11911565602051444</v>
      </c>
      <c r="T18" s="39">
        <f t="shared" si="37"/>
        <v>0.12515110884389768</v>
      </c>
      <c r="U18" s="39">
        <f t="shared" si="37"/>
        <v>0.10529358328515981</v>
      </c>
      <c r="V18" s="39">
        <f t="shared" si="37"/>
        <v>-1.5092647937836268E-2</v>
      </c>
      <c r="W18" s="39">
        <f>W4/V4-1</f>
        <v>0.15710817781823683</v>
      </c>
      <c r="X18" s="39">
        <f t="shared" ref="X18" si="38">X4/W4-1</f>
        <v>0.21471185996197462</v>
      </c>
      <c r="Y18" s="39">
        <v>0.18</v>
      </c>
      <c r="Z18" s="39">
        <v>0.15</v>
      </c>
      <c r="AA18" s="39">
        <v>0.13</v>
      </c>
      <c r="AB18" s="39">
        <v>0.11</v>
      </c>
      <c r="AC18" s="39">
        <v>0.11</v>
      </c>
      <c r="AD18" s="39">
        <v>0.1</v>
      </c>
      <c r="AE18" s="39">
        <v>0.1</v>
      </c>
      <c r="AF18" s="39">
        <v>0.1</v>
      </c>
      <c r="AG18" s="39">
        <v>0.1</v>
      </c>
      <c r="AH18" s="39">
        <v>0.1</v>
      </c>
    </row>
    <row r="19" spans="2:37" s="37" customFormat="1" x14ac:dyDescent="0.2">
      <c r="B19" s="37" t="s">
        <v>73</v>
      </c>
      <c r="C19" s="78" t="s">
        <v>105</v>
      </c>
      <c r="D19" s="38">
        <f t="shared" ref="D19:M19" si="39">D4/C4-1</f>
        <v>0.1256389492395813</v>
      </c>
      <c r="E19" s="37">
        <f t="shared" si="39"/>
        <v>2.7353393775519264E-2</v>
      </c>
      <c r="F19" s="38">
        <f t="shared" si="39"/>
        <v>6.8146883005977932E-2</v>
      </c>
      <c r="G19" s="37">
        <f t="shared" si="39"/>
        <v>4.5251039334825549E-2</v>
      </c>
      <c r="H19" s="38">
        <f t="shared" si="39"/>
        <v>4.7422364999235134E-2</v>
      </c>
      <c r="I19" s="37">
        <f t="shared" si="39"/>
        <v>-9.6830728786329923E-2</v>
      </c>
      <c r="J19" s="38">
        <f t="shared" si="39"/>
        <v>0.13163001293661081</v>
      </c>
      <c r="K19" s="37">
        <f t="shared" si="39"/>
        <v>5.3443841097456479E-2</v>
      </c>
      <c r="L19" s="38">
        <f t="shared" si="39"/>
        <v>6.9045035268583632E-2</v>
      </c>
      <c r="M19" s="37">
        <f t="shared" si="39"/>
        <v>0.11089963202639264</v>
      </c>
      <c r="N19" s="38">
        <f t="shared" ref="N19" si="40">N4/M4-1</f>
        <v>0.11627641347801254</v>
      </c>
      <c r="P19" s="38"/>
      <c r="R19" s="78" t="s">
        <v>105</v>
      </c>
      <c r="S19" s="78" t="s">
        <v>105</v>
      </c>
      <c r="T19" s="78" t="s">
        <v>105</v>
      </c>
      <c r="U19" s="78" t="s">
        <v>105</v>
      </c>
      <c r="V19" s="78" t="s">
        <v>105</v>
      </c>
      <c r="W19" s="78" t="s">
        <v>105</v>
      </c>
      <c r="X19" s="78" t="s">
        <v>105</v>
      </c>
    </row>
    <row r="20" spans="2:37" x14ac:dyDescent="0.2">
      <c r="X20" s="1"/>
    </row>
    <row r="21" spans="2:37" s="37" customFormat="1" x14ac:dyDescent="0.2">
      <c r="B21" s="37" t="s">
        <v>74</v>
      </c>
      <c r="C21" s="37">
        <f t="shared" ref="C21:N21" si="41">C5/C4</f>
        <v>0.16156428994667194</v>
      </c>
      <c r="D21" s="38">
        <f t="shared" si="41"/>
        <v>0.17451496812660222</v>
      </c>
      <c r="E21" s="37">
        <f t="shared" si="41"/>
        <v>0.17147736976942785</v>
      </c>
      <c r="F21" s="38">
        <f t="shared" si="41"/>
        <v>0.18771985929005436</v>
      </c>
      <c r="G21" s="37">
        <f t="shared" si="41"/>
        <v>0.17072051399724641</v>
      </c>
      <c r="H21" s="38">
        <f t="shared" si="41"/>
        <v>0.17788812618665109</v>
      </c>
      <c r="I21" s="37">
        <f t="shared" si="41"/>
        <v>0.16510349288486417</v>
      </c>
      <c r="J21" s="38">
        <f t="shared" si="41"/>
        <v>0.19819948556730496</v>
      </c>
      <c r="K21" s="37">
        <f t="shared" si="41"/>
        <v>0.18665219750406944</v>
      </c>
      <c r="L21" s="38">
        <f t="shared" si="41"/>
        <v>0.1792919680243624</v>
      </c>
      <c r="M21" s="37">
        <f t="shared" si="41"/>
        <v>0.17327241576242147</v>
      </c>
      <c r="N21" s="38">
        <f t="shared" ref="N21" si="42">N5/N4</f>
        <v>0.16033971144991302</v>
      </c>
      <c r="P21" s="38"/>
      <c r="R21" s="37">
        <f t="shared" ref="R21:T21" si="43">R5/R4</f>
        <v>0.17373047910804418</v>
      </c>
      <c r="S21" s="37">
        <f t="shared" si="43"/>
        <v>0.16842236327262963</v>
      </c>
      <c r="T21" s="37">
        <f t="shared" si="43"/>
        <v>0.17986621521182591</v>
      </c>
      <c r="U21" s="37">
        <f t="shared" ref="U21" si="44">U5/U4</f>
        <v>0.17438732815301852</v>
      </c>
      <c r="V21" s="37">
        <f t="shared" ref="V21:W21" si="45">V5/V4</f>
        <v>0.18267334243665606</v>
      </c>
      <c r="W21" s="37">
        <f t="shared" si="45"/>
        <v>0.18284927555235034</v>
      </c>
      <c r="X21" s="37">
        <f t="shared" ref="X21" si="46">X5/X4</f>
        <v>0.16645077720207252</v>
      </c>
      <c r="Y21" s="37">
        <f t="shared" ref="X21:AH21" si="47">Y5/Y4</f>
        <v>0.18</v>
      </c>
      <c r="Z21" s="37">
        <f t="shared" si="47"/>
        <v>0.18</v>
      </c>
      <c r="AA21" s="37">
        <f t="shared" si="47"/>
        <v>0.18</v>
      </c>
      <c r="AB21" s="37">
        <f t="shared" si="47"/>
        <v>0.18</v>
      </c>
      <c r="AC21" s="37">
        <f t="shared" si="47"/>
        <v>0.18</v>
      </c>
      <c r="AD21" s="37">
        <f t="shared" si="47"/>
        <v>0.18</v>
      </c>
      <c r="AE21" s="37">
        <f t="shared" si="47"/>
        <v>0.18</v>
      </c>
      <c r="AF21" s="37">
        <f t="shared" si="47"/>
        <v>0.18</v>
      </c>
      <c r="AG21" s="37">
        <f t="shared" si="47"/>
        <v>0.18</v>
      </c>
      <c r="AH21" s="37">
        <f t="shared" si="47"/>
        <v>0.18</v>
      </c>
      <c r="AJ21" s="58" t="s">
        <v>108</v>
      </c>
      <c r="AK21" s="63">
        <v>-0.01</v>
      </c>
    </row>
    <row r="22" spans="2:37" s="37" customFormat="1" x14ac:dyDescent="0.2">
      <c r="B22" s="37" t="s">
        <v>75</v>
      </c>
      <c r="C22" s="37">
        <f t="shared" ref="C22:N22" si="48">C12/C4</f>
        <v>0.12186450720916452</v>
      </c>
      <c r="D22" s="38">
        <f t="shared" si="48"/>
        <v>0.16235517475535652</v>
      </c>
      <c r="E22" s="37">
        <f t="shared" si="48"/>
        <v>0.12741246797608879</v>
      </c>
      <c r="F22" s="38">
        <f t="shared" si="48"/>
        <v>0.15222257755036778</v>
      </c>
      <c r="G22" s="37">
        <f t="shared" si="48"/>
        <v>0.13002906532048342</v>
      </c>
      <c r="H22" s="38">
        <f t="shared" si="48"/>
        <v>0.14517306849715206</v>
      </c>
      <c r="I22" s="37">
        <f t="shared" si="48"/>
        <v>0.125</v>
      </c>
      <c r="J22" s="38">
        <f t="shared" si="48"/>
        <v>0.18005144326950559</v>
      </c>
      <c r="K22" s="37">
        <f t="shared" si="48"/>
        <v>0.18407487791644056</v>
      </c>
      <c r="L22" s="38">
        <f t="shared" si="48"/>
        <v>0.13767288415175738</v>
      </c>
      <c r="M22" s="37">
        <f t="shared" si="48"/>
        <v>0.1311250713877784</v>
      </c>
      <c r="N22" s="38">
        <f t="shared" ref="N22" si="49">N12/N4</f>
        <v>0.16044203417579042</v>
      </c>
      <c r="P22" s="38"/>
      <c r="R22" s="37">
        <f t="shared" ref="R22:T22" si="50">R12/R4</f>
        <v>0.13485923328570745</v>
      </c>
      <c r="S22" s="37">
        <f t="shared" si="50"/>
        <v>0.14330647057129131</v>
      </c>
      <c r="T22" s="37">
        <f t="shared" si="50"/>
        <v>0.14022627797505988</v>
      </c>
      <c r="U22" s="37">
        <f t="shared" ref="U22" si="51">U12/U4</f>
        <v>0.13777644949193069</v>
      </c>
      <c r="V22" s="37">
        <f t="shared" ref="V22:W22" si="52">V12/V4</f>
        <v>0.1542254589591868</v>
      </c>
      <c r="W22" s="37">
        <f t="shared" si="52"/>
        <v>0.16009965252737166</v>
      </c>
      <c r="X22" s="37">
        <f t="shared" ref="X22" si="53">X12/X4</f>
        <v>0.14658894645941276</v>
      </c>
      <c r="Y22" s="37">
        <f t="shared" ref="X22:AH22" si="54">Y12/Y4</f>
        <v>0.14245293829220457</v>
      </c>
      <c r="Z22" s="37">
        <f t="shared" si="54"/>
        <v>0.14354062531686063</v>
      </c>
      <c r="AA22" s="37">
        <f t="shared" si="54"/>
        <v>0.14456042989970849</v>
      </c>
      <c r="AB22" s="37">
        <f t="shared" si="54"/>
        <v>0.14332356359312728</v>
      </c>
      <c r="AC22" s="37">
        <f t="shared" si="54"/>
        <v>0.1434969671222025</v>
      </c>
      <c r="AD22" s="37">
        <f t="shared" si="54"/>
        <v>0.14348029225277995</v>
      </c>
      <c r="AE22" s="37">
        <f t="shared" si="54"/>
        <v>0.1432241069017984</v>
      </c>
      <c r="AF22" s="37">
        <f t="shared" si="54"/>
        <v>0.14318784321348271</v>
      </c>
      <c r="AG22" s="37">
        <f t="shared" si="54"/>
        <v>0.14310210371476892</v>
      </c>
      <c r="AH22" s="37">
        <f t="shared" si="54"/>
        <v>0.14300197343638865</v>
      </c>
      <c r="AJ22" s="59" t="s">
        <v>109</v>
      </c>
      <c r="AK22" s="64">
        <v>0.06</v>
      </c>
    </row>
    <row r="23" spans="2:37" s="37" customFormat="1" x14ac:dyDescent="0.2">
      <c r="B23" s="37" t="s">
        <v>104</v>
      </c>
      <c r="C23" s="37">
        <f t="shared" ref="C23:M23" si="55">C11/C10</f>
        <v>0.19661458333333334</v>
      </c>
      <c r="D23" s="38">
        <f t="shared" si="55"/>
        <v>2.7546269535150138E-2</v>
      </c>
      <c r="E23" s="37">
        <f t="shared" si="55"/>
        <v>0.21058201058201056</v>
      </c>
      <c r="F23" s="38">
        <f t="shared" si="55"/>
        <v>0.15151515151515149</v>
      </c>
      <c r="G23" s="37">
        <f t="shared" si="55"/>
        <v>0.19659735349716445</v>
      </c>
      <c r="H23" s="38">
        <f t="shared" si="55"/>
        <v>0.15976331360946744</v>
      </c>
      <c r="I23" s="37">
        <f t="shared" si="55"/>
        <v>0.19730010384215993</v>
      </c>
      <c r="J23" s="38">
        <f t="shared" si="55"/>
        <v>0.1954022988505747</v>
      </c>
      <c r="K23" s="37">
        <f t="shared" si="55"/>
        <v>0.18985074626865672</v>
      </c>
      <c r="L23" s="38">
        <f t="shared" si="55"/>
        <v>0.20745069393718046</v>
      </c>
      <c r="M23" s="37">
        <f t="shared" si="55"/>
        <v>0.21099656357388316</v>
      </c>
      <c r="N23" s="38">
        <f t="shared" ref="N23" si="56">N11/N10</f>
        <v>0.1445717403164212</v>
      </c>
      <c r="P23" s="38"/>
      <c r="R23" s="37">
        <f t="shared" ref="R23:T23" si="57">R11/R10</f>
        <v>0.17763771139420301</v>
      </c>
      <c r="S23" s="37">
        <f t="shared" si="57"/>
        <v>0.10305962814555479</v>
      </c>
      <c r="T23" s="37">
        <f t="shared" si="57"/>
        <v>0.17851959361393321</v>
      </c>
      <c r="U23" s="37">
        <f t="shared" ref="U23" si="58">U11/U10</f>
        <v>0.17715305667112896</v>
      </c>
      <c r="V23" s="37">
        <f t="shared" ref="V23:W23" si="59">V11/V10</f>
        <v>0.19612495057334914</v>
      </c>
      <c r="W23" s="37">
        <f t="shared" si="59"/>
        <v>0.19776609724047309</v>
      </c>
      <c r="X23" s="37">
        <f t="shared" ref="X23" si="60">X11/X10</f>
        <v>0.1739659367396594</v>
      </c>
      <c r="Y23" s="37">
        <v>0.21</v>
      </c>
      <c r="Z23" s="37">
        <v>0.21</v>
      </c>
      <c r="AA23" s="37">
        <v>0.21</v>
      </c>
      <c r="AB23" s="37">
        <v>0.21</v>
      </c>
      <c r="AC23" s="37">
        <v>0.21</v>
      </c>
      <c r="AD23" s="37">
        <v>0.21</v>
      </c>
      <c r="AE23" s="37">
        <v>0.21</v>
      </c>
      <c r="AF23" s="37">
        <v>0.21</v>
      </c>
      <c r="AG23" s="37">
        <v>0.21</v>
      </c>
      <c r="AH23" s="37">
        <v>0.21</v>
      </c>
      <c r="AJ23" s="59" t="s">
        <v>110</v>
      </c>
      <c r="AK23" s="65">
        <f>NPV(AK22,X12:BU12)</f>
        <v>9418.8522325957074</v>
      </c>
    </row>
    <row r="24" spans="2:37" x14ac:dyDescent="0.2">
      <c r="AJ24" s="60" t="s">
        <v>9</v>
      </c>
      <c r="AK24" s="12">
        <f>Main!C11</f>
        <v>-487.19999999999993</v>
      </c>
    </row>
    <row r="25" spans="2:37" x14ac:dyDescent="0.2">
      <c r="AJ25" s="60" t="s">
        <v>111</v>
      </c>
      <c r="AK25" s="66">
        <f>AK23+AK24</f>
        <v>8931.6522325957067</v>
      </c>
    </row>
    <row r="26" spans="2:37" x14ac:dyDescent="0.2">
      <c r="AJ26" s="61" t="s">
        <v>112</v>
      </c>
      <c r="AK26" s="67">
        <f>AK25/Main!C7</f>
        <v>23.62870961004155</v>
      </c>
    </row>
    <row r="27" spans="2:37" x14ac:dyDescent="0.2">
      <c r="B27" s="41" t="s">
        <v>76</v>
      </c>
      <c r="AJ27" s="60" t="s">
        <v>113</v>
      </c>
      <c r="AK27" s="12">
        <f>Main!C6</f>
        <v>23.32</v>
      </c>
    </row>
    <row r="28" spans="2:37" x14ac:dyDescent="0.2">
      <c r="B28" s="1" t="s">
        <v>77</v>
      </c>
      <c r="C28" s="1">
        <f>216.4+586.8</f>
        <v>803.19999999999993</v>
      </c>
      <c r="D28" s="34">
        <f>S28</f>
        <v>866.72400000000005</v>
      </c>
      <c r="E28" s="1">
        <f>655.6+229.9</f>
        <v>885.5</v>
      </c>
      <c r="F28" s="34">
        <f>T28</f>
        <v>939.2</v>
      </c>
      <c r="G28" s="8">
        <f>765.5+272.4</f>
        <v>1037.9000000000001</v>
      </c>
      <c r="H28" s="34">
        <f>U28</f>
        <v>1166.8</v>
      </c>
      <c r="I28" s="8">
        <f>829.8+303.8</f>
        <v>1133.5999999999999</v>
      </c>
      <c r="J28" s="34">
        <f>V28</f>
        <v>1098.5</v>
      </c>
      <c r="K28" s="8">
        <f>867.4+319.3</f>
        <v>1186.7</v>
      </c>
      <c r="L28" s="34">
        <f>W28</f>
        <v>1233.9000000000001</v>
      </c>
      <c r="M28" s="8">
        <f>1101.8+418.6</f>
        <v>1520.4</v>
      </c>
      <c r="N28" s="34">
        <f>X28</f>
        <v>1592.8</v>
      </c>
      <c r="R28" s="8">
        <f>603.553+234.43</f>
        <v>837.98299999999995</v>
      </c>
      <c r="S28" s="8">
        <f>632.162+234.562</f>
        <v>866.72400000000005</v>
      </c>
      <c r="T28" s="8">
        <f>694+245.2</f>
        <v>939.2</v>
      </c>
      <c r="U28" s="8">
        <f>838.4+328.4</f>
        <v>1166.8</v>
      </c>
      <c r="V28" s="8">
        <f>808.5+290</f>
        <v>1098.5</v>
      </c>
      <c r="W28" s="8">
        <f>908.7+325.2</f>
        <v>1233.9000000000001</v>
      </c>
      <c r="X28" s="93">
        <f>1120.5+472.3</f>
        <v>1592.8</v>
      </c>
      <c r="AJ28" s="62" t="s">
        <v>114</v>
      </c>
      <c r="AK28" s="68">
        <f>AK26/AK27-1</f>
        <v>1.3237976416876185E-2</v>
      </c>
    </row>
    <row r="29" spans="2:37" x14ac:dyDescent="0.2">
      <c r="B29" s="1" t="s">
        <v>78</v>
      </c>
      <c r="C29" s="1">
        <v>102.6</v>
      </c>
      <c r="D29" s="34">
        <f>S29</f>
        <v>103.727</v>
      </c>
      <c r="E29" s="1">
        <v>109.6</v>
      </c>
      <c r="F29" s="34">
        <f>T29</f>
        <v>112.4</v>
      </c>
      <c r="G29" s="8">
        <v>171.7</v>
      </c>
      <c r="H29" s="34">
        <f>U29</f>
        <v>184.3</v>
      </c>
      <c r="I29" s="8">
        <v>184.7</v>
      </c>
      <c r="J29" s="34">
        <f>V29</f>
        <v>180.8</v>
      </c>
      <c r="K29" s="8">
        <v>186.7</v>
      </c>
      <c r="L29" s="34">
        <f>W29</f>
        <v>194</v>
      </c>
      <c r="M29" s="8">
        <v>224.5</v>
      </c>
      <c r="N29" s="34">
        <f t="shared" ref="N29:N37" si="61">X29</f>
        <v>222.9</v>
      </c>
      <c r="R29" s="8">
        <v>106.01600000000001</v>
      </c>
      <c r="S29" s="8">
        <v>103.727</v>
      </c>
      <c r="T29" s="8">
        <v>112.4</v>
      </c>
      <c r="U29" s="8">
        <v>184.3</v>
      </c>
      <c r="V29" s="8">
        <v>180.8</v>
      </c>
      <c r="W29" s="8">
        <v>194</v>
      </c>
      <c r="X29" s="93">
        <v>222.9</v>
      </c>
      <c r="Y29" s="42"/>
      <c r="Z29" s="42"/>
      <c r="AA29" s="42"/>
      <c r="AB29" s="42"/>
      <c r="AC29" s="42"/>
      <c r="AD29" s="42"/>
      <c r="AE29" s="42"/>
      <c r="AF29" s="42"/>
      <c r="AG29" s="42"/>
      <c r="AH29" s="42"/>
    </row>
    <row r="30" spans="2:37" s="2" customFormat="1" x14ac:dyDescent="0.2">
      <c r="B30" s="2" t="s">
        <v>79</v>
      </c>
      <c r="C30" s="2">
        <v>3.4</v>
      </c>
      <c r="D30" s="33">
        <f>S30</f>
        <v>3.9929999999999999</v>
      </c>
      <c r="E30" s="2">
        <v>3.9</v>
      </c>
      <c r="F30" s="33">
        <f>T30</f>
        <v>3.9</v>
      </c>
      <c r="G30" s="32">
        <v>5.5</v>
      </c>
      <c r="H30" s="33">
        <f>U30</f>
        <v>4.8</v>
      </c>
      <c r="I30" s="32">
        <v>4.8</v>
      </c>
      <c r="J30" s="33">
        <f>V30</f>
        <v>9.3000000000000007</v>
      </c>
      <c r="K30" s="32">
        <v>9.9</v>
      </c>
      <c r="L30" s="34">
        <f t="shared" ref="L30:L37" si="62">W30</f>
        <v>8.1999999999999993</v>
      </c>
      <c r="M30" s="32">
        <v>19.8</v>
      </c>
      <c r="N30" s="33">
        <f>X30</f>
        <v>21</v>
      </c>
      <c r="P30" s="27"/>
      <c r="R30" s="32">
        <v>3.5529999999999999</v>
      </c>
      <c r="S30" s="32">
        <v>3.9929999999999999</v>
      </c>
      <c r="T30" s="32">
        <v>3.9</v>
      </c>
      <c r="U30" s="32">
        <v>4.8</v>
      </c>
      <c r="V30" s="32">
        <v>9.3000000000000007</v>
      </c>
      <c r="W30" s="32">
        <v>8.1999999999999993</v>
      </c>
      <c r="X30" s="92">
        <v>21</v>
      </c>
    </row>
    <row r="31" spans="2:37" x14ac:dyDescent="0.2">
      <c r="B31" s="1" t="s">
        <v>80</v>
      </c>
      <c r="C31" s="1">
        <v>0</v>
      </c>
      <c r="D31" s="34">
        <f t="shared" ref="D31:D33" si="63">S31</f>
        <v>0</v>
      </c>
      <c r="E31" s="1">
        <v>0</v>
      </c>
      <c r="F31" s="34">
        <f t="shared" ref="F31:F33" si="64">T31</f>
        <v>0</v>
      </c>
      <c r="G31" s="8">
        <v>0</v>
      </c>
      <c r="H31" s="34">
        <f t="shared" ref="H31:H33" si="65">U31</f>
        <v>5.4</v>
      </c>
      <c r="I31" s="8">
        <v>0</v>
      </c>
      <c r="J31" s="34">
        <f t="shared" ref="J31:J33" si="66">V31</f>
        <v>0</v>
      </c>
      <c r="K31" s="8">
        <v>4.8</v>
      </c>
      <c r="L31" s="34">
        <f t="shared" si="62"/>
        <v>31.1</v>
      </c>
      <c r="M31" s="8">
        <v>43.9</v>
      </c>
      <c r="N31" s="34">
        <f t="shared" si="61"/>
        <v>38.4</v>
      </c>
      <c r="R31" s="8">
        <v>0</v>
      </c>
      <c r="S31" s="8">
        <v>0</v>
      </c>
      <c r="T31" s="8">
        <v>0</v>
      </c>
      <c r="U31" s="8">
        <v>5.4</v>
      </c>
      <c r="V31" s="8">
        <v>0</v>
      </c>
      <c r="W31" s="8">
        <v>31.1</v>
      </c>
      <c r="X31" s="93">
        <v>38.4</v>
      </c>
    </row>
    <row r="32" spans="2:37" x14ac:dyDescent="0.2">
      <c r="B32" s="1" t="s">
        <v>81</v>
      </c>
      <c r="C32" s="1">
        <v>0</v>
      </c>
      <c r="D32" s="34">
        <f t="shared" si="63"/>
        <v>0</v>
      </c>
      <c r="E32" s="1">
        <v>0</v>
      </c>
      <c r="F32" s="34">
        <f t="shared" si="64"/>
        <v>0</v>
      </c>
      <c r="G32" s="8">
        <v>0</v>
      </c>
      <c r="H32" s="34">
        <f t="shared" si="65"/>
        <v>0</v>
      </c>
      <c r="I32" s="8">
        <v>0</v>
      </c>
      <c r="J32" s="34">
        <f t="shared" si="66"/>
        <v>13.9</v>
      </c>
      <c r="K32" s="8">
        <v>14.7</v>
      </c>
      <c r="L32" s="34">
        <f t="shared" si="62"/>
        <v>14.7</v>
      </c>
      <c r="M32" s="8">
        <v>14.7</v>
      </c>
      <c r="N32" s="34">
        <f t="shared" si="61"/>
        <v>14.7</v>
      </c>
      <c r="R32" s="8">
        <v>0</v>
      </c>
      <c r="S32" s="8">
        <v>0</v>
      </c>
      <c r="T32" s="8">
        <v>0</v>
      </c>
      <c r="U32" s="8">
        <v>0</v>
      </c>
      <c r="V32" s="8">
        <v>13.9</v>
      </c>
      <c r="W32" s="8">
        <v>14.7</v>
      </c>
      <c r="X32" s="93">
        <v>14.7</v>
      </c>
    </row>
    <row r="33" spans="2:24" x14ac:dyDescent="0.2">
      <c r="B33" s="1" t="s">
        <v>82</v>
      </c>
      <c r="C33" s="1">
        <v>55.3</v>
      </c>
      <c r="D33" s="34">
        <f t="shared" si="63"/>
        <v>36.976999999999997</v>
      </c>
      <c r="E33" s="1">
        <v>30.9</v>
      </c>
      <c r="F33" s="34">
        <f t="shared" si="64"/>
        <v>1.4</v>
      </c>
      <c r="G33" s="8">
        <v>1.4</v>
      </c>
      <c r="H33" s="34">
        <f t="shared" si="65"/>
        <v>1.3</v>
      </c>
      <c r="I33" s="8">
        <v>5.6</v>
      </c>
      <c r="J33" s="34">
        <f t="shared" si="66"/>
        <v>1.3</v>
      </c>
      <c r="K33" s="8">
        <v>1.9</v>
      </c>
      <c r="L33" s="34">
        <f t="shared" si="62"/>
        <v>2.4</v>
      </c>
      <c r="M33" s="8">
        <v>2.8</v>
      </c>
      <c r="N33" s="34">
        <f t="shared" si="61"/>
        <v>3</v>
      </c>
      <c r="R33" s="8">
        <v>56.866</v>
      </c>
      <c r="S33" s="8">
        <v>36.976999999999997</v>
      </c>
      <c r="T33" s="8">
        <v>1.4</v>
      </c>
      <c r="U33" s="8">
        <v>1.3</v>
      </c>
      <c r="V33" s="8">
        <v>1.3</v>
      </c>
      <c r="W33" s="8">
        <v>2.4</v>
      </c>
      <c r="X33" s="93">
        <v>3</v>
      </c>
    </row>
    <row r="34" spans="2:24" x14ac:dyDescent="0.2">
      <c r="B34" s="1" t="s">
        <v>83</v>
      </c>
      <c r="C34" s="8">
        <f t="shared" ref="C34:M34" si="67">SUM(C28:C33)</f>
        <v>964.49999999999989</v>
      </c>
      <c r="D34" s="34">
        <f t="shared" si="67"/>
        <v>1011.421</v>
      </c>
      <c r="E34" s="8">
        <f t="shared" si="67"/>
        <v>1029.9000000000001</v>
      </c>
      <c r="F34" s="34">
        <f t="shared" si="67"/>
        <v>1056.9000000000003</v>
      </c>
      <c r="G34" s="8">
        <f t="shared" si="67"/>
        <v>1216.5000000000002</v>
      </c>
      <c r="H34" s="34">
        <f t="shared" si="67"/>
        <v>1362.6</v>
      </c>
      <c r="I34" s="8">
        <f t="shared" si="67"/>
        <v>1328.6999999999998</v>
      </c>
      <c r="J34" s="34">
        <f t="shared" si="67"/>
        <v>1303.8</v>
      </c>
      <c r="K34" s="8">
        <f t="shared" si="67"/>
        <v>1404.7000000000003</v>
      </c>
      <c r="L34" s="34">
        <f t="shared" si="67"/>
        <v>1484.3000000000002</v>
      </c>
      <c r="M34" s="8">
        <f t="shared" si="67"/>
        <v>1826.1000000000001</v>
      </c>
      <c r="N34" s="34">
        <f t="shared" si="61"/>
        <v>1892.8000000000002</v>
      </c>
      <c r="R34" s="8">
        <f t="shared" ref="R34:X34" si="68">SUM(R28:R33)</f>
        <v>1004.4179999999999</v>
      </c>
      <c r="S34" s="8">
        <f t="shared" si="68"/>
        <v>1011.421</v>
      </c>
      <c r="T34" s="8">
        <f t="shared" si="68"/>
        <v>1056.9000000000003</v>
      </c>
      <c r="U34" s="8">
        <f t="shared" si="68"/>
        <v>1362.6</v>
      </c>
      <c r="V34" s="8">
        <f t="shared" si="68"/>
        <v>1303.8</v>
      </c>
      <c r="W34" s="8">
        <f t="shared" si="68"/>
        <v>1484.3000000000002</v>
      </c>
      <c r="X34" s="8">
        <f t="shared" si="68"/>
        <v>1892.8000000000002</v>
      </c>
    </row>
    <row r="35" spans="2:24" x14ac:dyDescent="0.2">
      <c r="B35" s="1" t="s">
        <v>84</v>
      </c>
      <c r="C35" s="1">
        <v>124.2</v>
      </c>
      <c r="D35" s="34">
        <f t="shared" ref="D35:D39" si="69">S35</f>
        <v>127.96599999999999</v>
      </c>
      <c r="E35" s="1">
        <v>141.19999999999999</v>
      </c>
      <c r="F35" s="34">
        <f t="shared" ref="F35:F37" si="70">T35</f>
        <v>144.30000000000001</v>
      </c>
      <c r="G35" s="8">
        <v>162.9</v>
      </c>
      <c r="H35" s="34">
        <f t="shared" ref="H35:H37" si="71">U35</f>
        <v>170.6</v>
      </c>
      <c r="I35" s="8">
        <v>175.8</v>
      </c>
      <c r="J35" s="34">
        <f t="shared" ref="J35:J37" si="72">V35</f>
        <v>167.8</v>
      </c>
      <c r="K35" s="8">
        <v>193.2</v>
      </c>
      <c r="L35" s="34">
        <f t="shared" si="62"/>
        <v>228.8</v>
      </c>
      <c r="M35" s="8">
        <v>308.8</v>
      </c>
      <c r="N35" s="34">
        <f t="shared" si="61"/>
        <v>312.39999999999998</v>
      </c>
      <c r="R35" s="8">
        <v>118.78</v>
      </c>
      <c r="S35" s="8">
        <v>127.96599999999999</v>
      </c>
      <c r="T35" s="8">
        <v>144.30000000000001</v>
      </c>
      <c r="U35" s="8">
        <v>170.6</v>
      </c>
      <c r="V35" s="8">
        <v>167.8</v>
      </c>
      <c r="W35" s="8">
        <v>228.8</v>
      </c>
      <c r="X35" s="93">
        <v>312.39999999999998</v>
      </c>
    </row>
    <row r="36" spans="2:24" x14ac:dyDescent="0.2">
      <c r="B36" s="1" t="s">
        <v>85</v>
      </c>
      <c r="C36" s="1">
        <v>203.4</v>
      </c>
      <c r="D36" s="34">
        <f t="shared" si="69"/>
        <v>235.184</v>
      </c>
      <c r="E36" s="1">
        <v>241.8</v>
      </c>
      <c r="F36" s="34">
        <f t="shared" si="70"/>
        <v>259.60000000000002</v>
      </c>
      <c r="G36" s="8">
        <v>275.2</v>
      </c>
      <c r="H36" s="34">
        <f t="shared" si="71"/>
        <v>286.60000000000002</v>
      </c>
      <c r="I36" s="8">
        <v>245.3</v>
      </c>
      <c r="J36" s="34">
        <f t="shared" si="72"/>
        <v>268</v>
      </c>
      <c r="K36" s="8">
        <v>279.2</v>
      </c>
      <c r="L36" s="34">
        <f t="shared" si="62"/>
        <v>325.10000000000002</v>
      </c>
      <c r="M36" s="8">
        <v>389.9</v>
      </c>
      <c r="N36" s="34">
        <f t="shared" si="61"/>
        <v>410.7</v>
      </c>
      <c r="R36" s="8">
        <v>212.23599999999999</v>
      </c>
      <c r="S36" s="8">
        <v>235.184</v>
      </c>
      <c r="T36" s="8">
        <v>259.60000000000002</v>
      </c>
      <c r="U36" s="8">
        <v>286.60000000000002</v>
      </c>
      <c r="V36" s="8">
        <v>268</v>
      </c>
      <c r="W36" s="8">
        <v>325.10000000000002</v>
      </c>
      <c r="X36" s="93">
        <v>410.7</v>
      </c>
    </row>
    <row r="37" spans="2:24" x14ac:dyDescent="0.2">
      <c r="B37" s="1" t="s">
        <v>81</v>
      </c>
      <c r="C37" s="1">
        <v>0.4</v>
      </c>
      <c r="D37" s="34">
        <f t="shared" si="69"/>
        <v>0.85899999999999999</v>
      </c>
      <c r="E37" s="1">
        <v>0.7</v>
      </c>
      <c r="F37" s="34">
        <f t="shared" si="70"/>
        <v>0.2</v>
      </c>
      <c r="G37" s="8">
        <v>4.8</v>
      </c>
      <c r="H37" s="34">
        <f t="shared" si="71"/>
        <v>10.7</v>
      </c>
      <c r="I37" s="8">
        <v>6.5</v>
      </c>
      <c r="J37" s="34">
        <f t="shared" si="72"/>
        <v>2.5</v>
      </c>
      <c r="K37" s="8">
        <v>4.4000000000000004</v>
      </c>
      <c r="L37" s="34">
        <f t="shared" si="62"/>
        <v>0.7</v>
      </c>
      <c r="M37" s="8">
        <v>1.9</v>
      </c>
      <c r="N37" s="34">
        <f t="shared" si="61"/>
        <v>1.5</v>
      </c>
      <c r="R37" s="8">
        <v>0.124</v>
      </c>
      <c r="S37" s="8">
        <v>0.85899999999999999</v>
      </c>
      <c r="T37" s="8">
        <v>0.2</v>
      </c>
      <c r="U37" s="8">
        <v>10.7</v>
      </c>
      <c r="V37" s="8">
        <v>2.5</v>
      </c>
      <c r="W37" s="8">
        <v>0.7</v>
      </c>
      <c r="X37" s="93">
        <v>1.5</v>
      </c>
    </row>
    <row r="38" spans="2:24" s="2" customFormat="1" x14ac:dyDescent="0.2">
      <c r="B38" s="2" t="s">
        <v>86</v>
      </c>
      <c r="C38" s="2">
        <v>71.7</v>
      </c>
      <c r="D38" s="33">
        <f t="shared" si="69"/>
        <v>70.721000000000004</v>
      </c>
      <c r="E38" s="2">
        <v>66.400000000000006</v>
      </c>
      <c r="F38" s="33">
        <f t="shared" ref="F38:F39" si="73">T38</f>
        <v>81.2</v>
      </c>
      <c r="G38" s="32">
        <v>83.2</v>
      </c>
      <c r="H38" s="33">
        <f t="shared" ref="H38:H39" si="74">U38</f>
        <v>106.3</v>
      </c>
      <c r="I38" s="32">
        <v>125.5</v>
      </c>
      <c r="J38" s="33">
        <f t="shared" ref="J38:J39" si="75">V38</f>
        <v>134.1</v>
      </c>
      <c r="K38" s="32">
        <v>131.1</v>
      </c>
      <c r="L38" s="33">
        <f>W38</f>
        <v>157.4</v>
      </c>
      <c r="M38" s="32">
        <v>213.4</v>
      </c>
      <c r="N38" s="33">
        <f t="shared" ref="N38:N39" si="76">X38</f>
        <v>169.5</v>
      </c>
      <c r="P38" s="27"/>
      <c r="R38" s="32">
        <v>66.826999999999998</v>
      </c>
      <c r="S38" s="32">
        <v>70.721000000000004</v>
      </c>
      <c r="T38" s="32">
        <v>81.2</v>
      </c>
      <c r="U38" s="32">
        <v>106.3</v>
      </c>
      <c r="V38" s="32">
        <v>134.1</v>
      </c>
      <c r="W38" s="32">
        <v>157.4</v>
      </c>
      <c r="X38" s="92">
        <v>169.5</v>
      </c>
    </row>
    <row r="39" spans="2:24" s="2" customFormat="1" x14ac:dyDescent="0.2">
      <c r="B39" s="2" t="s">
        <v>94</v>
      </c>
      <c r="C39" s="2">
        <v>0.6</v>
      </c>
      <c r="D39" s="33">
        <f t="shared" si="69"/>
        <v>0.70499999999999996</v>
      </c>
      <c r="E39" s="2">
        <v>0.3</v>
      </c>
      <c r="F39" s="33">
        <f t="shared" si="73"/>
        <v>0.9</v>
      </c>
      <c r="G39" s="32">
        <v>0.9</v>
      </c>
      <c r="H39" s="33">
        <f t="shared" si="74"/>
        <v>1</v>
      </c>
      <c r="I39" s="32">
        <v>0.4</v>
      </c>
      <c r="J39" s="33">
        <f t="shared" si="75"/>
        <v>1.7</v>
      </c>
      <c r="K39" s="32">
        <v>0.6</v>
      </c>
      <c r="L39" s="33">
        <f>W39</f>
        <v>0.7</v>
      </c>
      <c r="M39" s="32">
        <v>1.2</v>
      </c>
      <c r="N39" s="33">
        <f t="shared" si="76"/>
        <v>1.5</v>
      </c>
      <c r="P39" s="27"/>
      <c r="R39" s="32">
        <v>0.59799999999999998</v>
      </c>
      <c r="S39" s="32">
        <v>0.70499999999999996</v>
      </c>
      <c r="T39" s="32">
        <v>0.9</v>
      </c>
      <c r="U39" s="32">
        <v>1</v>
      </c>
      <c r="V39" s="32">
        <v>1.7</v>
      </c>
      <c r="W39" s="32">
        <v>0.7</v>
      </c>
      <c r="X39" s="92">
        <v>1.5</v>
      </c>
    </row>
    <row r="40" spans="2:24" x14ac:dyDescent="0.2">
      <c r="B40" s="1" t="s">
        <v>87</v>
      </c>
      <c r="C40" s="8">
        <f t="shared" ref="C40:N40" si="77">SUM(C35:C39)+C34</f>
        <v>1364.8</v>
      </c>
      <c r="D40" s="34">
        <f t="shared" si="77"/>
        <v>1446.856</v>
      </c>
      <c r="E40" s="8">
        <f t="shared" si="77"/>
        <v>1480.3000000000002</v>
      </c>
      <c r="F40" s="34">
        <f t="shared" si="77"/>
        <v>1543.1000000000004</v>
      </c>
      <c r="G40" s="8">
        <f t="shared" si="77"/>
        <v>1743.5000000000002</v>
      </c>
      <c r="H40" s="34">
        <f t="shared" si="77"/>
        <v>1937.8</v>
      </c>
      <c r="I40" s="8">
        <f t="shared" si="77"/>
        <v>1882.1999999999998</v>
      </c>
      <c r="J40" s="34">
        <f t="shared" si="77"/>
        <v>1877.9</v>
      </c>
      <c r="K40" s="8">
        <f t="shared" si="77"/>
        <v>2013.2000000000003</v>
      </c>
      <c r="L40" s="34">
        <f t="shared" si="77"/>
        <v>2197.0000000000005</v>
      </c>
      <c r="M40" s="8">
        <f t="shared" si="77"/>
        <v>2741.3</v>
      </c>
      <c r="N40" s="34">
        <f t="shared" si="77"/>
        <v>2788.4</v>
      </c>
      <c r="R40" s="8">
        <f t="shared" ref="R40:X40" si="78">SUM(R35:R39)+R34</f>
        <v>1402.9829999999999</v>
      </c>
      <c r="S40" s="8">
        <f t="shared" si="78"/>
        <v>1446.856</v>
      </c>
      <c r="T40" s="8">
        <f t="shared" si="78"/>
        <v>1543.1000000000004</v>
      </c>
      <c r="U40" s="8">
        <f t="shared" si="78"/>
        <v>1937.8</v>
      </c>
      <c r="V40" s="8">
        <f t="shared" si="78"/>
        <v>1877.9</v>
      </c>
      <c r="W40" s="8">
        <f t="shared" si="78"/>
        <v>2197.0000000000005</v>
      </c>
      <c r="X40" s="8">
        <f t="shared" si="78"/>
        <v>2788.4</v>
      </c>
    </row>
    <row r="41" spans="2:24" x14ac:dyDescent="0.2">
      <c r="G41" s="8"/>
      <c r="H41" s="34"/>
      <c r="I41" s="8"/>
      <c r="L41" s="34"/>
      <c r="M41" s="8"/>
      <c r="T41" s="8"/>
      <c r="U41" s="8"/>
      <c r="V41" s="8"/>
      <c r="W41" s="8"/>
    </row>
    <row r="42" spans="2:24" s="2" customFormat="1" x14ac:dyDescent="0.2">
      <c r="B42" s="2" t="s">
        <v>88</v>
      </c>
      <c r="C42" s="32">
        <v>0.2</v>
      </c>
      <c r="D42" s="33">
        <f>S42</f>
        <v>1.1419999999999999</v>
      </c>
      <c r="E42" s="32">
        <v>3</v>
      </c>
      <c r="F42" s="33">
        <f t="shared" ref="F42" si="79">T42</f>
        <v>9.1999999999999993</v>
      </c>
      <c r="G42" s="32">
        <v>1.7</v>
      </c>
      <c r="H42" s="33">
        <f>U42</f>
        <v>75.099999999999994</v>
      </c>
      <c r="I42" s="32">
        <v>76.099999999999994</v>
      </c>
      <c r="J42" s="33">
        <f>V42</f>
        <v>3</v>
      </c>
      <c r="K42" s="32">
        <v>206.1</v>
      </c>
      <c r="L42" s="33">
        <f>W42</f>
        <v>72.5</v>
      </c>
      <c r="M42" s="32">
        <v>256.39999999999998</v>
      </c>
      <c r="N42" s="33">
        <f t="shared" ref="N42" si="80">X42</f>
        <v>1</v>
      </c>
      <c r="P42" s="27"/>
      <c r="R42" s="32">
        <v>1.351</v>
      </c>
      <c r="S42" s="32">
        <v>1.1419999999999999</v>
      </c>
      <c r="T42" s="32">
        <v>9.1999999999999993</v>
      </c>
      <c r="U42" s="32">
        <v>75.099999999999994</v>
      </c>
      <c r="V42" s="32">
        <v>3</v>
      </c>
      <c r="W42" s="32">
        <v>72.5</v>
      </c>
      <c r="X42" s="96">
        <v>1</v>
      </c>
    </row>
    <row r="43" spans="2:24" x14ac:dyDescent="0.2">
      <c r="B43" s="1" t="s">
        <v>89</v>
      </c>
      <c r="C43" s="8">
        <v>0</v>
      </c>
      <c r="D43" s="34">
        <f>S43</f>
        <v>0</v>
      </c>
      <c r="E43" s="8">
        <v>0</v>
      </c>
      <c r="F43" s="34">
        <f>T43</f>
        <v>0</v>
      </c>
      <c r="G43" s="8">
        <v>12.3</v>
      </c>
      <c r="H43" s="34">
        <f>U43</f>
        <v>13</v>
      </c>
      <c r="I43" s="8">
        <v>13</v>
      </c>
      <c r="J43" s="34">
        <f>V43</f>
        <v>13.3</v>
      </c>
      <c r="K43" s="8">
        <v>3</v>
      </c>
      <c r="L43" s="34">
        <f t="shared" ref="L43:L47" si="81">W43</f>
        <v>15.5</v>
      </c>
      <c r="M43" s="8">
        <v>78.8</v>
      </c>
      <c r="N43" s="34">
        <f t="shared" ref="N43:N48" si="82">X43</f>
        <v>19.2</v>
      </c>
      <c r="R43" s="8">
        <v>0</v>
      </c>
      <c r="S43" s="8">
        <v>0</v>
      </c>
      <c r="T43" s="8">
        <v>0</v>
      </c>
      <c r="U43" s="8">
        <v>13</v>
      </c>
      <c r="V43" s="8">
        <v>13.3</v>
      </c>
      <c r="W43" s="8">
        <v>15.5</v>
      </c>
      <c r="X43" s="95">
        <v>19.2</v>
      </c>
    </row>
    <row r="44" spans="2:24" x14ac:dyDescent="0.2">
      <c r="B44" s="1" t="s">
        <v>90</v>
      </c>
      <c r="C44" s="8">
        <v>0</v>
      </c>
      <c r="D44" s="34">
        <f t="shared" ref="D44:D47" si="83">S44</f>
        <v>0</v>
      </c>
      <c r="E44" s="8">
        <v>0</v>
      </c>
      <c r="F44" s="34">
        <f t="shared" ref="F44:F47" si="84">T44</f>
        <v>0</v>
      </c>
      <c r="G44" s="8">
        <v>0</v>
      </c>
      <c r="H44" s="34">
        <f t="shared" ref="H44:H47" si="85">U44</f>
        <v>0</v>
      </c>
      <c r="I44" s="8">
        <v>0</v>
      </c>
      <c r="J44" s="34">
        <f t="shared" ref="J44:J47" si="86">V44</f>
        <v>0</v>
      </c>
      <c r="K44" s="8">
        <v>14.2</v>
      </c>
      <c r="L44" s="34">
        <f t="shared" si="81"/>
        <v>0</v>
      </c>
      <c r="M44" s="8">
        <v>19.399999999999999</v>
      </c>
      <c r="N44" s="34">
        <f t="shared" si="82"/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95">
        <v>0</v>
      </c>
    </row>
    <row r="45" spans="2:24" x14ac:dyDescent="0.2">
      <c r="B45" s="1" t="s">
        <v>91</v>
      </c>
      <c r="C45" s="8">
        <v>125.7</v>
      </c>
      <c r="D45" s="34">
        <f t="shared" si="83"/>
        <v>149.6</v>
      </c>
      <c r="E45" s="8">
        <v>154.5</v>
      </c>
      <c r="F45" s="34">
        <f t="shared" si="84"/>
        <v>164.8</v>
      </c>
      <c r="G45" s="8">
        <v>157.9</v>
      </c>
      <c r="H45" s="34">
        <f t="shared" si="85"/>
        <v>186.7</v>
      </c>
      <c r="I45" s="8">
        <v>158.69999999999999</v>
      </c>
      <c r="J45" s="34">
        <f t="shared" si="86"/>
        <v>186.7</v>
      </c>
      <c r="K45" s="8">
        <v>22</v>
      </c>
      <c r="L45" s="34">
        <f t="shared" si="81"/>
        <v>242.7</v>
      </c>
      <c r="M45" s="8">
        <v>26.5</v>
      </c>
      <c r="N45" s="34">
        <f t="shared" si="82"/>
        <v>280.7</v>
      </c>
      <c r="R45" s="8">
        <v>134.816</v>
      </c>
      <c r="S45" s="8">
        <v>149.6</v>
      </c>
      <c r="T45" s="8">
        <v>164.8</v>
      </c>
      <c r="U45" s="8">
        <v>186.7</v>
      </c>
      <c r="V45" s="8">
        <v>186.7</v>
      </c>
      <c r="W45" s="8">
        <v>242.7</v>
      </c>
      <c r="X45" s="95">
        <v>280.7</v>
      </c>
    </row>
    <row r="46" spans="2:24" x14ac:dyDescent="0.2">
      <c r="B46" s="1" t="s">
        <v>92</v>
      </c>
      <c r="C46" s="8">
        <v>4.7</v>
      </c>
      <c r="D46" s="34">
        <f t="shared" si="83"/>
        <v>8.8339999999999996</v>
      </c>
      <c r="E46" s="8">
        <v>18.2</v>
      </c>
      <c r="F46" s="34">
        <f t="shared" si="84"/>
        <v>25.4</v>
      </c>
      <c r="G46" s="8">
        <v>20.5</v>
      </c>
      <c r="H46" s="34">
        <f t="shared" si="85"/>
        <v>28</v>
      </c>
      <c r="I46" s="8">
        <v>30.5</v>
      </c>
      <c r="J46" s="34">
        <f t="shared" si="86"/>
        <v>35.4</v>
      </c>
      <c r="K46" s="8">
        <v>13.8</v>
      </c>
      <c r="L46" s="34">
        <f t="shared" si="81"/>
        <v>20.7</v>
      </c>
      <c r="M46" s="8">
        <v>15.8</v>
      </c>
      <c r="N46" s="34">
        <f t="shared" si="82"/>
        <v>21</v>
      </c>
      <c r="R46" s="8">
        <v>6.7759999999999998</v>
      </c>
      <c r="S46" s="8">
        <v>8.8339999999999996</v>
      </c>
      <c r="T46" s="8">
        <v>25.4</v>
      </c>
      <c r="U46" s="8">
        <v>28</v>
      </c>
      <c r="V46" s="8">
        <v>35.4</v>
      </c>
      <c r="W46" s="8">
        <v>20.7</v>
      </c>
      <c r="X46" s="95">
        <v>21</v>
      </c>
    </row>
    <row r="47" spans="2:24" x14ac:dyDescent="0.2">
      <c r="B47" s="1" t="s">
        <v>82</v>
      </c>
      <c r="C47" s="8">
        <v>14.9</v>
      </c>
      <c r="D47" s="34">
        <f t="shared" si="83"/>
        <v>12.175000000000001</v>
      </c>
      <c r="E47" s="8">
        <v>13.3</v>
      </c>
      <c r="F47" s="34">
        <f t="shared" si="84"/>
        <v>13.4</v>
      </c>
      <c r="G47" s="8">
        <v>13.4</v>
      </c>
      <c r="H47" s="34">
        <f t="shared" si="85"/>
        <v>9.4</v>
      </c>
      <c r="I47" s="8">
        <v>11.3</v>
      </c>
      <c r="J47" s="34">
        <f t="shared" si="86"/>
        <v>8.9</v>
      </c>
      <c r="K47" s="8">
        <v>0.2</v>
      </c>
      <c r="L47" s="34">
        <f t="shared" si="81"/>
        <v>11.6</v>
      </c>
      <c r="M47" s="8">
        <v>3.4</v>
      </c>
      <c r="N47" s="34">
        <f t="shared" si="82"/>
        <v>18.399999999999999</v>
      </c>
      <c r="R47" s="8">
        <v>16.055</v>
      </c>
      <c r="S47" s="8">
        <v>12.175000000000001</v>
      </c>
      <c r="T47" s="8">
        <v>13.4</v>
      </c>
      <c r="U47" s="8">
        <v>9.4</v>
      </c>
      <c r="V47" s="8">
        <v>8.9</v>
      </c>
      <c r="W47" s="8">
        <v>11.6</v>
      </c>
      <c r="X47" s="95">
        <v>18.399999999999999</v>
      </c>
    </row>
    <row r="48" spans="2:24" s="2" customFormat="1" x14ac:dyDescent="0.2">
      <c r="B48" s="2" t="s">
        <v>94</v>
      </c>
      <c r="C48" s="32">
        <v>0.4</v>
      </c>
      <c r="D48" s="33">
        <f>S48</f>
        <v>0.223</v>
      </c>
      <c r="E48" s="32">
        <v>0.5</v>
      </c>
      <c r="F48" s="33">
        <f t="shared" ref="F48" si="87">T48</f>
        <v>0.3</v>
      </c>
      <c r="G48" s="32">
        <v>0.7</v>
      </c>
      <c r="H48" s="33">
        <f>U48</f>
        <v>1</v>
      </c>
      <c r="I48" s="32">
        <v>0.9</v>
      </c>
      <c r="J48" s="33">
        <f>V48</f>
        <v>0.7</v>
      </c>
      <c r="K48" s="32">
        <v>0</v>
      </c>
      <c r="L48" s="33">
        <f>W48</f>
        <v>0.9</v>
      </c>
      <c r="M48" s="32">
        <v>0</v>
      </c>
      <c r="N48" s="33">
        <f t="shared" si="82"/>
        <v>0.9</v>
      </c>
      <c r="P48" s="27"/>
      <c r="R48" s="32">
        <v>0.315</v>
      </c>
      <c r="S48" s="32">
        <v>0.223</v>
      </c>
      <c r="T48" s="32">
        <v>0.3</v>
      </c>
      <c r="U48" s="32">
        <v>1</v>
      </c>
      <c r="V48" s="32">
        <v>0.7</v>
      </c>
      <c r="W48" s="32">
        <v>0.9</v>
      </c>
      <c r="X48" s="96">
        <v>0.9</v>
      </c>
    </row>
    <row r="49" spans="2:24" x14ac:dyDescent="0.2">
      <c r="B49" s="1" t="s">
        <v>100</v>
      </c>
      <c r="C49" s="8">
        <f t="shared" ref="C49:N49" si="88">SUM(C42:C48)</f>
        <v>145.9</v>
      </c>
      <c r="D49" s="34">
        <f t="shared" si="88"/>
        <v>171.97400000000002</v>
      </c>
      <c r="E49" s="8">
        <f t="shared" si="88"/>
        <v>189.5</v>
      </c>
      <c r="F49" s="34">
        <f t="shared" si="88"/>
        <v>213.10000000000002</v>
      </c>
      <c r="G49" s="8">
        <f t="shared" si="88"/>
        <v>206.5</v>
      </c>
      <c r="H49" s="34">
        <f t="shared" si="88"/>
        <v>313.19999999999993</v>
      </c>
      <c r="I49" s="8">
        <f t="shared" si="88"/>
        <v>290.49999999999994</v>
      </c>
      <c r="J49" s="34">
        <f t="shared" si="88"/>
        <v>248</v>
      </c>
      <c r="K49" s="8">
        <f t="shared" si="88"/>
        <v>259.29999999999995</v>
      </c>
      <c r="L49" s="34">
        <f t="shared" si="88"/>
        <v>363.9</v>
      </c>
      <c r="M49" s="8">
        <f t="shared" si="88"/>
        <v>400.29999999999995</v>
      </c>
      <c r="N49" s="34">
        <f t="shared" si="88"/>
        <v>341.19999999999993</v>
      </c>
      <c r="R49" s="8">
        <f t="shared" ref="R49:X49" si="89">SUM(R42:R48)</f>
        <v>159.31300000000002</v>
      </c>
      <c r="S49" s="8">
        <f t="shared" si="89"/>
        <v>171.97400000000002</v>
      </c>
      <c r="T49" s="8">
        <f t="shared" si="89"/>
        <v>213.10000000000002</v>
      </c>
      <c r="U49" s="8">
        <f t="shared" si="89"/>
        <v>313.19999999999993</v>
      </c>
      <c r="V49" s="8">
        <f t="shared" si="89"/>
        <v>248</v>
      </c>
      <c r="W49" s="8">
        <f t="shared" si="89"/>
        <v>363.9</v>
      </c>
      <c r="X49" s="8">
        <f t="shared" si="89"/>
        <v>341.19999999999993</v>
      </c>
    </row>
    <row r="50" spans="2:24" s="2" customFormat="1" x14ac:dyDescent="0.2">
      <c r="B50" s="2" t="s">
        <v>88</v>
      </c>
      <c r="C50" s="32">
        <v>252.5</v>
      </c>
      <c r="D50" s="33">
        <f>S50</f>
        <v>289.91300000000001</v>
      </c>
      <c r="E50" s="32">
        <v>258</v>
      </c>
      <c r="F50" s="33">
        <f t="shared" ref="F50:F55" si="90">T50</f>
        <v>253.7</v>
      </c>
      <c r="G50" s="32">
        <v>334.9</v>
      </c>
      <c r="H50" s="33">
        <f>U50</f>
        <v>345</v>
      </c>
      <c r="I50" s="32">
        <v>300</v>
      </c>
      <c r="J50" s="33">
        <f>V50</f>
        <v>322.3</v>
      </c>
      <c r="K50" s="32">
        <v>340.7</v>
      </c>
      <c r="L50" s="33">
        <f>W50</f>
        <v>287.60000000000002</v>
      </c>
      <c r="M50" s="32">
        <v>545.6</v>
      </c>
      <c r="N50" s="27">
        <f>X50</f>
        <v>677.3</v>
      </c>
      <c r="P50" s="27"/>
      <c r="R50" s="32">
        <v>261.91800000000001</v>
      </c>
      <c r="S50" s="32">
        <v>289.91300000000001</v>
      </c>
      <c r="T50" s="32">
        <v>253.7</v>
      </c>
      <c r="U50" s="32">
        <v>345</v>
      </c>
      <c r="V50" s="32">
        <v>322.3</v>
      </c>
      <c r="W50" s="32">
        <v>287.60000000000002</v>
      </c>
      <c r="X50" s="96">
        <v>677.3</v>
      </c>
    </row>
    <row r="51" spans="2:24" x14ac:dyDescent="0.2">
      <c r="B51" s="1" t="s">
        <v>89</v>
      </c>
      <c r="C51" s="8">
        <v>0</v>
      </c>
      <c r="D51" s="34">
        <f t="shared" ref="D51:D55" si="91">S51</f>
        <v>0</v>
      </c>
      <c r="E51" s="8">
        <v>0</v>
      </c>
      <c r="F51" s="34">
        <f t="shared" si="90"/>
        <v>0</v>
      </c>
      <c r="G51" s="8">
        <v>44.7</v>
      </c>
      <c r="H51" s="34">
        <f t="shared" ref="H51:H55" si="92">U51</f>
        <v>48.5</v>
      </c>
      <c r="I51" s="8">
        <v>51.4</v>
      </c>
      <c r="J51" s="34">
        <f t="shared" ref="J51:J55" si="93">V51</f>
        <v>51.7</v>
      </c>
      <c r="K51" s="8">
        <v>53.4</v>
      </c>
      <c r="L51" s="34">
        <f t="shared" ref="L51:L55" si="94">W51</f>
        <v>56.6</v>
      </c>
      <c r="M51" s="8">
        <v>69.2</v>
      </c>
      <c r="N51" s="34">
        <f t="shared" ref="N51:N55" si="95">X51</f>
        <v>68.7</v>
      </c>
      <c r="R51" s="8">
        <v>0</v>
      </c>
      <c r="S51" s="8">
        <v>0</v>
      </c>
      <c r="T51" s="8">
        <v>0</v>
      </c>
      <c r="U51" s="8">
        <v>48.5</v>
      </c>
      <c r="V51" s="8">
        <v>51.7</v>
      </c>
      <c r="W51" s="8">
        <v>56.6</v>
      </c>
      <c r="X51" s="95">
        <v>68.7</v>
      </c>
    </row>
    <row r="52" spans="2:24" x14ac:dyDescent="0.2">
      <c r="B52" s="1" t="s">
        <v>90</v>
      </c>
      <c r="C52" s="8">
        <v>66.8</v>
      </c>
      <c r="D52" s="34">
        <f t="shared" si="91"/>
        <v>53.896000000000001</v>
      </c>
      <c r="E52" s="8">
        <v>20.7</v>
      </c>
      <c r="F52" s="34">
        <f t="shared" si="90"/>
        <v>39.200000000000003</v>
      </c>
      <c r="G52" s="8">
        <v>27.6</v>
      </c>
      <c r="H52" s="34">
        <f t="shared" si="92"/>
        <v>10.6</v>
      </c>
      <c r="I52" s="8">
        <v>45</v>
      </c>
      <c r="J52" s="34">
        <f t="shared" si="93"/>
        <v>22.5</v>
      </c>
      <c r="K52" s="8">
        <v>10.1</v>
      </c>
      <c r="L52" s="34">
        <f t="shared" si="94"/>
        <v>0.6</v>
      </c>
      <c r="M52" s="8">
        <v>0.7</v>
      </c>
      <c r="N52" s="34">
        <f t="shared" si="95"/>
        <v>0.5</v>
      </c>
      <c r="R52" s="8">
        <v>74.855999999999995</v>
      </c>
      <c r="S52" s="8">
        <v>53.896000000000001</v>
      </c>
      <c r="T52" s="8">
        <v>39.200000000000003</v>
      </c>
      <c r="U52" s="8">
        <v>10.6</v>
      </c>
      <c r="V52" s="8">
        <v>22.5</v>
      </c>
      <c r="W52" s="8">
        <v>0.6</v>
      </c>
      <c r="X52" s="95">
        <v>0.5</v>
      </c>
    </row>
    <row r="53" spans="2:24" x14ac:dyDescent="0.2">
      <c r="B53" s="1" t="s">
        <v>91</v>
      </c>
      <c r="C53" s="8">
        <v>11.4</v>
      </c>
      <c r="D53" s="34">
        <f t="shared" si="91"/>
        <v>12.621</v>
      </c>
      <c r="E53" s="8">
        <v>9.6999999999999993</v>
      </c>
      <c r="F53" s="34">
        <f t="shared" si="90"/>
        <v>11.6</v>
      </c>
      <c r="G53" s="8">
        <v>13.3</v>
      </c>
      <c r="H53" s="34">
        <f t="shared" si="92"/>
        <v>13.3</v>
      </c>
      <c r="I53" s="8">
        <v>16.3</v>
      </c>
      <c r="J53" s="34">
        <f t="shared" si="93"/>
        <v>16.8</v>
      </c>
      <c r="K53" s="8">
        <v>15.2</v>
      </c>
      <c r="L53" s="34">
        <f t="shared" si="94"/>
        <v>19</v>
      </c>
      <c r="M53" s="8">
        <v>21.4</v>
      </c>
      <c r="N53" s="34">
        <f t="shared" si="95"/>
        <v>21.9</v>
      </c>
      <c r="R53" s="8">
        <v>11.221</v>
      </c>
      <c r="S53" s="8">
        <v>12.621</v>
      </c>
      <c r="T53" s="8">
        <v>11.6</v>
      </c>
      <c r="U53" s="8">
        <v>13.3</v>
      </c>
      <c r="V53" s="8">
        <v>16.8</v>
      </c>
      <c r="W53" s="8">
        <v>19</v>
      </c>
      <c r="X53" s="95">
        <v>21.9</v>
      </c>
    </row>
    <row r="54" spans="2:24" x14ac:dyDescent="0.2">
      <c r="B54" s="1" t="s">
        <v>92</v>
      </c>
      <c r="C54" s="8">
        <v>16.899999999999999</v>
      </c>
      <c r="D54" s="34">
        <f t="shared" si="91"/>
        <v>23.071999999999999</v>
      </c>
      <c r="E54" s="8">
        <v>4.7</v>
      </c>
      <c r="F54" s="34">
        <f t="shared" si="90"/>
        <v>10.9</v>
      </c>
      <c r="G54" s="8">
        <v>7.9</v>
      </c>
      <c r="H54" s="34">
        <f t="shared" si="92"/>
        <v>21.6</v>
      </c>
      <c r="I54" s="8">
        <v>14.3</v>
      </c>
      <c r="J54" s="34">
        <f t="shared" si="93"/>
        <v>8.4</v>
      </c>
      <c r="K54" s="8">
        <v>6.3</v>
      </c>
      <c r="L54" s="34">
        <f t="shared" si="94"/>
        <v>7.7</v>
      </c>
      <c r="M54" s="8">
        <v>7.9</v>
      </c>
      <c r="N54" s="34">
        <f t="shared" si="95"/>
        <v>9.6999999999999993</v>
      </c>
      <c r="R54" s="8">
        <v>16.917000000000002</v>
      </c>
      <c r="S54" s="8">
        <v>23.071999999999999</v>
      </c>
      <c r="T54" s="8">
        <v>10.9</v>
      </c>
      <c r="U54" s="8">
        <v>21.6</v>
      </c>
      <c r="V54" s="8">
        <v>8.4</v>
      </c>
      <c r="W54" s="8">
        <v>7.7</v>
      </c>
      <c r="X54" s="95">
        <v>9.6999999999999993</v>
      </c>
    </row>
    <row r="55" spans="2:24" x14ac:dyDescent="0.2">
      <c r="B55" s="1" t="s">
        <v>82</v>
      </c>
      <c r="C55" s="8">
        <v>96</v>
      </c>
      <c r="D55" s="34">
        <f t="shared" si="91"/>
        <v>66.983000000000004</v>
      </c>
      <c r="E55" s="8">
        <v>70.400000000000006</v>
      </c>
      <c r="F55" s="34">
        <f t="shared" si="90"/>
        <v>33.200000000000003</v>
      </c>
      <c r="G55" s="8">
        <v>41.1</v>
      </c>
      <c r="H55" s="34">
        <f t="shared" si="92"/>
        <v>48.7</v>
      </c>
      <c r="I55" s="8">
        <v>41.7</v>
      </c>
      <c r="J55" s="34">
        <f t="shared" si="93"/>
        <v>40.6</v>
      </c>
      <c r="K55" s="8">
        <v>51.1</v>
      </c>
      <c r="L55" s="34">
        <f t="shared" si="94"/>
        <v>58.5</v>
      </c>
      <c r="M55" s="8">
        <v>69.2</v>
      </c>
      <c r="N55" s="34">
        <f t="shared" si="95"/>
        <v>70.2</v>
      </c>
      <c r="R55" s="8">
        <v>100.121</v>
      </c>
      <c r="S55" s="8">
        <v>66.983000000000004</v>
      </c>
      <c r="T55" s="8">
        <v>33.200000000000003</v>
      </c>
      <c r="U55" s="8">
        <v>48.7</v>
      </c>
      <c r="V55" s="8">
        <v>40.6</v>
      </c>
      <c r="W55" s="8">
        <v>58.5</v>
      </c>
      <c r="X55" s="95">
        <v>70.2</v>
      </c>
    </row>
    <row r="56" spans="2:24" x14ac:dyDescent="0.2">
      <c r="B56" s="1" t="s">
        <v>93</v>
      </c>
      <c r="C56" s="8">
        <f t="shared" ref="C56:N56" si="96">C49+SUM(C50:C55)</f>
        <v>589.5</v>
      </c>
      <c r="D56" s="34">
        <f t="shared" si="96"/>
        <v>618.45900000000006</v>
      </c>
      <c r="E56" s="8">
        <f t="shared" si="96"/>
        <v>553</v>
      </c>
      <c r="F56" s="34">
        <f t="shared" si="96"/>
        <v>561.70000000000005</v>
      </c>
      <c r="G56" s="8">
        <f t="shared" si="96"/>
        <v>676</v>
      </c>
      <c r="H56" s="34">
        <f t="shared" si="96"/>
        <v>800.9</v>
      </c>
      <c r="I56" s="8">
        <f t="shared" si="96"/>
        <v>759.19999999999993</v>
      </c>
      <c r="J56" s="34">
        <f t="shared" si="96"/>
        <v>710.3</v>
      </c>
      <c r="K56" s="8">
        <f t="shared" si="96"/>
        <v>736.09999999999991</v>
      </c>
      <c r="L56" s="34">
        <f t="shared" si="96"/>
        <v>793.90000000000009</v>
      </c>
      <c r="M56" s="8">
        <f t="shared" si="96"/>
        <v>1114.3000000000002</v>
      </c>
      <c r="N56" s="34">
        <f t="shared" si="96"/>
        <v>1189.5</v>
      </c>
      <c r="R56" s="8">
        <f t="shared" ref="R56:S56" si="97">R49+SUM(R50:R55)</f>
        <v>624.346</v>
      </c>
      <c r="S56" s="8">
        <f t="shared" si="97"/>
        <v>618.45900000000006</v>
      </c>
      <c r="T56" s="8">
        <f>T49+SUM(T50:T55)</f>
        <v>561.70000000000005</v>
      </c>
      <c r="U56" s="8">
        <f>U49+SUM(U50:U55)</f>
        <v>800.9</v>
      </c>
      <c r="V56" s="8">
        <f>V49+SUM(V50:V55)</f>
        <v>710.3</v>
      </c>
      <c r="W56" s="8">
        <f>W49+SUM(W50:W55)</f>
        <v>793.90000000000009</v>
      </c>
      <c r="X56" s="8">
        <f>X49+SUM(X50:X55)</f>
        <v>1189.5</v>
      </c>
    </row>
    <row r="57" spans="2:24" x14ac:dyDescent="0.2">
      <c r="M57" s="8"/>
      <c r="T57" s="8"/>
      <c r="U57" s="8"/>
    </row>
    <row r="58" spans="2:24" s="8" customFormat="1" x14ac:dyDescent="0.2">
      <c r="B58" s="8" t="s">
        <v>95</v>
      </c>
      <c r="C58" s="8">
        <v>775.3</v>
      </c>
      <c r="D58" s="34">
        <f>S58</f>
        <v>828.39700000000005</v>
      </c>
      <c r="E58" s="8">
        <v>927.3</v>
      </c>
      <c r="F58" s="34">
        <f>T58</f>
        <v>981.4</v>
      </c>
      <c r="G58" s="8">
        <v>1067.5</v>
      </c>
      <c r="H58" s="34">
        <f>U58</f>
        <v>1136.9000000000001</v>
      </c>
      <c r="I58" s="8">
        <v>1123</v>
      </c>
      <c r="J58" s="34">
        <f>V58</f>
        <v>1167.5999999999999</v>
      </c>
      <c r="K58" s="8">
        <v>1277.0999999999999</v>
      </c>
      <c r="L58" s="34">
        <f>W58</f>
        <v>1403.1</v>
      </c>
      <c r="M58" s="8">
        <v>1627</v>
      </c>
      <c r="N58" s="34">
        <f>X58</f>
        <v>1598.9</v>
      </c>
      <c r="P58" s="34"/>
      <c r="R58" s="8">
        <v>778.63699999999994</v>
      </c>
      <c r="S58" s="8">
        <v>828.39700000000005</v>
      </c>
      <c r="T58" s="8">
        <v>981.4</v>
      </c>
      <c r="U58" s="8">
        <v>1136.9000000000001</v>
      </c>
      <c r="V58" s="8">
        <v>1167.5999999999999</v>
      </c>
      <c r="W58" s="8">
        <v>1403.1</v>
      </c>
      <c r="X58" s="8">
        <v>1598.9</v>
      </c>
    </row>
    <row r="59" spans="2:24" x14ac:dyDescent="0.2">
      <c r="B59" s="1" t="s">
        <v>96</v>
      </c>
      <c r="C59" s="8">
        <f t="shared" ref="C59:N59" si="98">C58+C56</f>
        <v>1364.8</v>
      </c>
      <c r="D59" s="34">
        <f t="shared" si="98"/>
        <v>1446.8560000000002</v>
      </c>
      <c r="E59" s="8">
        <f t="shared" si="98"/>
        <v>1480.3</v>
      </c>
      <c r="F59" s="34">
        <f t="shared" si="98"/>
        <v>1543.1</v>
      </c>
      <c r="G59" s="8">
        <f t="shared" si="98"/>
        <v>1743.5</v>
      </c>
      <c r="H59" s="34">
        <f t="shared" si="98"/>
        <v>1937.8000000000002</v>
      </c>
      <c r="I59" s="8">
        <f t="shared" si="98"/>
        <v>1882.1999999999998</v>
      </c>
      <c r="J59" s="34">
        <f t="shared" si="98"/>
        <v>1877.8999999999999</v>
      </c>
      <c r="K59" s="8">
        <f t="shared" si="98"/>
        <v>2013.1999999999998</v>
      </c>
      <c r="L59" s="34">
        <f t="shared" si="98"/>
        <v>2197</v>
      </c>
      <c r="M59" s="8">
        <f t="shared" si="98"/>
        <v>2741.3</v>
      </c>
      <c r="N59" s="34">
        <f t="shared" si="98"/>
        <v>2788.4</v>
      </c>
      <c r="R59" s="8">
        <f t="shared" ref="R59:S59" si="99">R58+R56</f>
        <v>1402.9829999999999</v>
      </c>
      <c r="S59" s="8">
        <f t="shared" si="99"/>
        <v>1446.8560000000002</v>
      </c>
      <c r="T59" s="8">
        <f>T58+T56</f>
        <v>1543.1</v>
      </c>
      <c r="U59" s="8">
        <f>U58+U56</f>
        <v>1937.8000000000002</v>
      </c>
      <c r="V59" s="8">
        <f>V58+V56</f>
        <v>1877.8999999999999</v>
      </c>
      <c r="W59" s="8">
        <f>W58+W56</f>
        <v>2197</v>
      </c>
      <c r="X59" s="8">
        <f t="shared" ref="X59" si="100">X58+X56</f>
        <v>2788.4</v>
      </c>
    </row>
    <row r="60" spans="2:24" x14ac:dyDescent="0.2">
      <c r="T60" s="8"/>
      <c r="U60" s="8"/>
    </row>
    <row r="61" spans="2:24" x14ac:dyDescent="0.2">
      <c r="B61" s="1" t="s">
        <v>97</v>
      </c>
      <c r="C61" s="8">
        <f t="shared" ref="C61:M61" si="101">C40-C56</f>
        <v>775.3</v>
      </c>
      <c r="D61" s="34">
        <f t="shared" si="101"/>
        <v>828.39699999999993</v>
      </c>
      <c r="E61" s="8">
        <f t="shared" si="101"/>
        <v>927.30000000000018</v>
      </c>
      <c r="F61" s="34">
        <f t="shared" si="101"/>
        <v>981.40000000000032</v>
      </c>
      <c r="G61" s="8">
        <f t="shared" si="101"/>
        <v>1067.5000000000002</v>
      </c>
      <c r="H61" s="34">
        <f t="shared" si="101"/>
        <v>1136.9000000000001</v>
      </c>
      <c r="I61" s="8">
        <f t="shared" si="101"/>
        <v>1123</v>
      </c>
      <c r="J61" s="34">
        <f t="shared" si="101"/>
        <v>1167.6000000000001</v>
      </c>
      <c r="K61" s="8">
        <f t="shared" si="101"/>
        <v>1277.1000000000004</v>
      </c>
      <c r="L61" s="34">
        <f t="shared" si="101"/>
        <v>1403.1000000000004</v>
      </c>
      <c r="M61" s="8">
        <f t="shared" si="101"/>
        <v>1627</v>
      </c>
      <c r="N61" s="34">
        <f t="shared" ref="N61" si="102">N40-N56</f>
        <v>1598.9</v>
      </c>
      <c r="R61" s="8">
        <f t="shared" ref="R61:S61" si="103">R40-R56</f>
        <v>778.63699999999994</v>
      </c>
      <c r="S61" s="8">
        <f t="shared" si="103"/>
        <v>828.39699999999993</v>
      </c>
      <c r="T61" s="8">
        <f t="shared" ref="T61" si="104">T40-T56</f>
        <v>981.40000000000032</v>
      </c>
      <c r="U61" s="8">
        <f t="shared" ref="U61" si="105">U40-U56</f>
        <v>1136.9000000000001</v>
      </c>
      <c r="V61" s="8">
        <f t="shared" ref="V61:W61" si="106">V40-V56</f>
        <v>1167.6000000000001</v>
      </c>
      <c r="W61" s="8">
        <f t="shared" si="106"/>
        <v>1403.1000000000004</v>
      </c>
      <c r="X61" s="8">
        <f t="shared" ref="X61" si="107">X40-X56</f>
        <v>1598.9</v>
      </c>
    </row>
    <row r="62" spans="2:24" x14ac:dyDescent="0.2">
      <c r="B62" s="1" t="s">
        <v>98</v>
      </c>
      <c r="C62" s="1">
        <f t="shared" ref="C62:N62" si="108">C61/C16</f>
        <v>2.0444631793064798</v>
      </c>
      <c r="D62" s="34">
        <f t="shared" si="108"/>
        <v>2.1858169969439136</v>
      </c>
      <c r="E62" s="1">
        <f t="shared" si="108"/>
        <v>2.4464198115545486</v>
      </c>
      <c r="F62" s="34">
        <f t="shared" si="108"/>
        <v>2.588354874319402</v>
      </c>
      <c r="G62" s="1">
        <f t="shared" si="108"/>
        <v>2.815622833165575</v>
      </c>
      <c r="H62" s="34">
        <f t="shared" si="108"/>
        <v>2.9990490331802162</v>
      </c>
      <c r="I62" s="1">
        <f t="shared" si="108"/>
        <v>2.9623377739884473</v>
      </c>
      <c r="J62" s="34">
        <f t="shared" si="108"/>
        <v>3.0831792975970429</v>
      </c>
      <c r="K62" s="1">
        <f t="shared" si="108"/>
        <v>3.368768135056714</v>
      </c>
      <c r="L62" s="34">
        <f t="shared" si="108"/>
        <v>3.7050435701082662</v>
      </c>
      <c r="M62" s="1">
        <f t="shared" si="108"/>
        <v>4.3019566367001589</v>
      </c>
      <c r="N62" s="34">
        <f t="shared" si="108"/>
        <v>4.2298941798941803</v>
      </c>
      <c r="R62" s="1">
        <f t="shared" ref="R62:S62" si="109">R61/R16</f>
        <v>2.056156169391437</v>
      </c>
      <c r="S62" s="1">
        <f t="shared" si="109"/>
        <v>2.1858169969439136</v>
      </c>
      <c r="T62" s="1">
        <f t="shared" ref="T62" si="110">T61/T16</f>
        <v>2.588354874319402</v>
      </c>
      <c r="U62" s="1">
        <f t="shared" ref="U62" si="111">U61/U16</f>
        <v>2.9990490331802162</v>
      </c>
      <c r="V62" s="1">
        <f t="shared" ref="V62:W62" si="112">V61/V16</f>
        <v>3.0791139240506333</v>
      </c>
      <c r="W62" s="1">
        <f t="shared" si="112"/>
        <v>3.7050435701082662</v>
      </c>
      <c r="X62" s="1">
        <f t="shared" ref="X62" si="113">X61/X16</f>
        <v>4.2298941798941803</v>
      </c>
    </row>
    <row r="64" spans="2:24" x14ac:dyDescent="0.2">
      <c r="B64" s="1" t="s">
        <v>7</v>
      </c>
      <c r="C64" s="8">
        <f t="shared" ref="C64:M64" si="114">C38+C39+C30</f>
        <v>75.7</v>
      </c>
      <c r="D64" s="34">
        <f t="shared" si="114"/>
        <v>75.418999999999997</v>
      </c>
      <c r="E64" s="8">
        <f t="shared" si="114"/>
        <v>70.600000000000009</v>
      </c>
      <c r="F64" s="34">
        <f t="shared" si="114"/>
        <v>86.000000000000014</v>
      </c>
      <c r="G64" s="8">
        <f t="shared" si="114"/>
        <v>89.600000000000009</v>
      </c>
      <c r="H64" s="34">
        <f t="shared" si="114"/>
        <v>112.1</v>
      </c>
      <c r="I64" s="8">
        <f t="shared" si="114"/>
        <v>130.70000000000002</v>
      </c>
      <c r="J64" s="34">
        <f t="shared" si="114"/>
        <v>145.1</v>
      </c>
      <c r="K64" s="8">
        <f t="shared" si="114"/>
        <v>141.6</v>
      </c>
      <c r="L64" s="34">
        <f t="shared" si="114"/>
        <v>166.29999999999998</v>
      </c>
      <c r="M64" s="8">
        <f t="shared" si="114"/>
        <v>234.4</v>
      </c>
      <c r="N64" s="34">
        <f t="shared" ref="N64" si="115">N38+N39+N30</f>
        <v>192</v>
      </c>
      <c r="R64" s="8">
        <f t="shared" ref="R64:S64" si="116">R38+R39+R30</f>
        <v>70.977999999999994</v>
      </c>
      <c r="S64" s="8">
        <f t="shared" si="116"/>
        <v>75.418999999999997</v>
      </c>
      <c r="T64" s="8">
        <f t="shared" ref="T64" si="117">T38+T39+T30</f>
        <v>86.000000000000014</v>
      </c>
      <c r="U64" s="8">
        <f t="shared" ref="U64" si="118">U38+U39+U30</f>
        <v>112.1</v>
      </c>
      <c r="V64" s="8">
        <f>V38+V39+V30</f>
        <v>145.1</v>
      </c>
      <c r="W64" s="8">
        <f>W38+W39+W30</f>
        <v>166.29999999999998</v>
      </c>
      <c r="X64" s="8">
        <f t="shared" ref="X64" si="119">X38+X39+X30</f>
        <v>192</v>
      </c>
    </row>
    <row r="65" spans="1:34" x14ac:dyDescent="0.2">
      <c r="B65" s="1" t="s">
        <v>8</v>
      </c>
      <c r="C65" s="8">
        <f t="shared" ref="C65:M65" si="120">C50+C42+C48</f>
        <v>253.1</v>
      </c>
      <c r="D65" s="34">
        <f t="shared" si="120"/>
        <v>291.27800000000002</v>
      </c>
      <c r="E65" s="8">
        <f t="shared" si="120"/>
        <v>261.5</v>
      </c>
      <c r="F65" s="34">
        <f t="shared" si="120"/>
        <v>263.2</v>
      </c>
      <c r="G65" s="8">
        <f t="shared" si="120"/>
        <v>337.29999999999995</v>
      </c>
      <c r="H65" s="34">
        <f t="shared" si="120"/>
        <v>421.1</v>
      </c>
      <c r="I65" s="8">
        <f t="shared" si="120"/>
        <v>377</v>
      </c>
      <c r="J65" s="34">
        <f t="shared" si="120"/>
        <v>326</v>
      </c>
      <c r="K65" s="8">
        <f t="shared" si="120"/>
        <v>546.79999999999995</v>
      </c>
      <c r="L65" s="34">
        <f t="shared" si="120"/>
        <v>361</v>
      </c>
      <c r="M65" s="8">
        <f t="shared" si="120"/>
        <v>802</v>
      </c>
      <c r="N65" s="34">
        <f t="shared" ref="N65" si="121">N50+N42+N48</f>
        <v>679.19999999999993</v>
      </c>
      <c r="R65" s="8">
        <f t="shared" ref="R65:S65" si="122">R50+R42+R48</f>
        <v>263.584</v>
      </c>
      <c r="S65" s="8">
        <f t="shared" si="122"/>
        <v>291.27800000000002</v>
      </c>
      <c r="T65" s="8">
        <f t="shared" ref="T65" si="123">T50+T42+T48</f>
        <v>263.2</v>
      </c>
      <c r="U65" s="8">
        <f t="shared" ref="U65" si="124">U50+U42+U48</f>
        <v>421.1</v>
      </c>
      <c r="V65" s="8">
        <f>V50+V42+V48</f>
        <v>326</v>
      </c>
      <c r="W65" s="8">
        <f>W50+W42+W48</f>
        <v>361</v>
      </c>
      <c r="X65" s="8">
        <f t="shared" ref="X65" si="125">X50+X42+X48</f>
        <v>679.19999999999993</v>
      </c>
    </row>
    <row r="66" spans="1:34" x14ac:dyDescent="0.2">
      <c r="B66" s="1" t="s">
        <v>9</v>
      </c>
      <c r="C66" s="8">
        <f t="shared" ref="C66:N66" si="126">C64-C65</f>
        <v>-177.39999999999998</v>
      </c>
      <c r="D66" s="34">
        <f t="shared" si="126"/>
        <v>-215.85900000000004</v>
      </c>
      <c r="E66" s="8">
        <f t="shared" si="126"/>
        <v>-190.89999999999998</v>
      </c>
      <c r="F66" s="34">
        <f t="shared" si="126"/>
        <v>-177.2</v>
      </c>
      <c r="G66" s="8">
        <f t="shared" si="126"/>
        <v>-247.69999999999993</v>
      </c>
      <c r="H66" s="34">
        <f t="shared" si="126"/>
        <v>-309</v>
      </c>
      <c r="I66" s="8">
        <f t="shared" si="126"/>
        <v>-246.29999999999998</v>
      </c>
      <c r="J66" s="34">
        <f t="shared" si="126"/>
        <v>-180.9</v>
      </c>
      <c r="K66" s="8">
        <f t="shared" si="126"/>
        <v>-405.19999999999993</v>
      </c>
      <c r="L66" s="34">
        <f t="shared" si="126"/>
        <v>-194.70000000000002</v>
      </c>
      <c r="M66" s="8">
        <f t="shared" si="126"/>
        <v>-567.6</v>
      </c>
      <c r="N66" s="34">
        <f t="shared" si="126"/>
        <v>-487.19999999999993</v>
      </c>
      <c r="R66" s="8">
        <f t="shared" ref="R66" si="127">R64-R65</f>
        <v>-192.60599999999999</v>
      </c>
      <c r="S66" s="8">
        <f t="shared" ref="S66" si="128">S64-S65</f>
        <v>-215.85900000000004</v>
      </c>
      <c r="T66" s="8">
        <f t="shared" ref="T66" si="129">T64-T65</f>
        <v>-177.2</v>
      </c>
      <c r="U66" s="8">
        <f t="shared" ref="U66" si="130">U64-U65</f>
        <v>-309</v>
      </c>
      <c r="V66" s="8">
        <f>V64-V65</f>
        <v>-180.9</v>
      </c>
      <c r="W66" s="8">
        <f>W64-W65</f>
        <v>-194.70000000000002</v>
      </c>
      <c r="X66" s="8">
        <f t="shared" ref="X66" si="131">X64-X65</f>
        <v>-487.19999999999993</v>
      </c>
    </row>
    <row r="68" spans="1:34" s="35" customFormat="1" x14ac:dyDescent="0.2">
      <c r="B68" s="35" t="s">
        <v>99</v>
      </c>
      <c r="C68" s="35">
        <v>10.8497</v>
      </c>
      <c r="D68" s="36">
        <f>R68</f>
        <v>9.7027000000000001</v>
      </c>
      <c r="E68" s="35">
        <v>14.0044</v>
      </c>
      <c r="F68" s="36">
        <f>T68</f>
        <v>16.279199999999999</v>
      </c>
      <c r="G68" s="35">
        <v>19.282</v>
      </c>
      <c r="H68" s="36">
        <f>U68</f>
        <v>18.8504</v>
      </c>
      <c r="I68" s="35">
        <v>23.1129</v>
      </c>
      <c r="J68" s="36">
        <f>V68</f>
        <v>23.4651</v>
      </c>
      <c r="K68" s="35">
        <v>28.1996</v>
      </c>
      <c r="L68" s="36">
        <f>W68</f>
        <v>24.9636</v>
      </c>
      <c r="M68" s="35">
        <v>20.45</v>
      </c>
      <c r="N68" s="36">
        <f>X68</f>
        <v>22.29</v>
      </c>
      <c r="P68" s="36"/>
      <c r="R68" s="35">
        <v>9.7027000000000001</v>
      </c>
      <c r="S68" s="35">
        <v>13.076000000000001</v>
      </c>
      <c r="T68" s="35">
        <v>16.279199999999999</v>
      </c>
      <c r="U68" s="35">
        <v>18.8504</v>
      </c>
      <c r="V68" s="35">
        <v>23.4651</v>
      </c>
      <c r="W68" s="35">
        <v>24.9636</v>
      </c>
      <c r="X68" s="94">
        <v>22.29</v>
      </c>
      <c r="Y68" s="73">
        <f>Y15*Y75</f>
        <v>22.248994050410282</v>
      </c>
      <c r="Z68" s="73">
        <f t="shared" ref="Z68:AH68" si="132">Z15*Z75</f>
        <v>25.781705456531345</v>
      </c>
      <c r="AA68" s="73">
        <f t="shared" si="132"/>
        <v>29.340308990655021</v>
      </c>
      <c r="AB68" s="73">
        <f t="shared" si="132"/>
        <v>32.289091733218605</v>
      </c>
      <c r="AC68" s="73">
        <f t="shared" si="132"/>
        <v>35.884254806006609</v>
      </c>
      <c r="AD68" s="73">
        <f t="shared" si="132"/>
        <v>39.468093417611101</v>
      </c>
      <c r="AE68" s="73">
        <f t="shared" si="132"/>
        <v>43.337385060414334</v>
      </c>
      <c r="AF68" s="73">
        <f t="shared" si="132"/>
        <v>47.659053456164521</v>
      </c>
      <c r="AG68" s="73">
        <f t="shared" si="132"/>
        <v>52.393567242365876</v>
      </c>
      <c r="AH68" s="73">
        <f t="shared" si="132"/>
        <v>57.592597510381061</v>
      </c>
    </row>
    <row r="69" spans="1:34" x14ac:dyDescent="0.2">
      <c r="B69" s="1" t="s">
        <v>6</v>
      </c>
      <c r="C69" s="8">
        <f>C68*C16</f>
        <v>4114.4161925447006</v>
      </c>
      <c r="D69" s="34">
        <f t="shared" ref="D69" si="133">D68*D16</f>
        <v>3677.2005996558</v>
      </c>
      <c r="E69" s="8">
        <f>E68*E16</f>
        <v>5308.2794942492001</v>
      </c>
      <c r="F69" s="34">
        <f t="shared" ref="F69:H69" si="134">F68*F16</f>
        <v>6172.4174835960002</v>
      </c>
      <c r="G69" s="8">
        <f>G68*G16</f>
        <v>7310.4731065340002</v>
      </c>
      <c r="H69" s="34">
        <f t="shared" si="134"/>
        <v>7145.9384367832008</v>
      </c>
      <c r="I69" s="8">
        <f>I68*I16</f>
        <v>8761.9267890080991</v>
      </c>
      <c r="J69" s="34">
        <f t="shared" ref="J69:L69" si="135">J68*J16</f>
        <v>8886.2333699999999</v>
      </c>
      <c r="K69" s="8">
        <f>K68*K16</f>
        <v>10690.468360000001</v>
      </c>
      <c r="L69" s="34">
        <f t="shared" si="135"/>
        <v>9453.7153199999993</v>
      </c>
      <c r="M69" s="8">
        <f>M68*M16</f>
        <v>7734.19</v>
      </c>
      <c r="N69" s="34">
        <f t="shared" ref="N69" si="136">N68*N16</f>
        <v>8425.619999999999</v>
      </c>
      <c r="R69" s="8">
        <f t="shared" ref="R69:S69" si="137">R68*R16</f>
        <v>3674.2740324709998</v>
      </c>
      <c r="S69" s="8">
        <f t="shared" si="137"/>
        <v>4955.6386409039997</v>
      </c>
      <c r="T69" s="8">
        <f t="shared" ref="T69:W69" si="138">T68*T16</f>
        <v>6172.4174835960002</v>
      </c>
      <c r="U69" s="8">
        <f t="shared" si="138"/>
        <v>7145.9384367832008</v>
      </c>
      <c r="V69" s="8">
        <f t="shared" si="138"/>
        <v>8897.9659199999987</v>
      </c>
      <c r="W69" s="8">
        <f t="shared" si="138"/>
        <v>9453.7153199999993</v>
      </c>
      <c r="X69" s="8">
        <f t="shared" ref="X69" si="139">X68*X16</f>
        <v>8425.619999999999</v>
      </c>
      <c r="Y69" s="74"/>
      <c r="Z69" s="74"/>
      <c r="AA69" s="74"/>
      <c r="AB69" s="74"/>
      <c r="AC69" s="74"/>
      <c r="AD69" s="74"/>
      <c r="AE69" s="74"/>
      <c r="AF69" s="74"/>
      <c r="AG69" s="74"/>
      <c r="AH69" s="74"/>
    </row>
    <row r="70" spans="1:34" x14ac:dyDescent="0.2">
      <c r="B70" s="1" t="s">
        <v>10</v>
      </c>
      <c r="C70" s="8">
        <f>C69-C66</f>
        <v>4291.8161925447002</v>
      </c>
      <c r="D70" s="34">
        <f t="shared" ref="D70" si="140">D69-D66</f>
        <v>3893.0595996558</v>
      </c>
      <c r="E70" s="8">
        <f>E69-E66</f>
        <v>5499.1794942491997</v>
      </c>
      <c r="F70" s="34">
        <f t="shared" ref="F70:H70" si="141">F69-F66</f>
        <v>6349.6174835960001</v>
      </c>
      <c r="G70" s="8">
        <f>G69-G66</f>
        <v>7558.173106534</v>
      </c>
      <c r="H70" s="34">
        <f t="shared" si="141"/>
        <v>7454.9384367832008</v>
      </c>
      <c r="I70" s="8">
        <f>I69-I66</f>
        <v>9008.2267890080984</v>
      </c>
      <c r="J70" s="34">
        <f t="shared" ref="J70:L70" si="142">J69-J66</f>
        <v>9067.1333699999996</v>
      </c>
      <c r="K70" s="8">
        <f>K69-K66</f>
        <v>11095.668360000001</v>
      </c>
      <c r="L70" s="34">
        <f t="shared" si="142"/>
        <v>9648.4153200000001</v>
      </c>
      <c r="M70" s="8">
        <f>M69-M66</f>
        <v>8301.7899999999991</v>
      </c>
      <c r="N70" s="34">
        <f t="shared" ref="N70" si="143">N69-N66</f>
        <v>8912.82</v>
      </c>
      <c r="R70" s="8">
        <f t="shared" ref="R70:S70" si="144">R69-R66</f>
        <v>3866.880032471</v>
      </c>
      <c r="S70" s="8">
        <f t="shared" si="144"/>
        <v>5171.497640904</v>
      </c>
      <c r="T70" s="8">
        <f t="shared" ref="T70:W70" si="145">T69-T66</f>
        <v>6349.6174835960001</v>
      </c>
      <c r="U70" s="8">
        <f t="shared" si="145"/>
        <v>7454.9384367832008</v>
      </c>
      <c r="V70" s="8">
        <f t="shared" si="145"/>
        <v>9078.8659199999984</v>
      </c>
      <c r="W70" s="8">
        <f t="shared" si="145"/>
        <v>9648.4153200000001</v>
      </c>
      <c r="X70" s="8">
        <f t="shared" ref="X70" si="146">X69-X66</f>
        <v>8912.82</v>
      </c>
      <c r="Y70" s="74"/>
      <c r="Z70" s="74"/>
      <c r="AA70" s="74"/>
      <c r="AB70" s="74"/>
      <c r="AC70" s="74"/>
      <c r="AD70" s="74"/>
      <c r="AE70" s="74"/>
      <c r="AF70" s="74"/>
      <c r="AG70" s="74"/>
      <c r="AH70" s="74"/>
    </row>
    <row r="71" spans="1:34" x14ac:dyDescent="0.2">
      <c r="Y71" s="74"/>
      <c r="Z71" s="74"/>
      <c r="AA71" s="74"/>
      <c r="AB71" s="74"/>
      <c r="AC71" s="74"/>
      <c r="AD71" s="74"/>
      <c r="AE71" s="74"/>
      <c r="AF71" s="74"/>
      <c r="AG71" s="74"/>
      <c r="AH71" s="74"/>
    </row>
    <row r="72" spans="1:34" s="42" customFormat="1" x14ac:dyDescent="0.2">
      <c r="A72" s="45">
        <f>AVERAGE(C72:AX72)</f>
        <v>6.2285365210643278</v>
      </c>
      <c r="B72" s="42" t="s">
        <v>22</v>
      </c>
      <c r="C72" s="42">
        <f t="shared" ref="C72:M72" si="147">C68/C62</f>
        <v>5.306869847213596</v>
      </c>
      <c r="D72" s="56">
        <f t="shared" si="147"/>
        <v>4.4389351961146657</v>
      </c>
      <c r="E72" s="42">
        <f t="shared" si="147"/>
        <v>5.7244467747753687</v>
      </c>
      <c r="F72" s="56">
        <f t="shared" si="147"/>
        <v>6.2894003297289567</v>
      </c>
      <c r="G72" s="42">
        <f t="shared" si="147"/>
        <v>6.8482183667765799</v>
      </c>
      <c r="H72" s="56">
        <f t="shared" si="147"/>
        <v>6.2854590876798309</v>
      </c>
      <c r="I72" s="42">
        <f t="shared" si="147"/>
        <v>7.8022500347356187</v>
      </c>
      <c r="J72" s="56">
        <f t="shared" si="147"/>
        <v>7.6106829136690637</v>
      </c>
      <c r="K72" s="42">
        <f t="shared" si="147"/>
        <v>8.3708937123169669</v>
      </c>
      <c r="L72" s="56">
        <f t="shared" si="147"/>
        <v>6.7377345306820589</v>
      </c>
      <c r="M72" s="42">
        <f t="shared" si="147"/>
        <v>4.7536508912108166</v>
      </c>
      <c r="N72" s="56">
        <f t="shared" ref="N72" si="148">N68/N62</f>
        <v>5.2696353743198445</v>
      </c>
      <c r="P72" s="56"/>
      <c r="R72" s="42">
        <f t="shared" ref="R72:S72" si="149">R68/R62</f>
        <v>4.7188536281617752</v>
      </c>
      <c r="S72" s="42">
        <f t="shared" si="149"/>
        <v>5.9822025440748829</v>
      </c>
      <c r="T72" s="42">
        <f t="shared" ref="T72" si="150">T68/T62</f>
        <v>6.2894003297289567</v>
      </c>
      <c r="U72" s="42">
        <f t="shared" ref="U72:V72" si="151">U68/U62</f>
        <v>6.2854590876798309</v>
      </c>
      <c r="V72" s="42">
        <f t="shared" si="151"/>
        <v>7.620731346351489</v>
      </c>
      <c r="W72" s="42">
        <f>W68/W62</f>
        <v>6.7377345306820589</v>
      </c>
      <c r="X72" s="42">
        <f t="shared" ref="X72" si="152">X68/X62</f>
        <v>5.2696353743198445</v>
      </c>
      <c r="Y72" s="75"/>
      <c r="Z72" s="75"/>
      <c r="AA72" s="75"/>
      <c r="AB72" s="75"/>
      <c r="AC72" s="75"/>
      <c r="AD72" s="75"/>
      <c r="AE72" s="75"/>
      <c r="AF72" s="75"/>
      <c r="AG72" s="75"/>
      <c r="AH72" s="75"/>
    </row>
    <row r="73" spans="1:34" s="42" customFormat="1" x14ac:dyDescent="0.2">
      <c r="A73" s="45">
        <f>AVERAGE(C73:AX73)</f>
        <v>5.3788632260313358</v>
      </c>
      <c r="B73" s="42" t="s">
        <v>23</v>
      </c>
      <c r="D73" s="56">
        <f t="shared" ref="D73:M73" si="153">D69/SUM(C4:D4)</f>
        <v>3.4168026526915263</v>
      </c>
      <c r="E73" s="42">
        <f t="shared" si="153"/>
        <v>4.5942781350092732</v>
      </c>
      <c r="F73" s="56">
        <f t="shared" si="153"/>
        <v>5.0973800343513087</v>
      </c>
      <c r="G73" s="42">
        <f t="shared" si="153"/>
        <v>5.7153257028645132</v>
      </c>
      <c r="H73" s="56">
        <f t="shared" si="153"/>
        <v>5.3391650005851767</v>
      </c>
      <c r="I73" s="42">
        <f t="shared" si="153"/>
        <v>6.7239097452291459</v>
      </c>
      <c r="J73" s="56">
        <f t="shared" si="153"/>
        <v>6.7411875056895765</v>
      </c>
      <c r="K73" s="42">
        <f t="shared" si="153"/>
        <v>7.4394351844119697</v>
      </c>
      <c r="L73" s="56">
        <f t="shared" si="153"/>
        <v>6.1979383203304268</v>
      </c>
      <c r="M73" s="42">
        <f t="shared" si="153"/>
        <v>4.6490682856455878</v>
      </c>
      <c r="N73" s="56">
        <f t="shared" ref="N73" si="154">N69/SUM(M4:N4)</f>
        <v>4.547506476683937</v>
      </c>
      <c r="P73" s="56"/>
      <c r="R73" s="42">
        <f t="shared" ref="R73:S73" si="155">R69/R4</f>
        <v>3.82075410328265</v>
      </c>
      <c r="S73" s="42">
        <f t="shared" si="155"/>
        <v>4.60470915174069</v>
      </c>
      <c r="T73" s="42">
        <f t="shared" ref="T73" si="156">T69/T4</f>
        <v>5.0973800343513087</v>
      </c>
      <c r="U73" s="42">
        <f t="shared" ref="U73:V73" si="157">U69/U4</f>
        <v>5.3391650005851767</v>
      </c>
      <c r="V73" s="42">
        <f t="shared" si="157"/>
        <v>6.7500879380974039</v>
      </c>
      <c r="W73" s="42">
        <f>W69/W4</f>
        <v>6.1979383203304268</v>
      </c>
      <c r="X73" s="42">
        <f t="shared" ref="X73" si="158">X69/X4</f>
        <v>4.547506476683937</v>
      </c>
      <c r="Y73" s="75"/>
      <c r="Z73" s="75"/>
      <c r="AA73" s="75"/>
      <c r="AB73" s="75"/>
      <c r="AC73" s="75"/>
      <c r="AD73" s="75"/>
      <c r="AE73" s="75"/>
      <c r="AF73" s="75"/>
      <c r="AG73" s="75"/>
      <c r="AH73" s="75"/>
    </row>
    <row r="74" spans="1:34" x14ac:dyDescent="0.2">
      <c r="A74" s="45">
        <f>AVERAGE(C74:AX74)</f>
        <v>5.5778946853835443</v>
      </c>
      <c r="B74" s="1" t="s">
        <v>24</v>
      </c>
      <c r="D74" s="56">
        <f t="shared" ref="D74:E74" si="159">D70/SUM(C4:D4)</f>
        <v>3.6173757745049993</v>
      </c>
      <c r="E74" s="42">
        <f t="shared" si="159"/>
        <v>4.7595007267969578</v>
      </c>
      <c r="F74" s="56">
        <f t="shared" ref="F74:N74" si="160">F70/SUM(E4:F4)</f>
        <v>5.243717469317037</v>
      </c>
      <c r="G74" s="42">
        <f t="shared" si="160"/>
        <v>5.9089774892768343</v>
      </c>
      <c r="H74" s="56">
        <f t="shared" si="160"/>
        <v>5.5700376843867305</v>
      </c>
      <c r="I74" s="42">
        <f t="shared" si="160"/>
        <v>6.912920565580615</v>
      </c>
      <c r="J74" s="56">
        <f t="shared" si="160"/>
        <v>6.8784200955848878</v>
      </c>
      <c r="K74" s="42">
        <f t="shared" si="160"/>
        <v>7.7214115240083521</v>
      </c>
      <c r="L74" s="56">
        <f t="shared" si="160"/>
        <v>6.325585340588737</v>
      </c>
      <c r="M74" s="42">
        <f>M70/SUM(L4:M4)</f>
        <v>4.990256071170954</v>
      </c>
      <c r="N74" s="56">
        <f t="shared" si="160"/>
        <v>4.8104598445595856</v>
      </c>
      <c r="R74" s="42">
        <f t="shared" ref="R74:S74" si="161">R70/R4</f>
        <v>4.0210386107291338</v>
      </c>
      <c r="S74" s="42">
        <f t="shared" si="161"/>
        <v>4.8052822735541634</v>
      </c>
      <c r="T74" s="42">
        <f t="shared" ref="T74" si="162">T70/T4</f>
        <v>5.243717469317037</v>
      </c>
      <c r="U74" s="42">
        <f t="shared" ref="U74:V74" si="163">U70/U4</f>
        <v>5.5700376843867305</v>
      </c>
      <c r="V74" s="42">
        <f t="shared" si="163"/>
        <v>6.8873205279927161</v>
      </c>
      <c r="W74" s="42">
        <f>W70/W4</f>
        <v>6.325585340588737</v>
      </c>
      <c r="X74" s="42">
        <f t="shared" ref="X74" si="164">X70/X4</f>
        <v>4.8104598445595856</v>
      </c>
      <c r="Y74" s="74"/>
      <c r="Z74" s="74"/>
      <c r="AA74" s="74"/>
      <c r="AB74" s="74"/>
      <c r="AC74" s="74"/>
      <c r="AD74" s="74"/>
      <c r="AE74" s="74"/>
      <c r="AF74" s="74"/>
      <c r="AG74" s="74"/>
      <c r="AH74" s="74"/>
    </row>
    <row r="75" spans="1:34" s="42" customFormat="1" x14ac:dyDescent="0.2">
      <c r="A75" s="45">
        <f>AVERAGE(C75:AX75)</f>
        <v>33.175486684729108</v>
      </c>
      <c r="B75" s="42" t="s">
        <v>25</v>
      </c>
      <c r="D75" s="56">
        <f>D68/SUM(C15:D15)</f>
        <v>23.848463290771797</v>
      </c>
      <c r="E75" s="42">
        <f>E68/(E15+D15)</f>
        <v>31.7591465835166</v>
      </c>
      <c r="F75" s="56">
        <f>F68/SUM(E15:F15)</f>
        <v>36.346214681345977</v>
      </c>
      <c r="G75" s="42">
        <f>G68/(G15+F15)</f>
        <v>40.570085892338092</v>
      </c>
      <c r="H75" s="56">
        <f>H68/SUM(G15:H15)</f>
        <v>38.754627719660355</v>
      </c>
      <c r="I75" s="42">
        <f>I68/(I15+H15)</f>
        <v>49.58603989933718</v>
      </c>
      <c r="J75" s="56">
        <f>J68/(J15+I15)</f>
        <v>43.727166392237116</v>
      </c>
      <c r="K75" s="42">
        <f>K68/(K15+J15)</f>
        <v>40.829325611764631</v>
      </c>
      <c r="L75" s="56">
        <f>L68/(L15+K15)</f>
        <v>38.73571477005347</v>
      </c>
      <c r="M75" s="42">
        <f>M68/(M15+L15)</f>
        <v>34.65810517544427</v>
      </c>
      <c r="N75" s="56">
        <f>N68/(N15+M15)</f>
        <v>31.029100640179731</v>
      </c>
      <c r="P75" s="56"/>
      <c r="R75" s="42">
        <f t="shared" ref="R75:S75" si="165">R68/R15</f>
        <v>28.33142388692179</v>
      </c>
      <c r="S75" s="42">
        <f t="shared" si="165"/>
        <v>32.131899790595746</v>
      </c>
      <c r="T75" s="42">
        <f t="shared" ref="T75" si="166">T68/T15</f>
        <v>36.35110414367491</v>
      </c>
      <c r="U75" s="42">
        <f t="shared" ref="U75:V75" si="167">U68/U15</f>
        <v>38.752377639822122</v>
      </c>
      <c r="V75" s="42">
        <f t="shared" si="167"/>
        <v>43.767663157894724</v>
      </c>
      <c r="W75" s="42">
        <f>W68/W15</f>
        <v>38.713002948402945</v>
      </c>
      <c r="X75" s="42">
        <f t="shared" ref="X75" si="168">X68/X15</f>
        <v>31.022164948453611</v>
      </c>
      <c r="Y75" s="75">
        <v>27</v>
      </c>
      <c r="Z75" s="75">
        <v>27</v>
      </c>
      <c r="AA75" s="75">
        <v>27</v>
      </c>
      <c r="AB75" s="75">
        <v>27</v>
      </c>
      <c r="AC75" s="75">
        <v>27</v>
      </c>
      <c r="AD75" s="75">
        <v>27</v>
      </c>
      <c r="AE75" s="75">
        <v>27</v>
      </c>
      <c r="AF75" s="75">
        <v>27</v>
      </c>
      <c r="AG75" s="75">
        <v>27</v>
      </c>
      <c r="AH75" s="75">
        <v>27</v>
      </c>
    </row>
    <row r="76" spans="1:34" x14ac:dyDescent="0.2">
      <c r="A76" s="45">
        <f>AVERAGE(C76:AX76)</f>
        <v>36.879228444488263</v>
      </c>
      <c r="B76" s="1" t="s">
        <v>26</v>
      </c>
      <c r="M76" s="37"/>
      <c r="R76" s="42">
        <f t="shared" ref="R76:S76" si="169">R70/R12</f>
        <v>29.81656140822275</v>
      </c>
      <c r="S76" s="42">
        <f t="shared" si="169"/>
        <v>33.531509459397782</v>
      </c>
      <c r="T76" s="42">
        <f t="shared" ref="T76" si="170">T70/T12</f>
        <v>37.394684826831565</v>
      </c>
      <c r="U76" s="42">
        <f t="shared" ref="U76:V76" si="171">U70/U12</f>
        <v>40.428082628976135</v>
      </c>
      <c r="V76" s="42">
        <f t="shared" si="171"/>
        <v>44.657481160846025</v>
      </c>
      <c r="W76" s="42">
        <f>W70/W12</f>
        <v>39.51030024570025</v>
      </c>
      <c r="X76" s="42">
        <f t="shared" ref="X76" si="172">X70/X12</f>
        <v>32.815979381443299</v>
      </c>
    </row>
    <row r="77" spans="1:34" x14ac:dyDescent="0.2">
      <c r="B77" s="1" t="s">
        <v>27</v>
      </c>
      <c r="C77" s="37"/>
      <c r="E77" s="37"/>
      <c r="G77" s="37"/>
      <c r="I77" s="37">
        <f>(I5+H5)/(I40-I49)</f>
        <v>0.14066721115788153</v>
      </c>
      <c r="J77" s="38">
        <f>(J5+I5)/(J40-J49)</f>
        <v>0.14773912509969936</v>
      </c>
      <c r="K77" s="37">
        <f>(K5+J5)/(K40-K49)</f>
        <v>0.15753463709447516</v>
      </c>
      <c r="L77" s="38">
        <f>(L5+K5)/(L40-L49)</f>
        <v>0.15214663684468929</v>
      </c>
      <c r="M77" s="37">
        <f>(M5+L5)/(M40-M49)</f>
        <v>0.12516018795386588</v>
      </c>
      <c r="N77" s="38">
        <f>(N5+M5)/(N40-N49)</f>
        <v>0.12602157567832623</v>
      </c>
      <c r="R77" s="37">
        <f t="shared" ref="R77:S77" si="173">R5/(R40-R49)</f>
        <v>0.13433627891643282</v>
      </c>
      <c r="S77" s="37">
        <f t="shared" si="173"/>
        <v>0.14217629553166489</v>
      </c>
      <c r="T77" s="37">
        <f t="shared" ref="T77" si="174">T5/(T40-T49)</f>
        <v>0.16375939849624055</v>
      </c>
      <c r="U77" s="37">
        <f t="shared" ref="U77:V77" si="175">U5/(U40-U49)</f>
        <v>0.14366613320201896</v>
      </c>
      <c r="V77" s="37">
        <f t="shared" si="175"/>
        <v>0.14773912509969936</v>
      </c>
      <c r="W77" s="37">
        <f>W5/(W40-W49)</f>
        <v>0.15214663684468929</v>
      </c>
      <c r="X77" s="37">
        <f t="shared" ref="X77" si="176">X5/(X40-X49)</f>
        <v>0.12602157567832623</v>
      </c>
    </row>
  </sheetData>
  <hyperlinks>
    <hyperlink ref="M1" r:id="rId1" xr:uid="{64230965-EEC2-4818-9500-5E49F2C6FBF5}"/>
    <hyperlink ref="I1" r:id="rId2" xr:uid="{879E0608-9977-4013-9DB7-7908B60FAFB2}"/>
    <hyperlink ref="E1" r:id="rId3" xr:uid="{D2F2E719-2F49-4057-B46A-7E29B8F345FA}"/>
    <hyperlink ref="W1" r:id="rId4" xr:uid="{312EC780-3433-42F0-97FF-0788993E5A29}"/>
    <hyperlink ref="U1" r:id="rId5" xr:uid="{313C0DA0-3F4A-45BC-BA9D-854CC763EEA6}"/>
    <hyperlink ref="S1" r:id="rId6" xr:uid="{B420B23F-BF59-41C1-AE19-1013F6B154AB}"/>
    <hyperlink ref="X1" r:id="rId7" xr:uid="{1EC7322D-B974-46E2-8739-C1251328BC54}"/>
  </hyperlinks>
  <pageMargins left="0.7" right="0.7" top="0.75" bottom="0.75" header="0.3" footer="0.3"/>
  <pageSetup paperSize="256" orientation="portrait" horizontalDpi="203" verticalDpi="203" r:id="rId8"/>
  <ignoredErrors>
    <ignoredError sqref="L10 L34 L49 J10 H10:H15 J34 J49 H34 H49 F34 F49 G75:H75 D34 D49 E75 N10 N49" formula="1"/>
    <ignoredError sqref="D11:F14 E10 E15:F15" evalError="1"/>
    <ignoredError sqref="F10 D10" evalError="1" formula="1"/>
    <ignoredError sqref="Y8:Y10" formulaRange="1"/>
  </ignoredError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E4929-967C-4D68-B040-5BECDCEBE561}">
  <dimension ref="A1:P22"/>
  <sheetViews>
    <sheetView workbookViewId="0">
      <selection activeCell="F17" sqref="F17"/>
    </sheetView>
  </sheetViews>
  <sheetFormatPr defaultRowHeight="12.75" x14ac:dyDescent="0.2"/>
  <cols>
    <col min="1" max="1" width="27.28515625" style="1" bestFit="1" customWidth="1"/>
    <col min="2" max="16384" width="9.140625" style="1"/>
  </cols>
  <sheetData>
    <row r="1" spans="1:16" x14ac:dyDescent="0.2">
      <c r="D1" s="46" t="s">
        <v>43</v>
      </c>
      <c r="E1" s="108" t="s">
        <v>43</v>
      </c>
      <c r="O1" s="46" t="s">
        <v>50</v>
      </c>
      <c r="P1" s="99" t="s">
        <v>50</v>
      </c>
    </row>
    <row r="2" spans="1:16" x14ac:dyDescent="0.2">
      <c r="D2" s="46"/>
      <c r="E2" s="109"/>
      <c r="O2" s="47" t="s">
        <v>107</v>
      </c>
      <c r="P2" s="100">
        <v>45016</v>
      </c>
    </row>
    <row r="3" spans="1:16" x14ac:dyDescent="0.2">
      <c r="A3" s="32" t="s">
        <v>29</v>
      </c>
      <c r="D3" s="48">
        <v>989.31499999999994</v>
      </c>
      <c r="E3" s="110">
        <v>977.3</v>
      </c>
      <c r="O3" s="48">
        <v>1864.8150000000001</v>
      </c>
      <c r="P3" s="101">
        <v>1852.8</v>
      </c>
    </row>
    <row r="4" spans="1:16" x14ac:dyDescent="0.2">
      <c r="A4" s="32" t="s">
        <v>61</v>
      </c>
      <c r="D4" s="48">
        <v>178.07669999999999</v>
      </c>
      <c r="E4" s="110">
        <v>156.69999999999999</v>
      </c>
      <c r="O4" s="48">
        <v>329.77670000000001</v>
      </c>
      <c r="P4" s="101">
        <v>308.39999999999998</v>
      </c>
    </row>
    <row r="5" spans="1:16" x14ac:dyDescent="0.2">
      <c r="A5" s="8" t="s">
        <v>62</v>
      </c>
      <c r="D5" s="49">
        <v>0</v>
      </c>
      <c r="E5" s="111">
        <v>-0.1</v>
      </c>
      <c r="O5" s="49">
        <v>0</v>
      </c>
      <c r="P5" s="102">
        <v>-0.1</v>
      </c>
    </row>
    <row r="6" spans="1:16" x14ac:dyDescent="0.2">
      <c r="A6" s="8" t="s">
        <v>63</v>
      </c>
      <c r="D6" s="49">
        <v>0</v>
      </c>
      <c r="E6" s="111">
        <v>0</v>
      </c>
      <c r="O6" s="49">
        <v>0</v>
      </c>
      <c r="P6" s="102">
        <v>0</v>
      </c>
    </row>
    <row r="7" spans="1:16" x14ac:dyDescent="0.2">
      <c r="A7" s="8" t="s">
        <v>64</v>
      </c>
      <c r="D7" s="49">
        <v>0.46666666666666662</v>
      </c>
      <c r="E7" s="111">
        <v>1</v>
      </c>
      <c r="O7" s="49">
        <v>1.2666666666666666</v>
      </c>
      <c r="P7" s="102">
        <v>1.8</v>
      </c>
    </row>
    <row r="8" spans="1:16" x14ac:dyDescent="0.2">
      <c r="A8" s="8" t="s">
        <v>65</v>
      </c>
      <c r="D8" s="49">
        <v>5.333333333333333</v>
      </c>
      <c r="E8" s="111">
        <v>-25.7</v>
      </c>
      <c r="O8" s="49">
        <v>12.333333333333332</v>
      </c>
      <c r="P8" s="102">
        <v>-18.7</v>
      </c>
    </row>
    <row r="9" spans="1:16" x14ac:dyDescent="0.2">
      <c r="A9" s="8" t="s">
        <v>66</v>
      </c>
      <c r="D9" s="49">
        <v>173.21003333333331</v>
      </c>
      <c r="E9" s="111">
        <v>183.29999999999998</v>
      </c>
      <c r="O9" s="49">
        <v>318.71003333333334</v>
      </c>
      <c r="P9" s="102">
        <v>328.79999999999995</v>
      </c>
    </row>
    <row r="10" spans="1:16" x14ac:dyDescent="0.2">
      <c r="A10" s="8" t="s">
        <v>67</v>
      </c>
      <c r="D10" s="49">
        <v>36.374106999999995</v>
      </c>
      <c r="E10" s="111">
        <v>26.500000000000004</v>
      </c>
      <c r="O10" s="49">
        <v>67.074106999999998</v>
      </c>
      <c r="P10" s="102">
        <v>57.2</v>
      </c>
    </row>
    <row r="11" spans="1:16" x14ac:dyDescent="0.2">
      <c r="A11" s="32" t="s">
        <v>68</v>
      </c>
      <c r="D11" s="48">
        <v>136.8359263333333</v>
      </c>
      <c r="E11" s="110">
        <v>156.79999999999998</v>
      </c>
      <c r="O11" s="48">
        <v>251.63592633333334</v>
      </c>
      <c r="P11" s="101">
        <v>271.59999999999997</v>
      </c>
    </row>
    <row r="12" spans="1:16" x14ac:dyDescent="0.2">
      <c r="A12" s="8" t="s">
        <v>71</v>
      </c>
      <c r="D12" s="48">
        <v>136.97276225966664</v>
      </c>
      <c r="E12" s="110">
        <v>156.39999999999998</v>
      </c>
      <c r="O12" s="48">
        <v>251.97276225966667</v>
      </c>
      <c r="P12" s="101">
        <v>271.39999999999998</v>
      </c>
    </row>
    <row r="13" spans="1:16" x14ac:dyDescent="0.2">
      <c r="A13" s="8" t="s">
        <v>69</v>
      </c>
      <c r="D13" s="49">
        <v>0.1368359263333333</v>
      </c>
      <c r="E13" s="111">
        <v>-0.4</v>
      </c>
      <c r="O13" s="49">
        <v>0.33683592633333331</v>
      </c>
      <c r="P13" s="102">
        <v>-0.2</v>
      </c>
    </row>
    <row r="14" spans="1:16" x14ac:dyDescent="0.2">
      <c r="A14" s="35" t="s">
        <v>70</v>
      </c>
      <c r="D14" s="50">
        <v>0.36180837211352013</v>
      </c>
      <c r="E14" s="112">
        <v>0.41481481481481475</v>
      </c>
      <c r="O14" s="50">
        <v>0.66624210010488283</v>
      </c>
      <c r="P14" s="103">
        <v>0.71851851851851845</v>
      </c>
    </row>
    <row r="15" spans="1:16" x14ac:dyDescent="0.2">
      <c r="A15" s="8" t="s">
        <v>5</v>
      </c>
      <c r="D15" s="49">
        <v>378.2</v>
      </c>
      <c r="E15" s="111">
        <v>378</v>
      </c>
      <c r="O15" s="49">
        <v>378.2</v>
      </c>
      <c r="P15" s="102">
        <v>378</v>
      </c>
    </row>
    <row r="16" spans="1:16" x14ac:dyDescent="0.2">
      <c r="D16" s="53"/>
      <c r="E16" s="113"/>
      <c r="O16" s="53"/>
      <c r="P16" s="104"/>
    </row>
    <row r="17" spans="1:16" x14ac:dyDescent="0.2">
      <c r="A17" s="39" t="s">
        <v>72</v>
      </c>
      <c r="D17" s="51">
        <v>0.25531658418982373</v>
      </c>
      <c r="E17" s="114">
        <v>0.24007105697246556</v>
      </c>
      <c r="O17" s="51">
        <v>0.22258899888546524</v>
      </c>
      <c r="P17" s="105">
        <v>0.21471185996197462</v>
      </c>
    </row>
    <row r="18" spans="1:16" x14ac:dyDescent="0.2">
      <c r="A18" s="37" t="s">
        <v>73</v>
      </c>
      <c r="D18" s="52">
        <v>0.13</v>
      </c>
      <c r="E18" s="115">
        <v>0.11627641347801254</v>
      </c>
      <c r="O18" s="52"/>
      <c r="P18" s="106" t="s">
        <v>105</v>
      </c>
    </row>
    <row r="19" spans="1:16" x14ac:dyDescent="0.2">
      <c r="D19" s="53"/>
      <c r="E19" s="113"/>
      <c r="O19" s="53"/>
      <c r="P19" s="104"/>
    </row>
    <row r="20" spans="1:16" x14ac:dyDescent="0.2">
      <c r="A20" s="37" t="s">
        <v>74</v>
      </c>
      <c r="D20" s="52">
        <v>0.18</v>
      </c>
      <c r="E20" s="115">
        <v>0.16033971144991302</v>
      </c>
      <c r="O20" s="52">
        <v>0.1768415097476157</v>
      </c>
      <c r="P20" s="107">
        <v>0.16645077720207252</v>
      </c>
    </row>
    <row r="21" spans="1:16" x14ac:dyDescent="0.2">
      <c r="A21" s="37" t="s">
        <v>75</v>
      </c>
      <c r="D21" s="52">
        <v>0.13831380938662946</v>
      </c>
      <c r="E21" s="115">
        <v>0.16044203417579042</v>
      </c>
      <c r="O21" s="52">
        <v>0.13493881502097169</v>
      </c>
      <c r="P21" s="107">
        <v>0.14658894645941276</v>
      </c>
    </row>
    <row r="22" spans="1:16" x14ac:dyDescent="0.2">
      <c r="A22" s="37" t="s">
        <v>104</v>
      </c>
      <c r="D22" s="52">
        <v>0.21</v>
      </c>
      <c r="E22" s="115">
        <v>0.1445717403164212</v>
      </c>
      <c r="O22" s="52">
        <v>0.21045495900610178</v>
      </c>
      <c r="P22" s="107">
        <v>0.1739659367396594</v>
      </c>
    </row>
  </sheetData>
  <pageMargins left="0.7" right="0.7" top="0.75" bottom="0.75" header="0.3" footer="0.3"/>
  <pageSetup paperSize="125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2022-11-24T15:28:24Z</dcterms:created>
  <dcterms:modified xsi:type="dcterms:W3CDTF">2023-06-16T15:00:58Z</dcterms:modified>
</cp:coreProperties>
</file>