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EC85C29-BE69-4184-BFE6-8FB1EC4F6FE4}" xr6:coauthVersionLast="36" xr6:coauthVersionMax="47" xr10:uidLastSave="{00000000-0000-0000-0000-000000000000}"/>
  <bookViews>
    <workbookView xWindow="675" yWindow="495" windowWidth="32400" windowHeight="18795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4" i="1" l="1"/>
  <c r="AB24" i="1"/>
  <c r="AC24" i="1"/>
  <c r="T24" i="1"/>
  <c r="S24" i="1"/>
  <c r="J24" i="1"/>
  <c r="I24" i="1"/>
  <c r="H24" i="1"/>
  <c r="G24" i="1"/>
  <c r="F24" i="1"/>
  <c r="H23" i="1" l="1"/>
  <c r="H15" i="1" l="1"/>
  <c r="AD18" i="1" l="1"/>
  <c r="AC18" i="1"/>
  <c r="AB18" i="1"/>
  <c r="F18" i="1"/>
  <c r="L6" i="3" l="1"/>
  <c r="L1" i="3" s="1"/>
  <c r="J6" i="3"/>
  <c r="I6" i="3"/>
  <c r="AA28" i="1"/>
  <c r="Z28" i="1"/>
  <c r="AB28" i="1"/>
  <c r="T28" i="1"/>
  <c r="S28" i="1"/>
  <c r="W28" i="1"/>
  <c r="L28" i="1"/>
  <c r="N28" i="1" l="1"/>
  <c r="O28" i="1"/>
  <c r="M28" i="1"/>
  <c r="W5" i="1"/>
  <c r="W10" i="1" l="1"/>
  <c r="W7" i="1"/>
  <c r="W3" i="1"/>
  <c r="W1" i="1" s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<sst xmlns="http://schemas.openxmlformats.org/spreadsheetml/2006/main" count="1125" uniqueCount="651">
  <si>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</si>
  <si>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</si>
  <si>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</si>
  <si>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</si>
  <si>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</si>
  <si>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</si>
  <si>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</si>
  <si>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</si>
  <si>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</si>
  <si>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</si>
  <si>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</si>
  <si>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</si>
  <si>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</si>
  <si>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</si>
  <si>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</si>
  <si>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</si>
  <si>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</si>
  <si>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</si>
  <si>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</si>
  <si>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</si>
  <si>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</si>
  <si>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</si>
  <si>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</si>
  <si>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</si>
  <si>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</si>
  <si>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</si>
  <si>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</si>
  <si>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</si>
  <si>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</si>
  <si>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</si>
  <si>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</si>
  <si>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</si>
  <si>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</si>
  <si>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</si>
  <si>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</si>
  <si>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</si>
  <si>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</si>
  <si>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</si>
  <si>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</si>
  <si>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</si>
  <si>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</si>
  <si>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</si>
  <si>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</si>
  <si>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</si>
  <si>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</si>
  <si>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</si>
  <si>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</si>
  <si>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</si>
  <si>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</si>
  <si>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</si>
  <si>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</si>
  <si>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</si>
  <si>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</si>
  <si>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</si>
  <si>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</si>
  <si>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</si>
  <si>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</si>
  <si>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</si>
  <si>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</si>
  <si>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</si>
  <si>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</si>
  <si>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</si>
  <si>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</si>
  <si>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</si>
  <si>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</si>
  <si>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</si>
  <si>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</si>
  <si>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</si>
  <si>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</si>
  <si>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</si>
  <si>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</si>
  <si>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</si>
  <si>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</si>
  <si>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</si>
  <si>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</si>
  <si>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</si>
  <si>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</si>
  <si>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</si>
  <si>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</si>
  <si>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</si>
  <si>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</si>
  <si>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</si>
  <si>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</si>
  <si>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</si>
  <si>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</si>
  <si>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</si>
  <si>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</si>
  <si>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</si>
  <si>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</si>
  <si>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</si>
  <si>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</si>
  <si>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</si>
  <si>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</si>
  <si>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</si>
  <si>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</si>
  <si>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</si>
  <si>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</si>
  <si>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</si>
  <si>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</si>
  <si>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</si>
  <si>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</si>
  <si>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</si>
  <si>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</si>
  <si>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</si>
  <si>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</si>
  <si>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</si>
  <si>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</si>
  <si>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</si>
  <si>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</si>
  <si>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</si>
  <si>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</si>
  <si>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</si>
  <si>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</si>
  <si>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</si>
  <si>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</si>
  <si>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</si>
  <si>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</si>
  <si>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</si>
  <si>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</si>
  <si>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</si>
  <si>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</si>
  <si>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</si>
  <si>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</si>
  <si>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</si>
  <si>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</si>
  <si>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</si>
  <si>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</si>
  <si>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</si>
  <si>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</si>
  <si>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</si>
  <si>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</si>
  <si>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</si>
  <si>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</si>
  <si>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</si>
  <si>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</si>
  <si>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</si>
  <si>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</si>
  <si>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</si>
  <si>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</si>
  <si>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</si>
  <si>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</si>
  <si>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</si>
  <si>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</si>
  <si>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</si>
  <si>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</si>
  <si>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</si>
  <si>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</si>
  <si>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</si>
  <si>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</si>
  <si>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</si>
  <si>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</si>
  <si>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</si>
  <si>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</si>
  <si>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</si>
  <si>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</si>
  <si>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</si>
  <si>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</si>
  <si>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</si>
  <si>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</si>
  <si>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</si>
  <si>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</si>
  <si>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</si>
  <si>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</si>
  <si>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</si>
  <si>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</si>
  <si>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</si>
  <si>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</si>
  <si>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</si>
  <si>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</si>
  <si>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</si>
  <si>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</si>
  <si>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</si>
  <si>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</si>
  <si>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</si>
  <si>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</si>
  <si>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</si>
  <si>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</si>
  <si>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</si>
  <si>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</si>
  <si>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</si>
  <si>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</si>
  <si>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</si>
  <si>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</si>
  <si>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</si>
  <si>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</si>
  <si>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</si>
  <si>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</si>
  <si>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</si>
  <si>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</si>
  <si>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</si>
  <si>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</si>
  <si>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</si>
  <si>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</si>
  <si>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</si>
  <si>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</si>
  <si>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</si>
  <si>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</si>
  <si>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</si>
  <si>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</si>
  <si>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</si>
  <si>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</si>
  <si>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</si>
  <si>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</si>
  <si>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</si>
  <si>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</si>
  <si>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</si>
  <si>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</si>
  <si>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</si>
  <si>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</si>
  <si>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</si>
  <si>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</si>
  <si>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</si>
  <si>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</si>
  <si>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</si>
  <si>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</si>
  <si>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</si>
  <si>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</si>
  <si>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</si>
  <si>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</si>
  <si>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</si>
  <si>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</si>
  <si>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</si>
  <si>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</si>
  <si>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</si>
  <si>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</si>
  <si>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</si>
  <si>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</si>
  <si>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</si>
  <si>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</si>
  <si>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</si>
  <si>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</si>
  <si>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</si>
  <si>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</si>
  <si>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</si>
  <si>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</si>
  <si>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</si>
  <si>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</si>
  <si>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</si>
  <si>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</si>
  <si>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</si>
  <si>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</si>
  <si>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</si>
  <si>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</si>
  <si>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</si>
  <si>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</si>
  <si>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</si>
  <si>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</si>
  <si>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</si>
  <si>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</si>
  <si>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</si>
  <si>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</si>
  <si>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</si>
  <si>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</si>
  <si>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</si>
  <si>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</si>
  <si>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</si>
  <si>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</si>
  <si>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</si>
  <si>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</si>
  <si>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</si>
  <si>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</si>
  <si>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</si>
  <si>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</si>
  <si>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</si>
  <si>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</si>
  <si>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</si>
  <si>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</si>
  <si>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</si>
  <si>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</si>
  <si>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</si>
  <si>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</si>
  <si>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</si>
  <si>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</si>
  <si>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</si>
  <si>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</si>
  <si>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</si>
  <si>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</si>
  <si>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</si>
  <si>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</si>
  <si>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</si>
  <si>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</si>
  <si>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</si>
  <si>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</si>
  <si>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</si>
  <si>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</si>
  <si>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</si>
  <si>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</si>
  <si>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</si>
  <si>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</si>
  <si>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</si>
  <si>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</si>
  <si>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</si>
  <si>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</si>
  <si>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</si>
  <si>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</si>
  <si>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</si>
  <si>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</si>
  <si>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</si>
  <si>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</si>
  <si>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</si>
  <si>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</si>
  <si>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</si>
  <si>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</si>
  <si>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</si>
  <si>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</si>
  <si>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</si>
  <si>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</si>
  <si>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</si>
  <si>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</si>
  <si>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</si>
  <si>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</si>
  <si>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</si>
  <si>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</si>
  <si>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</si>
  <si>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</si>
  <si>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</si>
  <si>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</si>
  <si>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</si>
  <si>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</si>
  <si>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</si>
  <si>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</si>
  <si>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</si>
  <si>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</si>
  <si>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</si>
  <si>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</si>
  <si>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</si>
  <si>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</si>
  <si>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</si>
  <si>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</si>
  <si>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</si>
  <si>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</si>
  <si>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</si>
  <si>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</si>
  <si>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</si>
  <si>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</si>
  <si>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</si>
  <si>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</si>
  <si>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</si>
  <si>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</si>
  <si>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</si>
  <si>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</si>
  <si>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</si>
  <si>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</si>
  <si>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</si>
  <si>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</si>
  <si>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</si>
  <si>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</si>
  <si>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</si>
  <si>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</si>
  <si>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</si>
  <si>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</si>
  <si>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</si>
  <si>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</si>
  <si>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</si>
  <si>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</si>
  <si>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</si>
  <si>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</si>
  <si>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</si>
  <si>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</si>
  <si>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</si>
  <si>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</si>
  <si>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</si>
  <si>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</si>
  <si>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</si>
  <si>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</si>
  <si>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</si>
  <si>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</si>
  <si>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</si>
  <si>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</si>
  <si>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</si>
  <si>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</si>
  <si>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</si>
  <si>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</si>
  <si>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</si>
  <si>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</si>
  <si>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</si>
  <si>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</si>
  <si>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</si>
  <si>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</si>
  <si>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</si>
  <si>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</si>
  <si>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</si>
  <si>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</si>
  <si>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</si>
  <si>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</si>
  <si>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</si>
  <si>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</si>
  <si>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</si>
  <si>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</si>
  <si>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</si>
  <si>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</si>
  <si>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</si>
  <si>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</si>
  <si>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</si>
  <si>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</si>
  <si>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</si>
  <si>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</si>
  <si>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</si>
  <si>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</si>
  <si>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</si>
  <si>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</si>
  <si>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</si>
  <si>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</si>
  <si>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</si>
  <si>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</si>
  <si>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</si>
  <si>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</si>
  <si>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</si>
  <si>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</si>
  <si>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</si>
  <si>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</si>
  <si>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</si>
  <si>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</si>
  <si>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</si>
  <si>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</si>
  <si>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</si>
  <si>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</si>
  <si>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</si>
  <si>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</si>
  <si>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</si>
  <si>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</si>
  <si>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</si>
  <si>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</si>
  <si>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</si>
  <si>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</si>
  <si>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</si>
  <si>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</si>
  <si>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</si>
  <si>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</si>
  <si>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</si>
  <si>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</si>
  <si>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</si>
  <si>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</si>
  <si>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</si>
  <si>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</si>
  <si>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</si>
  <si>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</si>
  <si>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</si>
  <si>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</si>
  <si>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</si>
  <si>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</si>
  <si>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</si>
  <si>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</si>
  <si>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</si>
  <si>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</si>
  <si>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</si>
  <si>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</si>
  <si>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</si>
  <si>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</si>
  <si>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</si>
  <si>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</si>
  <si>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</si>
  <si>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</si>
  <si>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</si>
  <si>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</si>
  <si>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</si>
  <si>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</si>
  <si>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</si>
  <si>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</si>
  <si>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</si>
  <si>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</si>
  <si>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</si>
  <si>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</si>
  <si>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</si>
  <si>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</si>
  <si>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</si>
  <si>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</si>
  <si>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</si>
  <si>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</si>
  <si>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</si>
  <si>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</si>
  <si>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</si>
  <si>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</si>
  <si>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</si>
  <si>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</si>
  <si>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</si>
  <si>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</si>
  <si>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</si>
  <si>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</si>
  <si>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</si>
  <si>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</si>
  <si>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</si>
  <si>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</si>
  <si>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</si>
  <si>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</si>
  <si>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</si>
  <si>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</si>
  <si>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</si>
  <si>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</si>
  <si>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</si>
  <si>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</si>
  <si>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</si>
  <si>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</si>
  <si>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</si>
  <si>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</si>
  <si>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</si>
  <si>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</si>
  <si>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</si>
  <si>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</si>
  <si>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</si>
  <si>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</si>
  <si>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</si>
  <si>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</si>
  <si>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</si>
  <si>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</si>
  <si>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</si>
  <si>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</si>
  <si>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</si>
  <si>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</si>
  <si>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</si>
  <si>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</si>
  <si>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</si>
  <si>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</si>
  <si>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</si>
  <si>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</si>
  <si>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</si>
  <si>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</si>
  <si>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</si>
  <si>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</si>
  <si>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</si>
  <si>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</si>
  <si>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</si>
  <si>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</si>
  <si>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</si>
  <si>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</si>
  <si>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</si>
  <si>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</si>
  <si>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</si>
  <si>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</si>
  <si>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</si>
  <si>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</si>
  <si>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</si>
  <si>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</si>
  <si>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</si>
  <si>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</si>
  <si>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</si>
  <si>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</si>
  <si>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</si>
  <si>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</si>
  <si>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</si>
  <si>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</si>
  <si>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</si>
  <si>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</si>
  <si>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</si>
  <si>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</si>
  <si>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</si>
  <si>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</si>
  <si>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</si>
  <si>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</si>
  <si>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</si>
  <si>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</si>
  <si>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</si>
  <si>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</si>
  <si>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</si>
  <si>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</si>
  <si>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</si>
  <si>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</si>
  <si>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</si>
  <si>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</si>
  <si>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</si>
  <si>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</si>
  <si>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</si>
  <si>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</si>
  <si>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</si>
  <si>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</si>
  <si>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</si>
  <si>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</si>
  <si>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</si>
  <si>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</si>
  <si>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</si>
  <si>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</si>
  <si>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</si>
  <si>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</si>
  <si>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</si>
  <si>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</si>
  <si>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</si>
  <si>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</si>
  <si>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</si>
  <si>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</si>
  <si>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</si>
  <si>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</si>
  <si>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</si>
  <si>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</si>
  <si>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</si>
  <si>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</si>
  <si>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</si>
  <si>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</si>
  <si>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</si>
  <si>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</si>
  <si>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</si>
  <si>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</si>
  <si>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</si>
  <si>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</si>
  <si>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</si>
  <si>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</si>
  <si>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</si>
  <si>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</si>
  <si>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</si>
  <si>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</si>
  <si>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</si>
  <si>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</si>
  <si>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</si>
  <si>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</si>
  <si>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</si>
  <si>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</si>
  <si>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</si>
  <si>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</si>
  <si>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</si>
  <si>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</si>
  <si>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</si>
  <si>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</si>
  <si>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</si>
  <si>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</si>
  <si>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</si>
  <si>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</si>
  <si>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</si>
  <si>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</si>
  <si>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</si>
  <si>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</si>
  <si>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</si>
  <si>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</si>
  <si>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</si>
  <si>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</si>
  <si>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</si>
  <si>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</si>
  <si>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</si>
  <si>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</si>
  <si>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</si>
  <si>
    <t>Regional &amp; short-haul</t>
  </si>
  <si>
    <t>$SKYW</t>
  </si>
  <si>
    <t>SkyWest, Inc.</t>
  </si>
  <si>
    <t>$SAVE</t>
  </si>
  <si>
    <t>$FDX</t>
  </si>
  <si>
    <t>FedEx Corporation</t>
  </si>
  <si>
    <t>$UPS</t>
  </si>
  <si>
    <t>United Postal Service, Inc.</t>
  </si>
  <si>
    <t>Freight &amp; Cargo</t>
  </si>
  <si>
    <t>Ultra-low cost carrier covering North America</t>
  </si>
  <si>
    <t>Regional airline operating flights scheduled, maintained &amp; sold by partner 'mailine' airlines</t>
  </si>
  <si>
    <t>€AF</t>
  </si>
  <si>
    <t>EPA</t>
  </si>
  <si>
    <t>French-Dutch airline holding including Air France, KLM &amp; misc minority interests</t>
  </si>
  <si>
    <t>Paris, France</t>
  </si>
  <si>
    <t>Stansted Airport, UK</t>
  </si>
  <si>
    <t>Enter Air Sp. z o o</t>
  </si>
  <si>
    <t>ENT.WA</t>
  </si>
  <si>
    <t>PLN</t>
  </si>
  <si>
    <t>PLNGBP</t>
  </si>
  <si>
    <t>Polish charter airline operating holiday &amp; charter flights from Polish hubs</t>
  </si>
  <si>
    <t>WSE</t>
  </si>
  <si>
    <t>Flag carrier for China, 1 of "Big Three" Chinese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</si>
</sst>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2" fontId="1" fillId="0" borderId="0" xfId="0" applyNumberFormat="1" applyFont="1"/>
    <xf numFmtId="0" fontId="11" fillId="7" borderId="0" xfId="1" applyFont="1" applyFill="1"/>
    <xf numFmtId="4" fontId="1" fillId="7" borderId="0" xfId="0" applyNumberFormat="1" applyFont="1" applyFill="1"/>
    <xf numFmtId="166" fontId="1" fillId="7" borderId="0" xfId="0" applyNumberFormat="1" applyFont="1" applyFill="1"/>
    <xf numFmtId="166" fontId="1" fillId="7" borderId="0" xfId="0" applyNumberFormat="1" applyFont="1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68" fontId="1" fillId="7" borderId="0" xfId="0" applyNumberFormat="1" applyFont="1" applyFill="1" applyAlignment="1">
      <alignment horizontal="center"/>
    </xf>
    <xf numFmtId="16" fontId="1" fillId="7" borderId="0" xfId="0" applyNumberFormat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microsoft.com/office/2017/06/relationships/rdRichValue" Target="richData/rdrichvalue.xml"/><Relationship Id="rId10" Type="http://schemas.openxmlformats.org/officeDocument/2006/relationships/externalLink" Target="externalLinks/externalLink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D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NT.W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33.74</v>
          </cell>
        </row>
        <row r="23">
          <cell r="C23" t="str">
            <v>Atlanta, GA</v>
          </cell>
        </row>
        <row r="24">
          <cell r="C24">
            <v>1924</v>
          </cell>
        </row>
        <row r="25">
          <cell r="C25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ccounts"/>
    </sheetNames>
    <sheetDataSet>
      <sheetData sheetId="0"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48.6</v>
          </cell>
        </row>
        <row r="7">
          <cell r="C7">
            <v>17.54</v>
          </cell>
        </row>
        <row r="8">
          <cell r="C8">
            <v>852.44399999999996</v>
          </cell>
        </row>
        <row r="11">
          <cell r="C11">
            <v>0</v>
          </cell>
        </row>
        <row r="12">
          <cell r="C12">
            <v>852.44399999999996</v>
          </cell>
        </row>
        <row r="23">
          <cell r="C23" t="str">
            <v>Warsaw, Poland</v>
          </cell>
        </row>
        <row r="24">
          <cell r="C24">
            <v>2009</v>
          </cell>
        </row>
        <row r="25">
          <cell r="C25">
            <v>2015</v>
          </cell>
        </row>
        <row r="27">
          <cell r="C27">
            <v>26</v>
          </cell>
        </row>
        <row r="28">
          <cell r="C28">
            <v>6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hyperlink" Target="ENT.WA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hyperlink" Target="$DAL.xlsx" TargetMode="External"/><Relationship Id="rId5" Type="http://schemas.openxmlformats.org/officeDocument/2006/relationships/hyperlink" Target="$ALK.xlsx" TargetMode="External"/><Relationship Id="rId15" Type="http://schemas.openxmlformats.org/officeDocument/2006/relationships/comments" Target="../comments1.xml"/><Relationship Id="rId10" Type="http://schemas.openxmlformats.org/officeDocument/2006/relationships/hyperlink" Target="Private%20Equity/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Relationship Id="rId1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/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7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6.5" x14ac:dyDescent="0.25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6.5" x14ac:dyDescent="0.25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6.5" x14ac:dyDescent="0.25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6.5" x14ac:dyDescent="0.25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6.5" x14ac:dyDescent="0.25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6.5" x14ac:dyDescent="0.25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6.5" x14ac:dyDescent="0.25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6.5" x14ac:dyDescent="0.25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6.5" x14ac:dyDescent="0.25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6.5" x14ac:dyDescent="0.25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6.5" x14ac:dyDescent="0.25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6.5" x14ac:dyDescent="0.25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6.5" x14ac:dyDescent="0.25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6.5" x14ac:dyDescent="0.25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6.5" x14ac:dyDescent="0.25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6">
        <v>44882</v>
      </c>
      <c r="M18" s="6" t="s">
        <v>520</v>
      </c>
      <c r="N18" s="11">
        <v>-8.5000000000000006E-3</v>
      </c>
    </row>
    <row r="19" spans="1:14" ht="16.5" x14ac:dyDescent="0.25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6.5" x14ac:dyDescent="0.25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6">
        <v>44873</v>
      </c>
      <c r="M20" s="6" t="s">
        <v>531</v>
      </c>
      <c r="N20" s="9">
        <v>5.3E-3</v>
      </c>
    </row>
    <row r="21" spans="1:14" ht="16.5" x14ac:dyDescent="0.25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6.5" x14ac:dyDescent="0.25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6.5" x14ac:dyDescent="0.25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6.5" x14ac:dyDescent="0.25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6.5" x14ac:dyDescent="0.25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6.5" x14ac:dyDescent="0.25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6.5" x14ac:dyDescent="0.25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6.5" x14ac:dyDescent="0.25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6.5" x14ac:dyDescent="0.25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6.5" x14ac:dyDescent="0.25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6.5" x14ac:dyDescent="0.25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6">
        <v>44874</v>
      </c>
      <c r="M31" s="6" t="s">
        <v>588</v>
      </c>
      <c r="N31" s="9">
        <v>2.63E-2</v>
      </c>
    </row>
    <row r="32" spans="1:14" ht="16.5" x14ac:dyDescent="0.25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6.5" x14ac:dyDescent="0.25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6.5" x14ac:dyDescent="0.25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1" sqref="K21"/>
    </sheetView>
  </sheetViews>
  <sheetFormatPr defaultColWidth="8.875" defaultRowHeight="12.75" x14ac:dyDescent="0.2"/>
  <cols>
    <col min="1" max="1" width="3.625" style="1" customWidth="1"/>
    <col min="2" max="2" width="11.875" style="1" bestFit="1" customWidth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71.625" style="1" bestFit="1" customWidth="1"/>
    <col min="12" max="18" width="8.875" style="1"/>
    <col min="19" max="19" width="10.375" style="4" bestFit="1" customWidth="1"/>
    <col min="20" max="20" width="13.375" style="4" bestFit="1" customWidth="1"/>
    <col min="21" max="21" width="14" style="1" bestFit="1" customWidth="1"/>
    <col min="22" max="22" width="9.875" style="1" bestFit="1" customWidth="1"/>
    <col min="23" max="23" width="9.875" style="1" customWidth="1"/>
    <col min="24" max="25" width="8.875" style="1"/>
    <col min="26" max="27" width="8.875" style="4"/>
    <col min="28" max="28" width="8.875" style="1"/>
    <col min="29" max="29" width="16.875" style="1" bestFit="1" customWidth="1"/>
    <col min="30" max="16384" width="8.875" style="1"/>
  </cols>
  <sheetData>
    <row r="1" spans="2:30" x14ac:dyDescent="0.2">
      <c r="D1" s="1"/>
      <c r="F1" s="59" t="s">
        <v>627</v>
      </c>
      <c r="G1" s="59"/>
      <c r="H1" s="59"/>
      <c r="I1" s="59"/>
      <c r="J1" s="59"/>
      <c r="S1" s="1"/>
      <c r="T1" s="1"/>
      <c r="W1" s="41">
        <f>AVERAGE(W3:W10)</f>
        <v>10.144047619047617</v>
      </c>
      <c r="X1" s="38">
        <f>AVERAGE(X4:X10)</f>
        <v>1.3082569747231938</v>
      </c>
    </row>
    <row r="2" spans="2:30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623</v>
      </c>
      <c r="N2" s="3" t="s">
        <v>624</v>
      </c>
      <c r="O2" s="3" t="s">
        <v>625</v>
      </c>
      <c r="P2" s="3" t="s">
        <v>611</v>
      </c>
      <c r="Q2" s="3" t="s">
        <v>610</v>
      </c>
      <c r="R2" s="3" t="s">
        <v>609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606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605</v>
      </c>
    </row>
    <row r="3" spans="2:30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[1]Main!$C$6*H33</f>
        <v>58.001999999999995</v>
      </c>
      <c r="G3" s="26">
        <f>[1]Main!$C$7</f>
        <v>227.43</v>
      </c>
      <c r="H3" s="26">
        <f>[1]Main!$C$12*H33</f>
        <v>13191.394859999999</v>
      </c>
      <c r="I3" s="39">
        <f>[1]Main!$C$11*H33</f>
        <v>0</v>
      </c>
      <c r="J3" s="26">
        <f>[1]Main!$C$12*H33</f>
        <v>13191.394859999999</v>
      </c>
      <c r="K3" s="1" t="s">
        <v>394</v>
      </c>
      <c r="L3" s="4"/>
      <c r="M3" s="4"/>
      <c r="N3" s="4"/>
      <c r="O3" s="4"/>
      <c r="P3" s="4"/>
      <c r="Q3" s="4"/>
      <c r="W3" s="40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s="42" customFormat="1" x14ac:dyDescent="0.2">
      <c r="B4" s="50" t="s">
        <v>429</v>
      </c>
      <c r="C4" s="42" t="s">
        <v>427</v>
      </c>
      <c r="D4" s="43" t="s">
        <v>42</v>
      </c>
      <c r="E4" s="43" t="s">
        <v>430</v>
      </c>
      <c r="F4" s="51">
        <f>[2]Main!$C$6*H36</f>
        <v>19.570099999999996</v>
      </c>
      <c r="G4" s="52">
        <f>[2]Main!$C$7</f>
        <v>385.26</v>
      </c>
      <c r="H4" s="52">
        <f>[2]Main!$C$8*H36</f>
        <v>7539.5767259999993</v>
      </c>
      <c r="I4" s="52">
        <f>[2]Main!$C$11*H36</f>
        <v>0</v>
      </c>
      <c r="J4" s="52">
        <f>[2]Main!$C$12*H36</f>
        <v>7539.5767259999993</v>
      </c>
      <c r="K4" s="42" t="s">
        <v>428</v>
      </c>
      <c r="L4" s="43"/>
      <c r="M4" s="43"/>
      <c r="N4" s="43"/>
      <c r="O4" s="43"/>
      <c r="P4" s="43"/>
      <c r="Q4" s="43"/>
      <c r="S4" s="43"/>
      <c r="T4" s="43"/>
      <c r="U4" s="43"/>
      <c r="W4" s="43">
        <v>10.7</v>
      </c>
      <c r="X4" s="43"/>
      <c r="Z4" s="43"/>
      <c r="AA4" s="43"/>
      <c r="AB4" s="43">
        <f>[2]Main!$C$25</f>
        <v>2005</v>
      </c>
      <c r="AC4" s="43" t="str">
        <f>[2]Main!$C$24</f>
        <v>Gurgaon, India</v>
      </c>
      <c r="AD4" s="43">
        <f>[2]Main!$C$26</f>
        <v>2015</v>
      </c>
    </row>
    <row r="5" spans="2:30" s="42" customFormat="1" x14ac:dyDescent="0.2">
      <c r="B5" s="50" t="s">
        <v>12</v>
      </c>
      <c r="C5" s="42" t="s">
        <v>15</v>
      </c>
      <c r="D5" s="43" t="s">
        <v>18</v>
      </c>
      <c r="E5" s="43" t="s">
        <v>377</v>
      </c>
      <c r="F5" s="51">
        <f>[3]Main!$C$6</f>
        <v>1.1198999999999999</v>
      </c>
      <c r="G5" s="52">
        <f>[3]Main!$C$7</f>
        <v>4950</v>
      </c>
      <c r="H5" s="52">
        <f>[3]Main!$C$8</f>
        <v>5543.5049999999992</v>
      </c>
      <c r="I5" s="52">
        <f>[3]Main!$C$11</f>
        <v>0</v>
      </c>
      <c r="J5" s="52">
        <f>[3]Main!$C$12</f>
        <v>5543.5049999999992</v>
      </c>
      <c r="K5" s="42" t="s">
        <v>25</v>
      </c>
      <c r="L5" s="43"/>
      <c r="M5" s="43"/>
      <c r="N5" s="43"/>
      <c r="O5" s="43"/>
      <c r="P5" s="43"/>
      <c r="Q5" s="43"/>
      <c r="S5" s="43">
        <v>531</v>
      </c>
      <c r="T5" s="43"/>
      <c r="U5" s="43">
        <v>200</v>
      </c>
      <c r="W5" s="53">
        <f>[3]Main!$V$12</f>
        <v>13.233333333333334</v>
      </c>
      <c r="X5" s="43"/>
      <c r="Z5" s="43"/>
      <c r="AA5" s="43"/>
      <c r="AB5" s="43">
        <f>[3]Main!$C$28</f>
        <v>2011</v>
      </c>
      <c r="AC5" s="43" t="str">
        <f>[3]Main!$C$27</f>
        <v>London/Madrid</v>
      </c>
      <c r="AD5" s="43">
        <f>[3]Main!$C$29</f>
        <v>2011</v>
      </c>
    </row>
    <row r="6" spans="2:30" s="42" customFormat="1" x14ac:dyDescent="0.2">
      <c r="B6" s="50" t="s">
        <v>421</v>
      </c>
      <c r="C6" s="42" t="s">
        <v>423</v>
      </c>
      <c r="D6" s="43" t="s">
        <v>42</v>
      </c>
      <c r="E6" s="43" t="s">
        <v>383</v>
      </c>
      <c r="F6" s="51">
        <f>[4]Main!$C$6*H33</f>
        <v>35.1372</v>
      </c>
      <c r="G6" s="52">
        <f>[4]Main!$C$7</f>
        <v>126.5</v>
      </c>
      <c r="H6" s="52">
        <f>[4]Main!$C$8*H33</f>
        <v>4444.8557999999994</v>
      </c>
      <c r="I6" s="52">
        <f>[4]Main!$C$11*H33</f>
        <v>942.48</v>
      </c>
      <c r="J6" s="52">
        <f>[4]Main!$C$12*H33</f>
        <v>3502.3757999999998</v>
      </c>
      <c r="K6" s="42" t="s">
        <v>422</v>
      </c>
      <c r="L6" s="54">
        <f>'[4]Financial Model'!$V$42</f>
        <v>0.26862302483069977</v>
      </c>
      <c r="M6" s="54"/>
      <c r="N6" s="54"/>
      <c r="O6" s="54"/>
      <c r="P6" s="54"/>
      <c r="Q6" s="43"/>
      <c r="S6" s="43"/>
      <c r="T6" s="43"/>
      <c r="U6" s="43"/>
      <c r="W6" s="43">
        <v>10.199999999999999</v>
      </c>
      <c r="X6" s="55">
        <f>[4]Main!$C$35</f>
        <v>1.3933386917609896</v>
      </c>
      <c r="Z6" s="43" t="str">
        <f>[4]Main!$C$30</f>
        <v>Q222</v>
      </c>
      <c r="AA6" s="56">
        <f>[4]Main!$D$30</f>
        <v>44378</v>
      </c>
      <c r="AB6" s="43">
        <f>[4]Main!$C$23</f>
        <v>1932</v>
      </c>
      <c r="AC6" s="43" t="str">
        <f>[4]Main!$C$24</f>
        <v>Seattle, WA</v>
      </c>
      <c r="AD6" s="43"/>
    </row>
    <row r="7" spans="2:30" s="42" customFormat="1" x14ac:dyDescent="0.2">
      <c r="B7" s="50" t="s">
        <v>11</v>
      </c>
      <c r="C7" s="42" t="s">
        <v>14</v>
      </c>
      <c r="D7" s="43" t="s">
        <v>18</v>
      </c>
      <c r="E7" s="43" t="s">
        <v>381</v>
      </c>
      <c r="F7" s="51">
        <f>[5]Main!$C$6</f>
        <v>3.54</v>
      </c>
      <c r="G7" s="52">
        <f>[5]Main!$C$7</f>
        <v>758</v>
      </c>
      <c r="H7" s="52">
        <f>[5]Main!$C$8</f>
        <v>2683.32</v>
      </c>
      <c r="I7" s="52">
        <f>[5]Main!$C$11</f>
        <v>478</v>
      </c>
      <c r="J7" s="52">
        <f>[5]Main!$C$12</f>
        <v>2205.3200000000002</v>
      </c>
      <c r="K7" s="42" t="s">
        <v>392</v>
      </c>
      <c r="L7" s="54">
        <f>'[5]Financial Model'!$I$31</f>
        <v>2.4699599465954607E-2</v>
      </c>
      <c r="M7" s="54"/>
      <c r="N7" s="54"/>
      <c r="O7" s="54"/>
      <c r="P7" s="54"/>
      <c r="Q7" s="43"/>
      <c r="S7" s="43">
        <v>310</v>
      </c>
      <c r="T7" s="43">
        <v>106</v>
      </c>
      <c r="U7" s="43">
        <v>136</v>
      </c>
      <c r="W7" s="43">
        <f>AVERAGE(10,9.2,7.2)</f>
        <v>8.7999999999999989</v>
      </c>
      <c r="X7" s="55">
        <f>[5]Main!$C$37</f>
        <v>1.0939180327868854</v>
      </c>
      <c r="Z7" s="43" t="str">
        <f>[5]Main!$C$31</f>
        <v>H122</v>
      </c>
      <c r="AA7" s="56">
        <f>[5]Main!$D$31</f>
        <v>44700</v>
      </c>
      <c r="AB7" s="43">
        <f>[5]Main!$C$28</f>
        <v>1995</v>
      </c>
      <c r="AC7" s="43" t="str">
        <f>[5]Main!$C$27</f>
        <v>Luton, UK</v>
      </c>
      <c r="AD7" s="43">
        <f>[5]Main!$C$29</f>
        <v>2000</v>
      </c>
    </row>
    <row r="8" spans="2:30" s="42" customFormat="1" x14ac:dyDescent="0.2">
      <c r="B8" s="50" t="s">
        <v>16</v>
      </c>
      <c r="C8" s="42" t="s">
        <v>17</v>
      </c>
      <c r="D8" s="43" t="s">
        <v>20</v>
      </c>
      <c r="E8" s="43" t="s">
        <v>381</v>
      </c>
      <c r="F8" s="51">
        <f>[6]Main!$C$6</f>
        <v>10.029999999999999</v>
      </c>
      <c r="G8" s="52">
        <f>[6]Main!$C$7</f>
        <v>214.62</v>
      </c>
      <c r="H8" s="52">
        <f>[6]Main!$C$8</f>
        <v>2152.6385999999998</v>
      </c>
      <c r="I8" s="52">
        <f>[6]Main!$C$11</f>
        <v>0</v>
      </c>
      <c r="J8" s="52">
        <f>[6]Main!$C$12</f>
        <v>2152.6385999999998</v>
      </c>
      <c r="K8" s="42" t="s">
        <v>391</v>
      </c>
      <c r="L8" s="43"/>
      <c r="M8" s="43"/>
      <c r="N8" s="43"/>
      <c r="O8" s="43"/>
      <c r="P8" s="43"/>
      <c r="Q8" s="43"/>
      <c r="S8" s="43">
        <v>96</v>
      </c>
      <c r="T8" s="43">
        <v>57</v>
      </c>
      <c r="U8" s="43">
        <v>82</v>
      </c>
      <c r="W8" s="57">
        <v>15.3</v>
      </c>
      <c r="X8" s="43"/>
      <c r="Z8" s="43"/>
      <c r="AA8" s="43"/>
      <c r="AB8" s="43">
        <f>[6]Main!$C$28</f>
        <v>1971</v>
      </c>
      <c r="AC8" s="43" t="str">
        <f>[6]Main!$C$27</f>
        <v>Leeds, UK</v>
      </c>
      <c r="AD8" s="43">
        <f>[6]Main!$C$29</f>
        <v>1988</v>
      </c>
    </row>
    <row r="9" spans="2:30" s="42" customFormat="1" x14ac:dyDescent="0.2">
      <c r="B9" s="50" t="s">
        <v>434</v>
      </c>
      <c r="C9" s="42" t="s">
        <v>435</v>
      </c>
      <c r="D9" s="43" t="s">
        <v>65</v>
      </c>
      <c r="E9" s="43" t="s">
        <v>383</v>
      </c>
      <c r="F9" s="51">
        <f>[7]Main!$C$6*H33</f>
        <v>23.9148</v>
      </c>
      <c r="G9" s="52">
        <f>[7]Main!$C$7</f>
        <v>73.998000000000005</v>
      </c>
      <c r="H9" s="52">
        <f>[7]Main!$C$8*H33</f>
        <v>1769.6473704000002</v>
      </c>
      <c r="I9" s="52">
        <f>[7]Main!$C$11*H33</f>
        <v>-1104.7318799999998</v>
      </c>
      <c r="J9" s="52">
        <f>[7]Main!$C$12*H33</f>
        <v>2874.3792504000003</v>
      </c>
      <c r="K9" s="42" t="s">
        <v>604</v>
      </c>
      <c r="L9" s="54">
        <f>'[7]Financial Model'!$U$37</f>
        <v>0.33604299344574362</v>
      </c>
      <c r="M9" s="54"/>
      <c r="N9" s="54"/>
      <c r="O9" s="54"/>
      <c r="P9" s="54"/>
      <c r="S9" s="43">
        <f>[7]Main!$D$23</f>
        <v>117</v>
      </c>
      <c r="T9" s="43">
        <f>[7]Main!$D$24</f>
        <v>2</v>
      </c>
      <c r="U9" s="43" t="str">
        <f>[7]Main!$D$25</f>
        <v>N/A</v>
      </c>
      <c r="W9" s="43"/>
      <c r="X9" s="55">
        <f>[7]Main!$C$38</f>
        <v>1.4375141996217067</v>
      </c>
      <c r="Z9" s="43" t="str">
        <f>[7]Main!$C$33</f>
        <v>Q322</v>
      </c>
      <c r="AA9" s="56">
        <f>[7]Main!$D$33</f>
        <v>44868</v>
      </c>
      <c r="AB9" s="43">
        <f>[7]Main!$C$30</f>
        <v>1980</v>
      </c>
      <c r="AC9" s="43" t="str">
        <f>[7]Main!$C$29</f>
        <v>Wilmington, OH</v>
      </c>
      <c r="AD9" s="43">
        <f>[7]Main!$C$31</f>
        <v>2003</v>
      </c>
    </row>
    <row r="10" spans="2:30" s="42" customFormat="1" x14ac:dyDescent="0.2">
      <c r="B10" s="50" t="s">
        <v>10</v>
      </c>
      <c r="C10" s="42" t="s">
        <v>13</v>
      </c>
      <c r="D10" s="43" t="s">
        <v>18</v>
      </c>
      <c r="E10" s="43" t="s">
        <v>377</v>
      </c>
      <c r="F10" s="51">
        <f>[8]Main!$C$6</f>
        <v>17.350000000000001</v>
      </c>
      <c r="G10" s="52">
        <f>[8]Main!$C$7</f>
        <v>103.7</v>
      </c>
      <c r="H10" s="52">
        <f>[8]Main!$C$8</f>
        <v>1799.1950000000002</v>
      </c>
      <c r="I10" s="52">
        <f>[8]Main!$C$11</f>
        <v>0</v>
      </c>
      <c r="J10" s="52">
        <f>[8]Main!$C$12</f>
        <v>1799.1950000000002</v>
      </c>
      <c r="K10" s="42" t="s">
        <v>19</v>
      </c>
      <c r="L10" s="54">
        <f>'[8]Financial Model'!$L$25</f>
        <v>0.47730688307784791</v>
      </c>
      <c r="M10" s="54"/>
      <c r="N10" s="54"/>
      <c r="O10" s="54"/>
      <c r="P10" s="54"/>
      <c r="Q10" s="54"/>
      <c r="R10" s="54"/>
      <c r="S10" s="43">
        <f>[8]Main!$D$21</f>
        <v>0</v>
      </c>
      <c r="T10" s="43">
        <f>[8]Main!$D$22</f>
        <v>153</v>
      </c>
      <c r="U10" s="43"/>
      <c r="W10" s="53">
        <f>AVERAGE(5.2,3.7,0.7,2.7)</f>
        <v>3.0750000000000002</v>
      </c>
      <c r="X10" s="43"/>
      <c r="Z10" s="43"/>
      <c r="AA10" s="43"/>
      <c r="AB10" s="43">
        <f>[8]Main!$C$29</f>
        <v>2003</v>
      </c>
      <c r="AC10" s="43" t="str">
        <f>[8]Main!$C$28</f>
        <v>Budapest, Hungary</v>
      </c>
      <c r="AD10" s="43">
        <f>[8]Main!$C$30</f>
        <v>2015</v>
      </c>
    </row>
    <row r="11" spans="2:30" x14ac:dyDescent="0.2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2"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X12" s="4"/>
    </row>
    <row r="13" spans="2:30" x14ac:dyDescent="0.2">
      <c r="B13" s="1" t="s">
        <v>21</v>
      </c>
      <c r="C13" s="1" t="s">
        <v>22</v>
      </c>
      <c r="D13" s="4" t="s">
        <v>18</v>
      </c>
      <c r="H13" s="31"/>
      <c r="I13" s="26"/>
      <c r="J13" s="26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2">
      <c r="B14" s="33">
        <v>753</v>
      </c>
      <c r="C14" s="1" t="s">
        <v>88</v>
      </c>
      <c r="D14" s="4" t="s">
        <v>396</v>
      </c>
      <c r="H14" s="31"/>
      <c r="I14" s="26"/>
      <c r="J14" s="26"/>
      <c r="K14" s="1" t="s">
        <v>650</v>
      </c>
      <c r="L14" s="4"/>
      <c r="M14" s="4"/>
      <c r="N14" s="4"/>
      <c r="O14" s="4"/>
      <c r="P14" s="4"/>
      <c r="Q14" s="4"/>
      <c r="U14" s="4"/>
      <c r="X14" s="4"/>
    </row>
    <row r="15" spans="2:30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(F15*H33)*592.96</f>
        <v>19993.188095999998</v>
      </c>
      <c r="I15" s="26"/>
      <c r="J15" s="26"/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(F16*H35)*320.79</f>
        <v>4536.6121800000001</v>
      </c>
      <c r="I16" s="26"/>
      <c r="J16" s="26"/>
      <c r="K16" s="1" t="s">
        <v>390</v>
      </c>
      <c r="L16" s="4"/>
      <c r="M16" s="4"/>
      <c r="N16" s="4"/>
      <c r="O16" s="4"/>
      <c r="P16" s="4"/>
      <c r="X16" s="4"/>
    </row>
    <row r="17" spans="2:3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(F17*H33)*320.79</f>
        <v>2570.6827439999997</v>
      </c>
      <c r="I17" s="26"/>
      <c r="J17" s="26"/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2">
      <c r="B18" s="25" t="s">
        <v>397</v>
      </c>
      <c r="C18" s="1" t="s">
        <v>41</v>
      </c>
      <c r="D18" s="4" t="s">
        <v>42</v>
      </c>
      <c r="E18" s="4" t="s">
        <v>383</v>
      </c>
      <c r="F18" s="49">
        <f>[9]Main!$C$6*H33</f>
        <v>28.3416</v>
      </c>
      <c r="I18" s="26"/>
      <c r="J18" s="26"/>
      <c r="K18" s="1" t="s">
        <v>398</v>
      </c>
      <c r="X18" s="4"/>
      <c r="AB18" s="4">
        <f>[9]Main!$C$24</f>
        <v>1924</v>
      </c>
      <c r="AC18" s="4" t="str">
        <f>[9]Main!$C$23</f>
        <v>Atlanta, GA</v>
      </c>
      <c r="AD18" s="4">
        <f>[9]Main!$C$25</f>
        <v>0</v>
      </c>
    </row>
    <row r="19" spans="2:30" x14ac:dyDescent="0.2">
      <c r="B19" s="1" t="s">
        <v>629</v>
      </c>
      <c r="C19" s="1" t="s">
        <v>630</v>
      </c>
      <c r="D19" s="4" t="s">
        <v>65</v>
      </c>
      <c r="E19" s="4" t="s">
        <v>383</v>
      </c>
      <c r="F19" s="49"/>
      <c r="I19" s="26"/>
      <c r="J19" s="26"/>
      <c r="K19" s="1" t="s">
        <v>638</v>
      </c>
      <c r="X19" s="4"/>
      <c r="AB19" s="4"/>
      <c r="AC19" s="4"/>
      <c r="AD19" s="4"/>
    </row>
    <row r="20" spans="2:30" x14ac:dyDescent="0.2">
      <c r="B20" s="1" t="s">
        <v>631</v>
      </c>
      <c r="C20" s="1" t="s">
        <v>232</v>
      </c>
      <c r="D20" s="4" t="s">
        <v>42</v>
      </c>
      <c r="E20" s="4" t="s">
        <v>383</v>
      </c>
      <c r="F20" s="49"/>
      <c r="I20" s="26"/>
      <c r="J20" s="26"/>
      <c r="K20" s="1" t="s">
        <v>637</v>
      </c>
      <c r="X20" s="4"/>
      <c r="AB20" s="4"/>
      <c r="AC20" s="4"/>
      <c r="AD20" s="4"/>
    </row>
    <row r="21" spans="2:30" x14ac:dyDescent="0.2">
      <c r="B21" s="1" t="s">
        <v>632</v>
      </c>
      <c r="C21" s="1" t="s">
        <v>633</v>
      </c>
      <c r="D21" s="4" t="s">
        <v>42</v>
      </c>
      <c r="E21" s="4" t="s">
        <v>383</v>
      </c>
      <c r="F21" s="49"/>
      <c r="I21" s="26"/>
      <c r="J21" s="26"/>
      <c r="K21" s="1" t="s">
        <v>636</v>
      </c>
      <c r="X21" s="4"/>
      <c r="AB21" s="4"/>
      <c r="AC21" s="4"/>
      <c r="AD21" s="4"/>
    </row>
    <row r="22" spans="2:30" x14ac:dyDescent="0.2">
      <c r="B22" s="1" t="s">
        <v>634</v>
      </c>
      <c r="C22" s="1" t="s">
        <v>635</v>
      </c>
      <c r="D22" s="4" t="s">
        <v>42</v>
      </c>
      <c r="E22" s="4" t="s">
        <v>383</v>
      </c>
      <c r="F22" s="49"/>
      <c r="I22" s="26"/>
      <c r="J22" s="26"/>
      <c r="K22" s="1" t="s">
        <v>636</v>
      </c>
      <c r="X22" s="4"/>
      <c r="AB22" s="4"/>
      <c r="AC22" s="4"/>
      <c r="AD22" s="4"/>
    </row>
    <row r="23" spans="2:30" x14ac:dyDescent="0.2">
      <c r="B23" s="1" t="s">
        <v>639</v>
      </c>
      <c r="C23" s="1" t="s">
        <v>208</v>
      </c>
      <c r="D23" s="4" t="s">
        <v>640</v>
      </c>
      <c r="E23" s="4" t="s">
        <v>377</v>
      </c>
      <c r="F23" s="49">
        <v>1.4295</v>
      </c>
      <c r="G23" s="26">
        <v>2570</v>
      </c>
      <c r="H23" s="32">
        <f>(F23*G23)*H34</f>
        <v>3122.7427499999999</v>
      </c>
      <c r="I23" s="26"/>
      <c r="J23" s="26"/>
      <c r="K23" s="1" t="s">
        <v>641</v>
      </c>
      <c r="X23" s="4"/>
      <c r="AB23" s="4">
        <v>2004</v>
      </c>
      <c r="AC23" s="4" t="s">
        <v>642</v>
      </c>
      <c r="AD23" s="4"/>
    </row>
    <row r="24" spans="2:30" x14ac:dyDescent="0.2">
      <c r="B24" s="25" t="s">
        <v>645</v>
      </c>
      <c r="C24" s="1" t="s">
        <v>644</v>
      </c>
      <c r="D24" s="4" t="s">
        <v>649</v>
      </c>
      <c r="E24" s="4" t="s">
        <v>646</v>
      </c>
      <c r="F24" s="49">
        <f>[11]Main!$C$6*H37</f>
        <v>9.234</v>
      </c>
      <c r="G24" s="1">
        <f>[11]Main!$C$7</f>
        <v>17.54</v>
      </c>
      <c r="H24" s="32">
        <f>[11]Main!$C$8*H37</f>
        <v>161.96436</v>
      </c>
      <c r="I24" s="26">
        <f>[11]Main!$C$11*H37</f>
        <v>0</v>
      </c>
      <c r="J24" s="26">
        <f>[11]Main!$C$12*H37</f>
        <v>161.96436</v>
      </c>
      <c r="K24" s="1" t="s">
        <v>648</v>
      </c>
      <c r="S24" s="4">
        <f>[11]Main!$C$27</f>
        <v>26</v>
      </c>
      <c r="T24" s="4">
        <f>[11]Main!$C$28</f>
        <v>6</v>
      </c>
      <c r="X24" s="4"/>
      <c r="AB24" s="4">
        <f>[11]Main!$C$24</f>
        <v>2009</v>
      </c>
      <c r="AC24" s="4" t="str">
        <f>[11]Main!$C$23</f>
        <v>Warsaw, Poland</v>
      </c>
      <c r="AD24" s="4">
        <f>[11]Main!$C$25</f>
        <v>2015</v>
      </c>
    </row>
    <row r="25" spans="2:30" x14ac:dyDescent="0.2">
      <c r="H25" s="32"/>
    </row>
    <row r="27" spans="2:30" x14ac:dyDescent="0.2">
      <c r="B27" s="46" t="s">
        <v>619</v>
      </c>
      <c r="C27" s="46"/>
      <c r="D27" s="47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7"/>
      <c r="T27" s="47"/>
      <c r="U27" s="48"/>
      <c r="V27" s="48"/>
      <c r="W27" s="48"/>
      <c r="X27" s="48"/>
      <c r="Y27" s="48"/>
      <c r="Z27" s="47"/>
      <c r="AA27" s="47"/>
      <c r="AB27" s="48"/>
      <c r="AC27" s="48"/>
      <c r="AD27" s="48"/>
    </row>
    <row r="28" spans="2:30" x14ac:dyDescent="0.2">
      <c r="B28" s="25" t="s">
        <v>620</v>
      </c>
      <c r="C28" s="1" t="s">
        <v>621</v>
      </c>
      <c r="D28" s="4" t="s">
        <v>67</v>
      </c>
      <c r="E28" s="4" t="s">
        <v>381</v>
      </c>
      <c r="F28" s="45" t="s">
        <v>622</v>
      </c>
      <c r="G28" s="45" t="s">
        <v>622</v>
      </c>
      <c r="H28" s="45" t="s">
        <v>622</v>
      </c>
      <c r="I28" s="45" t="s">
        <v>622</v>
      </c>
      <c r="J28" s="45" t="s">
        <v>622</v>
      </c>
      <c r="K28" s="1" t="s">
        <v>626</v>
      </c>
      <c r="L28" s="22">
        <f>[10]Accounts!$L$18</f>
        <v>3.7691802910883844E-2</v>
      </c>
      <c r="M28" s="22">
        <f>[10]Accounts!$L$19</f>
        <v>-7.2462158441842464E-2</v>
      </c>
      <c r="N28" s="22">
        <f>[10]Accounts!$L$20</f>
        <v>-8.0967153446236284E-2</v>
      </c>
      <c r="O28" s="22">
        <f>[10]Accounts!$K$21</f>
        <v>0.18785583230649008</v>
      </c>
      <c r="S28" s="4">
        <f>[10]Main!$C$16</f>
        <v>16</v>
      </c>
      <c r="T28" s="4">
        <f>[10]Main!$C$18</f>
        <v>0</v>
      </c>
      <c r="U28" s="4" t="s">
        <v>67</v>
      </c>
      <c r="W28" s="4">
        <f>[10]Main!$C$17</f>
        <v>14.4</v>
      </c>
      <c r="Z28" s="4" t="str">
        <f>[10]Main!$C$20</f>
        <v>FY21/22</v>
      </c>
      <c r="AA28" s="35">
        <f>[10]Main!$D$20</f>
        <v>45141</v>
      </c>
      <c r="AB28" s="4">
        <f>[10]Main!$C$14</f>
        <v>1988</v>
      </c>
      <c r="AC28" s="4" t="s">
        <v>643</v>
      </c>
      <c r="AD28" s="4" t="s">
        <v>67</v>
      </c>
    </row>
    <row r="32" spans="2:30" x14ac:dyDescent="0.2">
      <c r="D32" s="1"/>
      <c r="F32" s="64" t="s">
        <v>378</v>
      </c>
      <c r="G32" s="65"/>
      <c r="H32" s="66"/>
      <c r="S32" s="1"/>
      <c r="T32" s="1"/>
    </row>
    <row r="33" spans="4:20" x14ac:dyDescent="0.2">
      <c r="D33" s="1"/>
      <c r="F33" s="60" t="s">
        <v>379</v>
      </c>
      <c r="G33" s="61"/>
      <c r="H33" s="58">
        <v>0.84</v>
      </c>
      <c r="S33" s="1"/>
      <c r="T33" s="1"/>
    </row>
    <row r="34" spans="4:20" x14ac:dyDescent="0.2">
      <c r="D34" s="1"/>
      <c r="F34" s="62" t="s">
        <v>380</v>
      </c>
      <c r="G34" s="63"/>
      <c r="H34" s="23">
        <v>0.85</v>
      </c>
      <c r="S34" s="1"/>
      <c r="T34" s="1"/>
    </row>
    <row r="35" spans="4:20" x14ac:dyDescent="0.2">
      <c r="D35" s="1"/>
      <c r="F35" s="62" t="s">
        <v>389</v>
      </c>
      <c r="G35" s="63"/>
      <c r="H35" s="23">
        <v>6.0000000000000001E-3</v>
      </c>
      <c r="S35" s="1"/>
      <c r="T35" s="1"/>
    </row>
    <row r="36" spans="4:20" x14ac:dyDescent="0.2">
      <c r="F36" s="62" t="s">
        <v>431</v>
      </c>
      <c r="G36" s="63"/>
      <c r="H36" s="23">
        <v>1.0999999999999999E-2</v>
      </c>
    </row>
    <row r="37" spans="4:20" x14ac:dyDescent="0.2">
      <c r="F37" s="68" t="s">
        <v>647</v>
      </c>
      <c r="G37" s="69"/>
      <c r="H37" s="24">
        <v>0.19</v>
      </c>
    </row>
    <row r="39" spans="4:20" x14ac:dyDescent="0.2">
      <c r="F39" s="64" t="s">
        <v>410</v>
      </c>
      <c r="G39" s="65"/>
      <c r="H39" s="66"/>
    </row>
    <row r="40" spans="4:20" x14ac:dyDescent="0.2">
      <c r="F40" s="1" t="s">
        <v>607</v>
      </c>
      <c r="G40" s="34" t="s">
        <v>608</v>
      </c>
    </row>
  </sheetData>
  <mergeCells count="9">
    <mergeCell ref="F1:J1"/>
    <mergeCell ref="F33:G33"/>
    <mergeCell ref="F34:G34"/>
    <mergeCell ref="F39:H39"/>
    <mergeCell ref="F36:G36"/>
    <mergeCell ref="F35:G35"/>
    <mergeCell ref="F32:H32"/>
    <mergeCell ref="B12:U12"/>
    <mergeCell ref="F37:G37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40" r:id="rId9" xr:uid="{76EE83BD-7400-4A46-978B-D25721A01204}"/>
    <hyperlink ref="B28" r:id="rId10" xr:uid="{C5ACF554-92E1-4EE1-9BA9-3999DE03B357}"/>
    <hyperlink ref="B18" r:id="rId11" xr:uid="{D7C56EA9-B97D-4FCE-9474-2C5FB0F6C524}"/>
    <hyperlink ref="B24" r:id="rId12" xr:uid="{F05F2EE6-3271-4BA2-A513-8FF980C184CC}"/>
  </hyperlinks>
  <pageMargins left="0.7" right="0.7" top="0.75" bottom="0.75" header="0.3" footer="0.3"/>
  <pageSetup paperSize="256" orientation="portrait" horizontalDpi="203" verticalDpi="203"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" defaultRowHeight="12.75" x14ac:dyDescent="0.2"/>
  <cols>
    <col min="1" max="1" width="2" style="1" customWidth="1"/>
    <col min="2" max="2" width="23.37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14.875" style="1" bestFit="1" customWidth="1"/>
    <col min="7" max="7" width="8" style="1"/>
    <col min="8" max="8" width="41.625" style="1" bestFit="1" customWidth="1"/>
    <col min="9" max="9" width="8.875" style="1" bestFit="1" customWidth="1"/>
    <col min="10" max="10" width="8" style="1"/>
    <col min="11" max="11" width="13.125" style="1" bestFit="1" customWidth="1"/>
    <col min="12" max="13" width="8" style="1"/>
    <col min="14" max="14" width="33.875" style="1" bestFit="1" customWidth="1"/>
    <col min="15" max="16384" width="8" style="1"/>
  </cols>
  <sheetData>
    <row r="1" spans="2:14" x14ac:dyDescent="0.2">
      <c r="L1" s="41">
        <f>AVERAGE(L3:L6)</f>
        <v>10.8</v>
      </c>
    </row>
    <row r="2" spans="2:14" s="2" customFormat="1" x14ac:dyDescent="0.2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606</v>
      </c>
      <c r="M2" s="3" t="s">
        <v>410</v>
      </c>
      <c r="N2" s="2" t="s">
        <v>403</v>
      </c>
    </row>
    <row r="3" spans="2:14" s="42" customFormat="1" x14ac:dyDescent="0.2">
      <c r="B3" s="42" t="s">
        <v>404</v>
      </c>
      <c r="D3" s="42" t="s">
        <v>628</v>
      </c>
      <c r="E3" s="43" t="s">
        <v>416</v>
      </c>
      <c r="F3" s="43" t="s">
        <v>614</v>
      </c>
      <c r="G3" s="43">
        <v>2020</v>
      </c>
      <c r="H3" s="42" t="s">
        <v>405</v>
      </c>
      <c r="I3" s="43">
        <v>7</v>
      </c>
      <c r="J3" s="43">
        <v>5</v>
      </c>
      <c r="K3" s="43">
        <v>16</v>
      </c>
      <c r="L3" s="43">
        <v>13.9</v>
      </c>
      <c r="M3" s="44" t="s">
        <v>411</v>
      </c>
      <c r="N3" s="42" t="s">
        <v>615</v>
      </c>
    </row>
    <row r="4" spans="2:14" x14ac:dyDescent="0.2">
      <c r="B4" s="1" t="s">
        <v>409</v>
      </c>
      <c r="D4" s="1" t="s">
        <v>420</v>
      </c>
      <c r="E4" s="4" t="s">
        <v>416</v>
      </c>
      <c r="F4" s="4" t="s">
        <v>618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2">
      <c r="B5" s="1" t="s">
        <v>417</v>
      </c>
      <c r="D5" s="1" t="s">
        <v>419</v>
      </c>
      <c r="E5" s="4" t="s">
        <v>416</v>
      </c>
      <c r="F5" s="4" t="s">
        <v>616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2">
      <c r="B6" s="25" t="s">
        <v>612</v>
      </c>
      <c r="D6" s="1" t="s">
        <v>613</v>
      </c>
      <c r="E6" s="4" t="s">
        <v>416</v>
      </c>
      <c r="F6" s="4" t="s">
        <v>617</v>
      </c>
      <c r="G6" s="4">
        <v>1988</v>
      </c>
      <c r="I6" s="4">
        <f>[10]Main!$C$16</f>
        <v>16</v>
      </c>
      <c r="J6" s="4">
        <f>[10]Main!$C$18</f>
        <v>0</v>
      </c>
      <c r="L6" s="4">
        <f>[10]Main!$C$17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2023-06-12T13:48:25Z</dcterms:modified>
</cp:coreProperties>
</file>