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EA08432-3388-43B8-A148-874E8A49B2B5}" xr6:coauthVersionLast="36" xr6:coauthVersionMax="47" xr10:uidLastSave="{00000000-0000-0000-0000-000000000000}"/>
  <bookViews>
    <workbookView xWindow="0" yWindow="495" windowWidth="33000" windowHeight="18900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2" l="1"/>
  <c r="R59" i="2" s="1"/>
  <c r="Q52" i="2"/>
  <c r="Q59" i="2" s="1"/>
  <c r="R37" i="2"/>
  <c r="R45" i="2" s="1"/>
  <c r="Q37" i="2"/>
  <c r="Q45" i="2" s="1"/>
  <c r="T22" i="2"/>
  <c r="S22" i="2"/>
  <c r="R22" i="2"/>
  <c r="S28" i="2"/>
  <c r="R28" i="2"/>
  <c r="Q28" i="2"/>
  <c r="S27" i="2"/>
  <c r="R27" i="2"/>
  <c r="Q27" i="2"/>
  <c r="S26" i="2"/>
  <c r="R26" i="2"/>
  <c r="Q26" i="2"/>
  <c r="S19" i="2"/>
  <c r="R19" i="2"/>
  <c r="Q19" i="2"/>
  <c r="R18" i="2"/>
  <c r="Q18" i="2"/>
  <c r="R13" i="2"/>
  <c r="R16" i="2" s="1"/>
  <c r="Q8" i="2"/>
  <c r="Q13" i="2" s="1"/>
  <c r="Q16" i="2" s="1"/>
  <c r="R8" i="2"/>
  <c r="M94" i="2" l="1"/>
  <c r="K92" i="2"/>
  <c r="L92" i="2"/>
  <c r="M92" i="2"/>
  <c r="M91" i="2"/>
  <c r="M90" i="2"/>
  <c r="M84" i="2"/>
  <c r="L90" i="2"/>
  <c r="L84" i="2"/>
  <c r="L94" i="2"/>
  <c r="L91" i="2"/>
  <c r="K94" i="2"/>
  <c r="V79" i="2" l="1"/>
  <c r="V78" i="2"/>
  <c r="V77" i="2"/>
  <c r="V76" i="2"/>
  <c r="V75" i="2"/>
  <c r="V72" i="2"/>
  <c r="V73" i="2" s="1"/>
  <c r="V68" i="2"/>
  <c r="V67" i="2"/>
  <c r="V69" i="2" s="1"/>
  <c r="V64" i="2"/>
  <c r="V65" i="2" s="1"/>
  <c r="V62" i="2"/>
  <c r="L77" i="2"/>
  <c r="K77" i="2"/>
  <c r="J77" i="2"/>
  <c r="L76" i="2"/>
  <c r="K76" i="2"/>
  <c r="J76" i="2"/>
  <c r="L72" i="2"/>
  <c r="L73" i="2" s="1"/>
  <c r="K72" i="2"/>
  <c r="K73" i="2" s="1"/>
  <c r="J72" i="2"/>
  <c r="J73" i="2" s="1"/>
  <c r="U22" i="2"/>
  <c r="T28" i="2"/>
  <c r="T27" i="2"/>
  <c r="T26" i="2"/>
  <c r="T19" i="2"/>
  <c r="V28" i="2"/>
  <c r="V27" i="2"/>
  <c r="V26" i="2"/>
  <c r="U28" i="2"/>
  <c r="U27" i="2"/>
  <c r="U26" i="2"/>
  <c r="V22" i="2"/>
  <c r="U19" i="2"/>
  <c r="M76" i="2"/>
  <c r="V56" i="2"/>
  <c r="V55" i="2"/>
  <c r="V54" i="2"/>
  <c r="V53" i="2"/>
  <c r="V51" i="2"/>
  <c r="V50" i="2"/>
  <c r="V49" i="2"/>
  <c r="V48" i="2"/>
  <c r="V47" i="2"/>
  <c r="V44" i="2"/>
  <c r="V43" i="2"/>
  <c r="V42" i="2"/>
  <c r="V41" i="2"/>
  <c r="V40" i="2"/>
  <c r="V39" i="2"/>
  <c r="V38" i="2"/>
  <c r="V36" i="2"/>
  <c r="V35" i="2"/>
  <c r="V34" i="2"/>
  <c r="V37" i="2" s="1"/>
  <c r="V45" i="2" s="1"/>
  <c r="V58" i="2"/>
  <c r="V57" i="2"/>
  <c r="U59" i="2"/>
  <c r="T59" i="2"/>
  <c r="V52" i="2"/>
  <c r="V59" i="2" s="1"/>
  <c r="U52" i="2"/>
  <c r="T52" i="2"/>
  <c r="S52" i="2"/>
  <c r="S59" i="2" s="1"/>
  <c r="U45" i="2"/>
  <c r="T45" i="2"/>
  <c r="S45" i="2"/>
  <c r="U37" i="2"/>
  <c r="T37" i="2"/>
  <c r="S37" i="2"/>
  <c r="V33" i="2"/>
  <c r="V32" i="2"/>
  <c r="W22" i="2"/>
  <c r="W4" i="2"/>
  <c r="L23" i="2"/>
  <c r="K23" i="2"/>
  <c r="J23" i="2"/>
  <c r="J20" i="2"/>
  <c r="J17" i="2"/>
  <c r="J15" i="2"/>
  <c r="J14" i="2"/>
  <c r="J12" i="2"/>
  <c r="J11" i="2"/>
  <c r="J10" i="2"/>
  <c r="J9" i="2"/>
  <c r="J7" i="2"/>
  <c r="J6" i="2"/>
  <c r="J5" i="2"/>
  <c r="J4" i="2"/>
  <c r="V19" i="2"/>
  <c r="V8" i="2"/>
  <c r="V13" i="2" s="1"/>
  <c r="V16" i="2" s="1"/>
  <c r="V18" i="2" s="1"/>
  <c r="U8" i="2"/>
  <c r="U13" i="2" s="1"/>
  <c r="U16" i="2" s="1"/>
  <c r="U18" i="2" s="1"/>
  <c r="T8" i="2"/>
  <c r="T13" i="2" s="1"/>
  <c r="T16" i="2" s="1"/>
  <c r="T18" i="2" s="1"/>
  <c r="S8" i="2"/>
  <c r="S13" i="2" s="1"/>
  <c r="S16" i="2" s="1"/>
  <c r="S18" i="2" s="1"/>
  <c r="J3" i="2"/>
  <c r="K68" i="2"/>
  <c r="K67" i="2"/>
  <c r="K69" i="2" s="1"/>
  <c r="K43" i="2"/>
  <c r="N4" i="2"/>
  <c r="H23" i="2"/>
  <c r="K22" i="2"/>
  <c r="G19" i="2"/>
  <c r="I23" i="2"/>
  <c r="L68" i="2"/>
  <c r="L69" i="2" s="1"/>
  <c r="L67" i="2"/>
  <c r="L43" i="2"/>
  <c r="M28" i="2"/>
  <c r="M27" i="2"/>
  <c r="M26" i="2"/>
  <c r="H28" i="2"/>
  <c r="H27" i="2"/>
  <c r="H26" i="2"/>
  <c r="L22" i="2"/>
  <c r="H19" i="2"/>
  <c r="M23" i="2"/>
  <c r="E16" i="2"/>
  <c r="E18" i="2" s="1"/>
  <c r="E13" i="2"/>
  <c r="D13" i="2"/>
  <c r="D16" i="2" s="1"/>
  <c r="D18" i="2" s="1"/>
  <c r="C13" i="2"/>
  <c r="C16" i="2" s="1"/>
  <c r="C18" i="2" s="1"/>
  <c r="L8" i="2"/>
  <c r="L13" i="2" s="1"/>
  <c r="K8" i="2"/>
  <c r="K13" i="2" s="1"/>
  <c r="K16" i="2" s="1"/>
  <c r="K18" i="2" s="1"/>
  <c r="K19" i="2" s="1"/>
  <c r="J8" i="2"/>
  <c r="J26" i="2" s="1"/>
  <c r="I8" i="2"/>
  <c r="I13" i="2" s="1"/>
  <c r="I16" i="2" s="1"/>
  <c r="I18" i="2" s="1"/>
  <c r="H8" i="2"/>
  <c r="H13" i="2" s="1"/>
  <c r="H16" i="2" s="1"/>
  <c r="H18" i="2" s="1"/>
  <c r="G8" i="2"/>
  <c r="G13" i="2" s="1"/>
  <c r="G16" i="2" s="1"/>
  <c r="G18" i="2" s="1"/>
  <c r="F8" i="2"/>
  <c r="F13" i="2" s="1"/>
  <c r="F16" i="2" s="1"/>
  <c r="F18" i="2" s="1"/>
  <c r="E8" i="2"/>
  <c r="D8" i="2"/>
  <c r="C8" i="2"/>
  <c r="L16" i="2" l="1"/>
  <c r="L28" i="2"/>
  <c r="K26" i="2"/>
  <c r="L26" i="2"/>
  <c r="G26" i="2"/>
  <c r="K28" i="2"/>
  <c r="G27" i="2"/>
  <c r="G28" i="2"/>
  <c r="K27" i="2"/>
  <c r="J13" i="2"/>
  <c r="D11" i="1"/>
  <c r="D10" i="1"/>
  <c r="D9" i="1"/>
  <c r="D7" i="1"/>
  <c r="C10" i="1"/>
  <c r="C9" i="1"/>
  <c r="M72" i="2"/>
  <c r="J68" i="2"/>
  <c r="J67" i="2"/>
  <c r="J69" i="2" s="1"/>
  <c r="M69" i="2"/>
  <c r="M73" i="2" s="1"/>
  <c r="M68" i="2"/>
  <c r="M67" i="2"/>
  <c r="M65" i="2"/>
  <c r="M75" i="2" s="1"/>
  <c r="I28" i="2"/>
  <c r="I26" i="2"/>
  <c r="I19" i="2"/>
  <c r="M8" i="2"/>
  <c r="M13" i="2" s="1"/>
  <c r="M16" i="2" s="1"/>
  <c r="M22" i="2"/>
  <c r="D28" i="1"/>
  <c r="C7" i="1"/>
  <c r="C8" i="1" s="1"/>
  <c r="C34" i="1" s="1"/>
  <c r="N52" i="2"/>
  <c r="N59" i="2" s="1"/>
  <c r="N37" i="2"/>
  <c r="N45" i="2" s="1"/>
  <c r="L52" i="2"/>
  <c r="L59" i="2" s="1"/>
  <c r="L62" i="2" s="1"/>
  <c r="K52" i="2"/>
  <c r="K59" i="2" s="1"/>
  <c r="K62" i="2" s="1"/>
  <c r="J52" i="2"/>
  <c r="J59" i="2" s="1"/>
  <c r="J62" i="2" s="1"/>
  <c r="I52" i="2"/>
  <c r="I59" i="2" s="1"/>
  <c r="H52" i="2"/>
  <c r="H59" i="2" s="1"/>
  <c r="G52" i="2"/>
  <c r="G59" i="2" s="1"/>
  <c r="F52" i="2"/>
  <c r="F59" i="2" s="1"/>
  <c r="E52" i="2"/>
  <c r="E59" i="2" s="1"/>
  <c r="D52" i="2"/>
  <c r="D59" i="2" s="1"/>
  <c r="C52" i="2"/>
  <c r="C59" i="2" s="1"/>
  <c r="L37" i="2"/>
  <c r="L45" i="2" s="1"/>
  <c r="K37" i="2"/>
  <c r="K45" i="2" s="1"/>
  <c r="J37" i="2"/>
  <c r="J45" i="2" s="1"/>
  <c r="I37" i="2"/>
  <c r="I45" i="2" s="1"/>
  <c r="H37" i="2"/>
  <c r="H45" i="2" s="1"/>
  <c r="G37" i="2"/>
  <c r="G45" i="2" s="1"/>
  <c r="F37" i="2"/>
  <c r="F45" i="2" s="1"/>
  <c r="E37" i="2"/>
  <c r="E45" i="2" s="1"/>
  <c r="D37" i="2"/>
  <c r="D45" i="2" s="1"/>
  <c r="C37" i="2"/>
  <c r="C45" i="2" s="1"/>
  <c r="M52" i="2"/>
  <c r="M59" i="2" s="1"/>
  <c r="M62" i="2" s="1"/>
  <c r="M37" i="2"/>
  <c r="M45" i="2" s="1"/>
  <c r="M64" i="2" s="1"/>
  <c r="K64" i="2" l="1"/>
  <c r="K65" i="2" s="1"/>
  <c r="K75" i="2" s="1"/>
  <c r="L64" i="2"/>
  <c r="L65" i="2" s="1"/>
  <c r="L75" i="2" s="1"/>
  <c r="L18" i="2"/>
  <c r="L19" i="2" s="1"/>
  <c r="L27" i="2"/>
  <c r="J16" i="2"/>
  <c r="J28" i="2"/>
  <c r="M77" i="2"/>
  <c r="C11" i="1"/>
  <c r="C12" i="1" s="1"/>
  <c r="C33" i="1"/>
  <c r="M18" i="2"/>
  <c r="M19" i="2" s="1"/>
  <c r="I27" i="2"/>
  <c r="J64" i="2"/>
  <c r="J65" i="2" s="1"/>
  <c r="J75" i="2" s="1"/>
  <c r="J18" i="2" l="1"/>
  <c r="J27" i="2"/>
  <c r="C37" i="1"/>
  <c r="C35" i="1"/>
  <c r="J19" i="2" l="1"/>
  <c r="K79" i="2"/>
  <c r="L79" i="2"/>
  <c r="J79" i="2"/>
  <c r="M79" i="2"/>
  <c r="M78" i="2" l="1"/>
  <c r="C36" i="1"/>
  <c r="K78" i="2"/>
  <c r="J78" i="2"/>
  <c r="L78" i="2"/>
</calcChain>
</file>

<file path=xl/sharedStrings.xml><?xml version="1.0" encoding="utf-8"?>
<sst xmlns="http://schemas.openxmlformats.org/spreadsheetml/2006/main" count="158" uniqueCount="137">
  <si>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</si>
  <si>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</si>
  <si>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</si>
  <si>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</si>
  <si>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</si>
  <si>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</si>
  <si>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</si>
  <si>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</si>
  <si>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</si>
  <si>
    <t>$GEO</t>
  </si>
  <si>
    <t>The GEO Group, Inc.</t>
  </si>
  <si>
    <t>Profile</t>
  </si>
  <si>
    <t>HQ</t>
  </si>
  <si>
    <t>Founded</t>
  </si>
  <si>
    <t>IPO</t>
  </si>
  <si>
    <t>Update</t>
  </si>
  <si>
    <t>Link</t>
  </si>
  <si>
    <t>CEO</t>
  </si>
  <si>
    <t>CFO</t>
  </si>
  <si>
    <t>Founder</t>
  </si>
  <si>
    <t>Dr. George Zoley</t>
  </si>
  <si>
    <t>Exec. Chair</t>
  </si>
  <si>
    <t>Jose Gordo</t>
  </si>
  <si>
    <t>Brian Evans</t>
  </si>
  <si>
    <t>COO</t>
  </si>
  <si>
    <t>Wayne Calabrese</t>
  </si>
  <si>
    <t>Boca Raton, FL</t>
  </si>
  <si>
    <t>Key Events</t>
  </si>
  <si>
    <t>IR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</si>
  <si>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</si>
  <si>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</si>
  <si>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</si>
  <si>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</si>
  <si>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</si>
  <si>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</si>
  <si>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</si>
  <si>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</si>
  <si>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</si>
  <si>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</si>
  <si>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Q422</t>
  </si>
  <si>
    <t>Balance Sheet</t>
  </si>
  <si>
    <t>Restricted Cash</t>
  </si>
  <si>
    <t>A/R</t>
  </si>
  <si>
    <t>Contract Receivables</t>
  </si>
  <si>
    <t>Prepaid Expenses &amp; OCA</t>
  </si>
  <si>
    <t>TCA</t>
  </si>
  <si>
    <t>Investments</t>
  </si>
  <si>
    <t>Operating Lease ROU</t>
  </si>
  <si>
    <t>Assets Held for Sale</t>
  </si>
  <si>
    <t>Intangibles</t>
  </si>
  <si>
    <t>ONCA</t>
  </si>
  <si>
    <t>Assets</t>
  </si>
  <si>
    <t>A/P</t>
  </si>
  <si>
    <t>Accrued Payroll</t>
  </si>
  <si>
    <t>Accrued Expenses</t>
  </si>
  <si>
    <t>Operating Lease Liabilities</t>
  </si>
  <si>
    <t>TCL</t>
  </si>
  <si>
    <t>Deferred Taxes</t>
  </si>
  <si>
    <t>ONCL</t>
  </si>
  <si>
    <t>Finance Lease Liabilities</t>
  </si>
  <si>
    <t>Long-Term Debt</t>
  </si>
  <si>
    <t>Non-Recourse Debt</t>
  </si>
  <si>
    <t>Liabilities</t>
  </si>
  <si>
    <t>S/E</t>
  </si>
  <si>
    <t>S/E+L</t>
  </si>
  <si>
    <t>Current Finance Lease Obligation</t>
  </si>
  <si>
    <t>PP&amp;E</t>
  </si>
  <si>
    <t>Book Value</t>
  </si>
  <si>
    <t>Book Value per Share</t>
  </si>
  <si>
    <t>Revenues</t>
  </si>
  <si>
    <t>Operating Expenses</t>
  </si>
  <si>
    <t>D&amp;A</t>
  </si>
  <si>
    <t>G&amp;A</t>
  </si>
  <si>
    <t>Operating Income</t>
  </si>
  <si>
    <t>Interest Income</t>
  </si>
  <si>
    <t>Interest Expenses</t>
  </si>
  <si>
    <t>Gain on divestitures</t>
  </si>
  <si>
    <t>Pretax Income</t>
  </si>
  <si>
    <t>Taxes</t>
  </si>
  <si>
    <t>Equity in earnings of affiliates</t>
  </si>
  <si>
    <t>Net Income</t>
  </si>
  <si>
    <t>EPS</t>
  </si>
  <si>
    <t>Revenue Y/Y</t>
  </si>
  <si>
    <t>Revenue Q/Q</t>
  </si>
  <si>
    <t>Operating Margin</t>
  </si>
  <si>
    <t>Net Margin</t>
  </si>
  <si>
    <t>Tax Rate</t>
  </si>
  <si>
    <t>(Loss) Gain on Debt</t>
  </si>
  <si>
    <t>Loss to Non-Controlling</t>
  </si>
  <si>
    <t>Net Income The GEO Group</t>
  </si>
  <si>
    <t>Share Price</t>
  </si>
  <si>
    <t>Valuation Metrics</t>
  </si>
  <si>
    <t>P/B</t>
  </si>
  <si>
    <t>P/S</t>
  </si>
  <si>
    <t>EV/S</t>
  </si>
  <si>
    <t>P/E</t>
  </si>
  <si>
    <t>EV/E</t>
  </si>
  <si>
    <t>ROCE</t>
  </si>
  <si>
    <t>Q120</t>
  </si>
  <si>
    <t>Cashflow Statement</t>
  </si>
  <si>
    <t>Prisons</t>
  </si>
  <si>
    <t>Prisoner Transport</t>
  </si>
  <si>
    <t>Mental Health Facilities</t>
  </si>
  <si>
    <t>Detention Centres</t>
  </si>
  <si>
    <t>The Big Short's Michael Burry sells all of his portfolio except The GEO Group with a large stake</t>
  </si>
  <si>
    <t>(Projected)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</si>
  <si>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</si>
  <si>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</si>
  <si>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</si>
  <si>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</si>
  <si>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</si>
  <si>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</si>
  <si>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</si>
  <si>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</si>
  <si>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</si>
  <si>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</si>
  <si>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</si>
  <si>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</si>
  <si>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</si>
  <si>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</si>
  <si>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</si>
  <si>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31//12/2020</t>
  </si>
  <si>
    <t>-</t>
  </si>
  <si>
    <t>FY17</t>
  </si>
  <si>
    <t>CFFO</t>
  </si>
  <si>
    <t>Insurance Proceeds</t>
  </si>
  <si>
    <t>Proceeds from PP&amp;E Sales</t>
  </si>
  <si>
    <t>Proceeds from Real Estate Sales</t>
  </si>
  <si>
    <t>Change in restricted investments</t>
  </si>
  <si>
    <t>Capital Expenditures</t>
  </si>
  <si>
    <t>CFFI</t>
  </si>
  <si>
    <t>FCF</t>
  </si>
  <si>
    <t>Proceeds from Assets held for Sale</t>
  </si>
  <si>
    <t>FCF per Share (TTM)</t>
  </si>
  <si>
    <t>FY16</t>
  </si>
  <si>
    <t>United Kingdom</t>
  </si>
  <si>
    <t>GeoAMEY - Joint 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</si>
</sst>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2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16" fontId="9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9" fontId="2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4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10" fillId="5" borderId="0" xfId="0" applyFont="1" applyFill="1"/>
    <xf numFmtId="0" fontId="11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16" fontId="12" fillId="5" borderId="0" xfId="0" applyNumberFormat="1" applyFont="1" applyFill="1" applyAlignment="1">
      <alignment horizontal="right"/>
    </xf>
    <xf numFmtId="164" fontId="11" fillId="5" borderId="0" xfId="0" applyNumberFormat="1" applyFont="1" applyFill="1"/>
    <xf numFmtId="0" fontId="11" fillId="5" borderId="0" xfId="0" applyFont="1" applyFill="1"/>
    <xf numFmtId="4" fontId="10" fillId="5" borderId="0" xfId="0" applyNumberFormat="1" applyFont="1" applyFill="1"/>
    <xf numFmtId="164" fontId="10" fillId="5" borderId="0" xfId="0" applyNumberFormat="1" applyFont="1" applyFill="1"/>
    <xf numFmtId="9" fontId="10" fillId="5" borderId="0" xfId="0" applyNumberFormat="1" applyFont="1" applyFill="1"/>
    <xf numFmtId="2" fontId="10" fillId="5" borderId="0" xfId="0" applyNumberFormat="1" applyFont="1" applyFill="1"/>
    <xf numFmtId="9" fontId="11" fillId="5" borderId="0" xfId="0" applyNumberFormat="1" applyFont="1" applyFill="1"/>
    <xf numFmtId="164" fontId="1" fillId="0" borderId="0" xfId="0" applyNumberFormat="1" applyFont="1" applyAlignment="1">
      <alignment horizontal="right"/>
    </xf>
    <xf numFmtId="166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7" fontId="1" fillId="0" borderId="0" xfId="0" applyNumberFormat="1" applyFont="1"/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0</xdr:row>
      <xdr:rowOff>88900</xdr:rowOff>
    </xdr:from>
    <xdr:to>
      <xdr:col>5</xdr:col>
      <xdr:colOff>165100</xdr:colOff>
      <xdr:row>3</xdr:row>
      <xdr:rowOff>20782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285FE1-262A-8873-C649-AE283205D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0" y="88900"/>
          <a:ext cx="124460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0</xdr:row>
      <xdr:rowOff>0</xdr:rowOff>
    </xdr:from>
    <xdr:to>
      <xdr:col>13</xdr:col>
      <xdr:colOff>25400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18ACDD-1515-F3F9-1175-2348C9F6D0B3}"/>
            </a:ext>
          </a:extLst>
        </xdr:cNvPr>
        <xdr:cNvCxnSpPr/>
      </xdr:nvCxnSpPr>
      <xdr:spPr>
        <a:xfrm>
          <a:off x="9197975" y="0"/>
          <a:ext cx="0" cy="16802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15875</xdr:colOff>
      <xdr:row>0</xdr:row>
      <xdr:rowOff>0</xdr:rowOff>
    </xdr:from>
    <xdr:to>
      <xdr:col>22</xdr:col>
      <xdr:colOff>15875</xdr:colOff>
      <xdr:row>104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FEC8474-CB3F-4F5D-BF85-5A2CEEB90D79}"/>
            </a:ext>
          </a:extLst>
        </xdr:cNvPr>
        <xdr:cNvCxnSpPr/>
      </xdr:nvCxnSpPr>
      <xdr:spPr>
        <a:xfrm>
          <a:off x="14065250" y="0"/>
          <a:ext cx="0" cy="16897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geogroup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8rn0p25nwr6d.cloudfront.net/CIK-0000923796/fb62a054-b5e4-485d-92c2-d0d64f8470c6.html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18rn0p25nwr6d.cloudfront.net/CIK-0000923796/36e16c35-60a0-4e2f-a6be-d00f14be61c8.html" TargetMode="External"/><Relationship Id="rId1" Type="http://schemas.openxmlformats.org/officeDocument/2006/relationships/hyperlink" Target="https://s25.q4cdn.com/995724548/files/doc_financials/2022/q3/CR-22-18-The-GEO-Group-Reports-Third-Quarter-2022-Results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25.q4cdn.com/995724548/files/doc_financials/2018/ar/Annual-Report-2018.pdf" TargetMode="External"/><Relationship Id="rId4" Type="http://schemas.openxmlformats.org/officeDocument/2006/relationships/hyperlink" Target="https://d18rn0p25nwr6d.cloudfront.net/CIK-0000923796/d6e529b4-2bb5-454e-b873-2f35bc1109a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A2:S38"/>
  <sheetViews>
    <sheetView tabSelected="1" workbookViewId="0">
      <selection activeCell="R14" sqref="R14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11" t="s">
        <v>9</v>
      </c>
      <c r="E2" s="13"/>
    </row>
    <row r="3" spans="2:19" x14ac:dyDescent="0.2">
      <c r="B3" s="12" t="s">
        <v>10</v>
      </c>
    </row>
    <row r="5" spans="2:19" x14ac:dyDescent="0.2">
      <c r="B5" s="51" t="s">
        <v>0</v>
      </c>
      <c r="C5" s="52"/>
      <c r="D5" s="53"/>
      <c r="G5" s="51" t="s">
        <v>27</v>
      </c>
      <c r="H5" s="52"/>
      <c r="I5" s="52"/>
      <c r="J5" s="52"/>
      <c r="K5" s="52"/>
      <c r="L5" s="52"/>
      <c r="M5" s="52"/>
      <c r="N5" s="52"/>
      <c r="O5" s="52"/>
      <c r="P5" s="52"/>
      <c r="Q5" s="53"/>
      <c r="S5" s="1" t="s">
        <v>100</v>
      </c>
    </row>
    <row r="6" spans="2:19" x14ac:dyDescent="0.2">
      <c r="B6" s="2" t="s">
        <v>2</v>
      </c>
      <c r="C6" s="1">
        <v>12.04</v>
      </c>
      <c r="D6" s="33"/>
      <c r="G6" s="6"/>
      <c r="H6" s="14"/>
      <c r="I6" s="14"/>
      <c r="J6" s="14"/>
      <c r="K6" s="14"/>
      <c r="L6" s="14"/>
      <c r="M6" s="14"/>
      <c r="N6" s="14"/>
      <c r="O6" s="14"/>
      <c r="P6" s="14"/>
      <c r="Q6" s="15"/>
      <c r="S6" s="1" t="s">
        <v>101</v>
      </c>
    </row>
    <row r="7" spans="2:19" x14ac:dyDescent="0.2">
      <c r="B7" s="2" t="s">
        <v>1</v>
      </c>
      <c r="C7" s="1">
        <f>'Financial Model'!M20</f>
        <v>121.154</v>
      </c>
      <c r="D7" s="33" t="str">
        <f>$C$28</f>
        <v>Q322</v>
      </c>
      <c r="G7" s="6"/>
      <c r="H7" s="14"/>
      <c r="I7" s="14"/>
      <c r="J7" s="14"/>
      <c r="K7" s="14"/>
      <c r="L7" s="14"/>
      <c r="M7" s="14"/>
      <c r="N7" s="14"/>
      <c r="O7" s="14"/>
      <c r="P7" s="14"/>
      <c r="Q7" s="15"/>
      <c r="S7" s="1" t="s">
        <v>102</v>
      </c>
    </row>
    <row r="8" spans="2:19" x14ac:dyDescent="0.2">
      <c r="B8" s="2" t="s">
        <v>3</v>
      </c>
      <c r="C8" s="4">
        <f>C6*C7</f>
        <v>1458.6941599999998</v>
      </c>
      <c r="D8" s="33"/>
      <c r="G8" s="6"/>
      <c r="H8" s="14"/>
      <c r="I8" s="14"/>
      <c r="J8" s="14"/>
      <c r="K8" s="14"/>
      <c r="L8" s="14"/>
      <c r="M8" s="14"/>
      <c r="N8" s="14"/>
      <c r="O8" s="14"/>
      <c r="P8" s="14"/>
      <c r="Q8" s="15"/>
      <c r="S8" s="1" t="s">
        <v>103</v>
      </c>
    </row>
    <row r="9" spans="2:19" x14ac:dyDescent="0.2">
      <c r="B9" s="2" t="s">
        <v>4</v>
      </c>
      <c r="C9" s="4">
        <f>'Financial Model'!M67</f>
        <v>91.644999999999996</v>
      </c>
      <c r="D9" s="33" t="str">
        <f t="shared" ref="D9:D11" si="0">$C$28</f>
        <v>Q322</v>
      </c>
      <c r="G9" s="6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2:19" x14ac:dyDescent="0.2">
      <c r="B10" s="2" t="s">
        <v>5</v>
      </c>
      <c r="C10" s="4">
        <f>'Financial Model'!M68</f>
        <v>1961.402</v>
      </c>
      <c r="D10" s="33" t="str">
        <f t="shared" si="0"/>
        <v>Q322</v>
      </c>
      <c r="G10" s="6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2:19" x14ac:dyDescent="0.2">
      <c r="B11" s="2" t="s">
        <v>6</v>
      </c>
      <c r="C11" s="4">
        <f>C9-C10</f>
        <v>-1869.7570000000001</v>
      </c>
      <c r="D11" s="33" t="str">
        <f t="shared" si="0"/>
        <v>Q322</v>
      </c>
      <c r="G11" s="37">
        <v>44835</v>
      </c>
      <c r="H11" s="14" t="s">
        <v>104</v>
      </c>
      <c r="I11" s="14"/>
      <c r="J11" s="14"/>
      <c r="K11" s="14"/>
      <c r="L11" s="14"/>
      <c r="M11" s="14"/>
      <c r="N11" s="14"/>
      <c r="O11" s="14"/>
      <c r="P11" s="14"/>
      <c r="Q11" s="15"/>
    </row>
    <row r="12" spans="2:19" x14ac:dyDescent="0.2">
      <c r="B12" s="3" t="s">
        <v>7</v>
      </c>
      <c r="C12" s="5">
        <f>C8-C11</f>
        <v>3328.4511599999996</v>
      </c>
      <c r="D12" s="34"/>
      <c r="G12" s="6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2:19" x14ac:dyDescent="0.2">
      <c r="G13" s="6"/>
      <c r="H13" s="14"/>
      <c r="I13" s="14"/>
      <c r="J13" s="14"/>
      <c r="K13" s="14"/>
      <c r="L13" s="14"/>
      <c r="M13" s="14"/>
      <c r="N13" s="14"/>
      <c r="O13" s="14"/>
      <c r="P13" s="14"/>
      <c r="Q13" s="15"/>
      <c r="S13" s="12" t="s">
        <v>135</v>
      </c>
    </row>
    <row r="14" spans="2:19" x14ac:dyDescent="0.2">
      <c r="G14" s="6"/>
      <c r="H14" s="14"/>
      <c r="I14" s="14"/>
      <c r="J14" s="14"/>
      <c r="K14" s="14"/>
      <c r="L14" s="14"/>
      <c r="M14" s="14"/>
      <c r="N14" s="14"/>
      <c r="O14" s="14"/>
      <c r="P14" s="14"/>
      <c r="Q14" s="15"/>
      <c r="S14" s="64" t="s">
        <v>136</v>
      </c>
    </row>
    <row r="15" spans="2:19" x14ac:dyDescent="0.2">
      <c r="B15" s="51" t="s">
        <v>8</v>
      </c>
      <c r="C15" s="52"/>
      <c r="D15" s="53"/>
      <c r="G15" s="6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2:19" x14ac:dyDescent="0.2">
      <c r="B16" s="8" t="s">
        <v>17</v>
      </c>
      <c r="C16" s="58" t="s">
        <v>22</v>
      </c>
      <c r="D16" s="55"/>
      <c r="G16" s="6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x14ac:dyDescent="0.2">
      <c r="B17" s="8" t="s">
        <v>18</v>
      </c>
      <c r="C17" s="58" t="s">
        <v>23</v>
      </c>
      <c r="D17" s="55"/>
      <c r="G17" s="6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x14ac:dyDescent="0.2">
      <c r="B18" s="8" t="s">
        <v>24</v>
      </c>
      <c r="C18" s="58" t="s">
        <v>25</v>
      </c>
      <c r="D18" s="55"/>
      <c r="G18" s="6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x14ac:dyDescent="0.2">
      <c r="A19" s="10" t="s">
        <v>21</v>
      </c>
      <c r="B19" s="9" t="s">
        <v>19</v>
      </c>
      <c r="C19" s="59" t="s">
        <v>20</v>
      </c>
      <c r="D19" s="60"/>
      <c r="G19" s="6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x14ac:dyDescent="0.2">
      <c r="G20" s="6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x14ac:dyDescent="0.2">
      <c r="G21" s="6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x14ac:dyDescent="0.2">
      <c r="B22" s="51" t="s">
        <v>11</v>
      </c>
      <c r="C22" s="52"/>
      <c r="D22" s="53"/>
      <c r="G22" s="7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2">
      <c r="B23" s="6" t="s">
        <v>12</v>
      </c>
      <c r="C23" s="54" t="s">
        <v>26</v>
      </c>
      <c r="D23" s="55"/>
    </row>
    <row r="24" spans="1:17" x14ac:dyDescent="0.2">
      <c r="B24" s="6" t="s">
        <v>13</v>
      </c>
      <c r="C24" s="54">
        <v>1984</v>
      </c>
      <c r="D24" s="55"/>
    </row>
    <row r="25" spans="1:17" x14ac:dyDescent="0.2">
      <c r="B25" s="6" t="s">
        <v>14</v>
      </c>
      <c r="C25" s="54"/>
      <c r="D25" s="55"/>
    </row>
    <row r="26" spans="1:17" x14ac:dyDescent="0.2">
      <c r="B26" s="6"/>
      <c r="C26" s="54"/>
      <c r="D26" s="55"/>
    </row>
    <row r="27" spans="1:17" x14ac:dyDescent="0.2">
      <c r="B27" s="6"/>
      <c r="C27" s="54"/>
      <c r="D27" s="55"/>
    </row>
    <row r="28" spans="1:17" x14ac:dyDescent="0.2">
      <c r="B28" s="6" t="s">
        <v>15</v>
      </c>
      <c r="C28" s="18" t="s">
        <v>29</v>
      </c>
      <c r="D28" s="27">
        <f>'Financial Model'!M3</f>
        <v>45226</v>
      </c>
    </row>
    <row r="29" spans="1:17" x14ac:dyDescent="0.2">
      <c r="B29" s="7" t="s">
        <v>28</v>
      </c>
      <c r="C29" s="56" t="s">
        <v>16</v>
      </c>
      <c r="D29" s="57"/>
    </row>
    <row r="32" spans="1:17" x14ac:dyDescent="0.2">
      <c r="B32" s="51" t="s">
        <v>91</v>
      </c>
      <c r="C32" s="52"/>
      <c r="D32" s="53"/>
    </row>
    <row r="33" spans="2:4" x14ac:dyDescent="0.2">
      <c r="B33" s="6" t="s">
        <v>92</v>
      </c>
      <c r="C33" s="61">
        <f>C6/'Financial Model'!M65</f>
        <v>1.3134525743305294</v>
      </c>
      <c r="D33" s="62"/>
    </row>
    <row r="34" spans="2:4" x14ac:dyDescent="0.2">
      <c r="B34" s="6" t="s">
        <v>93</v>
      </c>
      <c r="C34" s="61">
        <f>C8/SUM('Financial Model'!$J$4:$M$4)</f>
        <v>0.63049111681270253</v>
      </c>
      <c r="D34" s="62"/>
    </row>
    <row r="35" spans="2:4" x14ac:dyDescent="0.2">
      <c r="B35" s="6" t="s">
        <v>94</v>
      </c>
      <c r="C35" s="61">
        <f>C12/SUM('Financial Model'!$J$4:$M$4)</f>
        <v>1.4386558517002188</v>
      </c>
      <c r="D35" s="62"/>
    </row>
    <row r="36" spans="2:4" x14ac:dyDescent="0.2">
      <c r="B36" s="6" t="s">
        <v>95</v>
      </c>
      <c r="C36" s="61">
        <f>C6/SUM('Financial Model'!J19:M19)</f>
        <v>18.160052892198532</v>
      </c>
      <c r="D36" s="62"/>
    </row>
    <row r="37" spans="2:4" x14ac:dyDescent="0.2">
      <c r="B37" s="6" t="s">
        <v>96</v>
      </c>
      <c r="C37" s="61">
        <f>C12/SUM('Financial Model'!J18:M18)</f>
        <v>41.35338385846331</v>
      </c>
      <c r="D37" s="62"/>
    </row>
    <row r="38" spans="2:4" x14ac:dyDescent="0.2">
      <c r="B38" s="7" t="s">
        <v>97</v>
      </c>
      <c r="C38" s="59"/>
      <c r="D38" s="60"/>
    </row>
  </sheetData>
  <mergeCells count="21">
    <mergeCell ref="C38:D38"/>
    <mergeCell ref="C33:D33"/>
    <mergeCell ref="C34:D34"/>
    <mergeCell ref="C35:D35"/>
    <mergeCell ref="C36:D36"/>
    <mergeCell ref="C37:D37"/>
    <mergeCell ref="G5:Q5"/>
    <mergeCell ref="C27:D27"/>
    <mergeCell ref="C29:D29"/>
    <mergeCell ref="B32:D32"/>
    <mergeCell ref="B22:D22"/>
    <mergeCell ref="C23:D23"/>
    <mergeCell ref="C24:D24"/>
    <mergeCell ref="C25:D25"/>
    <mergeCell ref="C26:D26"/>
    <mergeCell ref="B5:D5"/>
    <mergeCell ref="B15:D15"/>
    <mergeCell ref="C16:D16"/>
    <mergeCell ref="C17:D17"/>
    <mergeCell ref="C19:D19"/>
    <mergeCell ref="C18:D18"/>
  </mergeCells>
  <hyperlinks>
    <hyperlink ref="C29:D29" r:id="rId1" display="Link" xr:uid="{59EB0977-29E5-6644-B546-70A523E0BB16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B1:AG9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4" sqref="X14"/>
    </sheetView>
  </sheetViews>
  <sheetFormatPr defaultColWidth="9.140625" defaultRowHeight="12.75" x14ac:dyDescent="0.2"/>
  <cols>
    <col min="1" max="1" width="5" style="1" customWidth="1"/>
    <col min="2" max="2" width="31" style="1" bestFit="1" customWidth="1"/>
    <col min="3" max="9" width="9.140625" style="1"/>
    <col min="10" max="10" width="10.140625" style="1" bestFit="1" customWidth="1"/>
    <col min="11" max="12" width="9.140625" style="1"/>
    <col min="13" max="13" width="9.140625" style="1" customWidth="1"/>
    <col min="14" max="14" width="9.140625" style="38"/>
    <col min="15" max="22" width="9.140625" style="1"/>
    <col min="23" max="23" width="9.140625" style="38"/>
    <col min="24" max="16384" width="9.140625" style="1"/>
  </cols>
  <sheetData>
    <row r="1" spans="2:33" s="19" customFormat="1" x14ac:dyDescent="0.2">
      <c r="C1" s="19" t="s">
        <v>98</v>
      </c>
      <c r="D1" s="19" t="s">
        <v>38</v>
      </c>
      <c r="E1" s="19" t="s">
        <v>37</v>
      </c>
      <c r="F1" s="19" t="s">
        <v>36</v>
      </c>
      <c r="G1" s="19" t="s">
        <v>35</v>
      </c>
      <c r="H1" s="19" t="s">
        <v>34</v>
      </c>
      <c r="I1" s="19" t="s">
        <v>33</v>
      </c>
      <c r="J1" s="19" t="s">
        <v>32</v>
      </c>
      <c r="K1" s="20" t="s">
        <v>31</v>
      </c>
      <c r="L1" s="20" t="s">
        <v>30</v>
      </c>
      <c r="M1" s="20" t="s">
        <v>29</v>
      </c>
      <c r="N1" s="39" t="s">
        <v>39</v>
      </c>
      <c r="Q1" s="19" t="s">
        <v>134</v>
      </c>
      <c r="R1" s="19" t="s">
        <v>123</v>
      </c>
      <c r="S1" s="20" t="s">
        <v>106</v>
      </c>
      <c r="T1" s="19" t="s">
        <v>107</v>
      </c>
      <c r="U1" s="19" t="s">
        <v>108</v>
      </c>
      <c r="V1" s="20" t="s">
        <v>109</v>
      </c>
      <c r="W1" s="39" t="s">
        <v>110</v>
      </c>
      <c r="X1" s="19" t="s">
        <v>111</v>
      </c>
      <c r="Y1" s="19" t="s">
        <v>112</v>
      </c>
      <c r="Z1" s="19" t="s">
        <v>113</v>
      </c>
      <c r="AA1" s="19" t="s">
        <v>114</v>
      </c>
      <c r="AB1" s="19" t="s">
        <v>115</v>
      </c>
      <c r="AC1" s="19" t="s">
        <v>116</v>
      </c>
      <c r="AD1" s="19" t="s">
        <v>117</v>
      </c>
      <c r="AE1" s="19" t="s">
        <v>118</v>
      </c>
      <c r="AF1" s="19" t="s">
        <v>119</v>
      </c>
      <c r="AG1" s="19" t="s">
        <v>120</v>
      </c>
    </row>
    <row r="2" spans="2:33" s="24" customFormat="1" x14ac:dyDescent="0.2">
      <c r="B2" s="21"/>
      <c r="H2" s="25">
        <v>44377</v>
      </c>
      <c r="I2" s="25">
        <v>44469</v>
      </c>
      <c r="J2" s="25">
        <v>44561</v>
      </c>
      <c r="K2" s="25">
        <v>44651</v>
      </c>
      <c r="L2" s="25">
        <v>44742</v>
      </c>
      <c r="M2" s="25">
        <v>44834</v>
      </c>
      <c r="N2" s="40" t="s">
        <v>105</v>
      </c>
      <c r="Q2" s="25">
        <v>42735</v>
      </c>
      <c r="R2" s="25">
        <v>43100</v>
      </c>
      <c r="S2" s="25">
        <v>43465</v>
      </c>
      <c r="T2" s="25">
        <v>43830</v>
      </c>
      <c r="U2" s="24" t="s">
        <v>121</v>
      </c>
      <c r="V2" s="25">
        <v>44561</v>
      </c>
      <c r="W2" s="40"/>
    </row>
    <row r="3" spans="2:33" s="24" customFormat="1" x14ac:dyDescent="0.2">
      <c r="B3" s="21"/>
      <c r="J3" s="26">
        <f>V3</f>
        <v>44985</v>
      </c>
      <c r="K3" s="26">
        <v>45051</v>
      </c>
      <c r="L3" s="26">
        <v>45146</v>
      </c>
      <c r="M3" s="26">
        <v>45226</v>
      </c>
      <c r="N3" s="41">
        <v>44971</v>
      </c>
      <c r="V3" s="26">
        <v>44985</v>
      </c>
      <c r="W3" s="40"/>
    </row>
    <row r="4" spans="2:33" s="12" customFormat="1" x14ac:dyDescent="0.2">
      <c r="B4" s="12" t="s">
        <v>69</v>
      </c>
      <c r="G4" s="23">
        <v>576.37699999999995</v>
      </c>
      <c r="H4" s="23">
        <v>565.41899999999998</v>
      </c>
      <c r="I4" s="23">
        <v>557.27700000000004</v>
      </c>
      <c r="J4" s="23">
        <f>V4-SUM(G4:I4)</f>
        <v>557.53900000000021</v>
      </c>
      <c r="K4" s="23">
        <v>551.18499999999995</v>
      </c>
      <c r="L4" s="23">
        <v>588.17700000000002</v>
      </c>
      <c r="M4" s="23">
        <v>616.68299999999999</v>
      </c>
      <c r="N4" s="42">
        <f>M4*(1+N23)</f>
        <v>653.68398000000002</v>
      </c>
      <c r="Q4" s="23">
        <v>2179.4899999999998</v>
      </c>
      <c r="R4" s="23">
        <v>2263.42</v>
      </c>
      <c r="S4" s="23">
        <v>2331.386</v>
      </c>
      <c r="T4" s="23">
        <v>2477.922</v>
      </c>
      <c r="U4" s="23">
        <v>2350.098</v>
      </c>
      <c r="V4" s="23">
        <v>2256.6120000000001</v>
      </c>
      <c r="W4" s="42">
        <f>SUM(K4:N4)</f>
        <v>2409.7289799999999</v>
      </c>
    </row>
    <row r="5" spans="2:33" x14ac:dyDescent="0.2">
      <c r="B5" s="1" t="s">
        <v>70</v>
      </c>
      <c r="G5" s="4">
        <v>428.15100000000001</v>
      </c>
      <c r="H5" s="4">
        <v>405.00900000000001</v>
      </c>
      <c r="I5" s="4">
        <v>399.9</v>
      </c>
      <c r="J5" s="4">
        <f>V5-SUM(G5:I5)</f>
        <v>395.9860000000001</v>
      </c>
      <c r="K5" s="4">
        <v>385.161</v>
      </c>
      <c r="L5" s="4">
        <v>411.791</v>
      </c>
      <c r="M5" s="4">
        <v>436.21</v>
      </c>
      <c r="Q5" s="4">
        <v>1650.2809999999999</v>
      </c>
      <c r="R5" s="4">
        <v>1700.4949999999999</v>
      </c>
      <c r="S5" s="4">
        <v>1755.7719999999999</v>
      </c>
      <c r="T5" s="4">
        <v>1858.0650000000001</v>
      </c>
      <c r="U5" s="4">
        <v>1771.4949999999999</v>
      </c>
      <c r="V5" s="4">
        <v>1629.046</v>
      </c>
    </row>
    <row r="6" spans="2:33" x14ac:dyDescent="0.2">
      <c r="B6" s="1" t="s">
        <v>71</v>
      </c>
      <c r="G6" s="4">
        <v>34.116999999999997</v>
      </c>
      <c r="H6" s="4">
        <v>33.305999999999997</v>
      </c>
      <c r="I6" s="4">
        <v>32.883000000000003</v>
      </c>
      <c r="J6" s="4">
        <f t="shared" ref="J6:J17" si="0">V6-SUM(G6:I6)</f>
        <v>34.870999999999981</v>
      </c>
      <c r="K6" s="4">
        <v>35.938000000000002</v>
      </c>
      <c r="L6" s="4">
        <v>32.015999999999998</v>
      </c>
      <c r="M6" s="4">
        <v>32.33</v>
      </c>
      <c r="Q6" s="4">
        <v>114.916</v>
      </c>
      <c r="R6" s="4">
        <v>124.297</v>
      </c>
      <c r="S6" s="4">
        <v>126.42400000000001</v>
      </c>
      <c r="T6" s="4">
        <v>130.82499999999999</v>
      </c>
      <c r="U6" s="4">
        <v>134.68</v>
      </c>
      <c r="V6" s="4">
        <v>135.17699999999999</v>
      </c>
    </row>
    <row r="7" spans="2:33" x14ac:dyDescent="0.2">
      <c r="B7" s="1" t="s">
        <v>72</v>
      </c>
      <c r="G7" s="4">
        <v>48.478999999999999</v>
      </c>
      <c r="H7" s="4">
        <v>54.688000000000002</v>
      </c>
      <c r="I7" s="4">
        <v>50.475000000000001</v>
      </c>
      <c r="J7" s="4">
        <f t="shared" si="0"/>
        <v>50.664000000000016</v>
      </c>
      <c r="K7" s="4">
        <v>48.56</v>
      </c>
      <c r="L7" s="4">
        <v>49.295999999999999</v>
      </c>
      <c r="M7" s="4">
        <v>50.021999999999998</v>
      </c>
      <c r="Q7" s="4">
        <v>148.709</v>
      </c>
      <c r="R7" s="4">
        <v>190.34299999999999</v>
      </c>
      <c r="S7" s="4">
        <v>184.51499999999999</v>
      </c>
      <c r="T7" s="4">
        <v>185.92500000000001</v>
      </c>
      <c r="U7" s="4">
        <v>193.37200000000001</v>
      </c>
      <c r="V7" s="4">
        <v>204.30600000000001</v>
      </c>
    </row>
    <row r="8" spans="2:33" s="12" customFormat="1" x14ac:dyDescent="0.2">
      <c r="B8" s="12" t="s">
        <v>73</v>
      </c>
      <c r="C8" s="23">
        <f t="shared" ref="C8:L8" si="1">C4-C5-C6-C7</f>
        <v>0</v>
      </c>
      <c r="D8" s="23">
        <f t="shared" si="1"/>
        <v>0</v>
      </c>
      <c r="E8" s="23">
        <f t="shared" si="1"/>
        <v>0</v>
      </c>
      <c r="F8" s="23">
        <f t="shared" si="1"/>
        <v>0</v>
      </c>
      <c r="G8" s="23">
        <f t="shared" si="1"/>
        <v>65.629999999999953</v>
      </c>
      <c r="H8" s="23">
        <f t="shared" si="1"/>
        <v>72.415999999999968</v>
      </c>
      <c r="I8" s="23">
        <f t="shared" si="1"/>
        <v>74.019000000000062</v>
      </c>
      <c r="J8" s="23">
        <f t="shared" si="1"/>
        <v>76.018000000000114</v>
      </c>
      <c r="K8" s="23">
        <f t="shared" si="1"/>
        <v>81.525999999999954</v>
      </c>
      <c r="L8" s="23">
        <f t="shared" si="1"/>
        <v>95.074000000000041</v>
      </c>
      <c r="M8" s="23">
        <f>M4-M5-M6-M7</f>
        <v>98.121000000000038</v>
      </c>
      <c r="N8" s="43"/>
      <c r="Q8" s="23">
        <f t="shared" ref="Q8:V8" si="2">Q4-Q5-Q6-Q7</f>
        <v>265.58399999999983</v>
      </c>
      <c r="R8" s="23">
        <f t="shared" si="2"/>
        <v>248.28500000000017</v>
      </c>
      <c r="S8" s="23">
        <f t="shared" si="2"/>
        <v>264.67500000000007</v>
      </c>
      <c r="T8" s="23">
        <f t="shared" si="2"/>
        <v>303.10699999999997</v>
      </c>
      <c r="U8" s="23">
        <f t="shared" si="2"/>
        <v>250.55100000000004</v>
      </c>
      <c r="V8" s="23">
        <f t="shared" si="2"/>
        <v>288.08299999999997</v>
      </c>
      <c r="W8" s="43"/>
    </row>
    <row r="9" spans="2:33" x14ac:dyDescent="0.2">
      <c r="B9" s="1" t="s">
        <v>74</v>
      </c>
      <c r="G9" s="4">
        <v>6.202</v>
      </c>
      <c r="H9" s="4">
        <v>5.9850000000000003</v>
      </c>
      <c r="I9" s="4">
        <v>5.99</v>
      </c>
      <c r="J9" s="4">
        <f t="shared" si="0"/>
        <v>5.8300000000000018</v>
      </c>
      <c r="K9" s="4">
        <v>5.6280000000000001</v>
      </c>
      <c r="L9" s="4">
        <v>5.5620000000000003</v>
      </c>
      <c r="M9" s="4">
        <v>5.1109999999999998</v>
      </c>
      <c r="Q9" s="4">
        <v>28.495999999999999</v>
      </c>
      <c r="R9" s="4">
        <v>51.676000000000002</v>
      </c>
      <c r="S9" s="4">
        <v>34.755000000000003</v>
      </c>
      <c r="T9" s="4">
        <v>28.934000000000001</v>
      </c>
      <c r="U9" s="4">
        <v>23.071999999999999</v>
      </c>
      <c r="V9" s="4">
        <v>24.007000000000001</v>
      </c>
    </row>
    <row r="10" spans="2:33" x14ac:dyDescent="0.2">
      <c r="B10" s="1" t="s">
        <v>75</v>
      </c>
      <c r="G10" s="4">
        <v>31.844000000000001</v>
      </c>
      <c r="H10" s="4">
        <v>32.052999999999997</v>
      </c>
      <c r="I10" s="4">
        <v>32.524999999999999</v>
      </c>
      <c r="J10" s="4">
        <f t="shared" si="0"/>
        <v>33.038000000000011</v>
      </c>
      <c r="K10" s="4">
        <v>31.620999999999999</v>
      </c>
      <c r="L10" s="4">
        <v>33.225000000000001</v>
      </c>
      <c r="M10" s="4">
        <v>46.536999999999999</v>
      </c>
      <c r="Q10" s="4">
        <v>128.71799999999999</v>
      </c>
      <c r="R10" s="4">
        <v>148.024</v>
      </c>
      <c r="S10" s="4">
        <v>150.10300000000001</v>
      </c>
      <c r="T10" s="4">
        <v>151.024</v>
      </c>
      <c r="U10" s="4">
        <v>126.837</v>
      </c>
      <c r="V10" s="4">
        <v>129.46</v>
      </c>
    </row>
    <row r="11" spans="2:33" x14ac:dyDescent="0.2">
      <c r="B11" s="1" t="s">
        <v>87</v>
      </c>
      <c r="G11" s="4">
        <v>3.0379999999999998</v>
      </c>
      <c r="H11" s="4">
        <v>1.6539999999999999</v>
      </c>
      <c r="I11" s="4">
        <v>0</v>
      </c>
      <c r="J11" s="4">
        <f t="shared" si="0"/>
        <v>9.9999999999944578E-4</v>
      </c>
      <c r="K11" s="4">
        <v>0</v>
      </c>
      <c r="L11" s="4">
        <v>0</v>
      </c>
      <c r="M11" s="4">
        <v>-37.487000000000002</v>
      </c>
      <c r="Q11" s="4">
        <v>-15.885</v>
      </c>
      <c r="R11" s="4">
        <v>0</v>
      </c>
      <c r="S11" s="4">
        <v>0</v>
      </c>
      <c r="T11" s="4">
        <v>-4.7949999999999999</v>
      </c>
      <c r="U11" s="4">
        <v>5.319</v>
      </c>
      <c r="V11" s="4">
        <v>4.6929999999999996</v>
      </c>
    </row>
    <row r="12" spans="2:33" x14ac:dyDescent="0.2">
      <c r="B12" s="1" t="s">
        <v>76</v>
      </c>
      <c r="G12" s="4">
        <v>13.329000000000001</v>
      </c>
      <c r="H12" s="4">
        <v>-2.95</v>
      </c>
      <c r="I12" s="4">
        <v>-6.0880000000000001</v>
      </c>
      <c r="J12" s="4">
        <f t="shared" si="0"/>
        <v>1.2079999999999984</v>
      </c>
      <c r="K12" s="4">
        <v>-0.627</v>
      </c>
      <c r="L12" s="4">
        <v>3.68</v>
      </c>
      <c r="M12" s="4">
        <v>29.279</v>
      </c>
      <c r="Q12" s="4">
        <v>0</v>
      </c>
      <c r="R12" s="4">
        <v>0</v>
      </c>
      <c r="S12" s="4">
        <v>0</v>
      </c>
      <c r="T12" s="4">
        <v>-2.6930000000000001</v>
      </c>
      <c r="U12" s="4">
        <v>-6.8310000000000004</v>
      </c>
      <c r="V12" s="4">
        <v>5.4989999999999997</v>
      </c>
    </row>
    <row r="13" spans="2:33" x14ac:dyDescent="0.2">
      <c r="B13" s="1" t="s">
        <v>77</v>
      </c>
      <c r="C13" s="4">
        <f t="shared" ref="C13:L13" si="3">C8+C9-C10+C11+C12</f>
        <v>0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56.354999999999947</v>
      </c>
      <c r="H13" s="4">
        <f t="shared" si="3"/>
        <v>45.051999999999964</v>
      </c>
      <c r="I13" s="4">
        <f t="shared" si="3"/>
        <v>41.396000000000058</v>
      </c>
      <c r="J13" s="4">
        <f t="shared" si="3"/>
        <v>50.019000000000098</v>
      </c>
      <c r="K13" s="4">
        <f t="shared" si="3"/>
        <v>54.905999999999956</v>
      </c>
      <c r="L13" s="4">
        <f t="shared" si="3"/>
        <v>71.091000000000037</v>
      </c>
      <c r="M13" s="4">
        <f>M8+M9-M10+M11+M12</f>
        <v>48.487000000000037</v>
      </c>
      <c r="Q13" s="4">
        <f t="shared" ref="Q13:V13" si="4">Q8+Q9-Q10+Q11+Q12</f>
        <v>149.47699999999983</v>
      </c>
      <c r="R13" s="4">
        <f t="shared" si="4"/>
        <v>151.93700000000018</v>
      </c>
      <c r="S13" s="4">
        <f t="shared" si="4"/>
        <v>149.32700000000006</v>
      </c>
      <c r="T13" s="4">
        <f t="shared" si="4"/>
        <v>173.529</v>
      </c>
      <c r="U13" s="4">
        <f t="shared" si="4"/>
        <v>145.27400000000006</v>
      </c>
      <c r="V13" s="4">
        <f t="shared" si="4"/>
        <v>192.82199999999997</v>
      </c>
    </row>
    <row r="14" spans="2:33" x14ac:dyDescent="0.2">
      <c r="B14" s="1" t="s">
        <v>78</v>
      </c>
      <c r="G14" s="4">
        <v>7.9359999999999999</v>
      </c>
      <c r="H14" s="4">
        <v>5.0629999999999997</v>
      </c>
      <c r="I14" s="4">
        <v>8.3949999999999996</v>
      </c>
      <c r="J14" s="4">
        <f t="shared" si="0"/>
        <v>101.33600000000001</v>
      </c>
      <c r="K14" s="4">
        <v>17.962</v>
      </c>
      <c r="L14" s="4">
        <v>18.898</v>
      </c>
      <c r="M14" s="4">
        <v>11.246</v>
      </c>
      <c r="Q14" s="4">
        <v>7.9039999999999999</v>
      </c>
      <c r="R14" s="4">
        <v>17.957999999999998</v>
      </c>
      <c r="S14" s="4">
        <v>14.117000000000001</v>
      </c>
      <c r="T14" s="4">
        <v>16.648</v>
      </c>
      <c r="U14" s="4">
        <v>20.463000000000001</v>
      </c>
      <c r="V14" s="4">
        <v>122.73</v>
      </c>
    </row>
    <row r="15" spans="2:33" x14ac:dyDescent="0.2">
      <c r="B15" s="1" t="s">
        <v>79</v>
      </c>
      <c r="G15" s="4">
        <v>2.0640000000000001</v>
      </c>
      <c r="H15" s="4">
        <v>1.9419999999999999</v>
      </c>
      <c r="I15" s="4">
        <v>1.64</v>
      </c>
      <c r="J15" s="4">
        <f t="shared" si="0"/>
        <v>1.4950000000000001</v>
      </c>
      <c r="K15" s="4">
        <v>1.2350000000000001</v>
      </c>
      <c r="L15" s="4">
        <v>1.48</v>
      </c>
      <c r="M15" s="4">
        <v>1.071</v>
      </c>
      <c r="Q15" s="4">
        <v>6.9249999999999998</v>
      </c>
      <c r="R15" s="4">
        <v>12.045</v>
      </c>
      <c r="S15" s="4">
        <v>9.6270000000000007</v>
      </c>
      <c r="T15" s="4">
        <v>9.532</v>
      </c>
      <c r="U15" s="4">
        <v>9.1660000000000004</v>
      </c>
      <c r="V15" s="4">
        <v>7.141</v>
      </c>
    </row>
    <row r="16" spans="2:33" s="12" customFormat="1" x14ac:dyDescent="0.2">
      <c r="B16" s="12" t="s">
        <v>80</v>
      </c>
      <c r="C16" s="23">
        <f t="shared" ref="C16:L16" si="5">C13-C14+C15</f>
        <v>0</v>
      </c>
      <c r="D16" s="23">
        <f t="shared" si="5"/>
        <v>0</v>
      </c>
      <c r="E16" s="23">
        <f t="shared" si="5"/>
        <v>0</v>
      </c>
      <c r="F16" s="23">
        <f t="shared" si="5"/>
        <v>0</v>
      </c>
      <c r="G16" s="23">
        <f t="shared" si="5"/>
        <v>50.482999999999947</v>
      </c>
      <c r="H16" s="23">
        <f t="shared" si="5"/>
        <v>41.930999999999962</v>
      </c>
      <c r="I16" s="23">
        <f t="shared" si="5"/>
        <v>34.641000000000062</v>
      </c>
      <c r="J16" s="23">
        <f t="shared" si="5"/>
        <v>-49.821999999999917</v>
      </c>
      <c r="K16" s="23">
        <f t="shared" si="5"/>
        <v>38.178999999999959</v>
      </c>
      <c r="L16" s="23">
        <f t="shared" si="5"/>
        <v>53.673000000000037</v>
      </c>
      <c r="M16" s="23">
        <f>M13-M14+M15</f>
        <v>38.312000000000033</v>
      </c>
      <c r="N16" s="43"/>
      <c r="Q16" s="23">
        <f t="shared" ref="Q16:V16" si="6">Q13-Q14+Q15</f>
        <v>148.49799999999985</v>
      </c>
      <c r="R16" s="23">
        <f t="shared" si="6"/>
        <v>146.02400000000017</v>
      </c>
      <c r="S16" s="23">
        <f t="shared" si="6"/>
        <v>144.83700000000007</v>
      </c>
      <c r="T16" s="23">
        <f t="shared" si="6"/>
        <v>166.41300000000001</v>
      </c>
      <c r="U16" s="23">
        <f t="shared" si="6"/>
        <v>133.97700000000006</v>
      </c>
      <c r="V16" s="23">
        <f t="shared" si="6"/>
        <v>77.232999999999976</v>
      </c>
      <c r="W16" s="43"/>
    </row>
    <row r="17" spans="2:23" x14ac:dyDescent="0.2">
      <c r="B17" s="1" t="s">
        <v>88</v>
      </c>
      <c r="G17" s="4">
        <v>6.0999999999999999E-2</v>
      </c>
      <c r="H17" s="4">
        <v>2.8000000000000001E-2</v>
      </c>
      <c r="I17" s="4">
        <v>6.9000000000000006E-2</v>
      </c>
      <c r="J17" s="4">
        <f t="shared" si="0"/>
        <v>2.6999999999999996E-2</v>
      </c>
      <c r="K17" s="4">
        <v>0.04</v>
      </c>
      <c r="L17" s="4">
        <v>5.3999999999999999E-2</v>
      </c>
      <c r="M17" s="4">
        <v>2.5000000000000001E-2</v>
      </c>
      <c r="Q17" s="4">
        <v>0.217</v>
      </c>
      <c r="R17" s="4">
        <v>0.217</v>
      </c>
      <c r="S17" s="4">
        <v>0.26200000000000001</v>
      </c>
      <c r="T17" s="4">
        <v>0.191</v>
      </c>
      <c r="U17" s="4">
        <v>0.20100000000000001</v>
      </c>
      <c r="V17" s="4">
        <v>0.185</v>
      </c>
    </row>
    <row r="18" spans="2:23" x14ac:dyDescent="0.2">
      <c r="B18" s="1" t="s">
        <v>89</v>
      </c>
      <c r="C18" s="4">
        <f t="shared" ref="C18:L18" si="7">C16+C17</f>
        <v>0</v>
      </c>
      <c r="D18" s="4">
        <f t="shared" si="7"/>
        <v>0</v>
      </c>
      <c r="E18" s="4">
        <f t="shared" si="7"/>
        <v>0</v>
      </c>
      <c r="F18" s="4">
        <f t="shared" si="7"/>
        <v>0</v>
      </c>
      <c r="G18" s="4">
        <f t="shared" si="7"/>
        <v>50.543999999999947</v>
      </c>
      <c r="H18" s="4">
        <f t="shared" si="7"/>
        <v>41.958999999999961</v>
      </c>
      <c r="I18" s="4">
        <f t="shared" si="7"/>
        <v>34.710000000000065</v>
      </c>
      <c r="J18" s="4">
        <f t="shared" si="7"/>
        <v>-49.794999999999916</v>
      </c>
      <c r="K18" s="4">
        <f t="shared" si="7"/>
        <v>38.218999999999959</v>
      </c>
      <c r="L18" s="4">
        <f t="shared" si="7"/>
        <v>53.727000000000039</v>
      </c>
      <c r="M18" s="4">
        <f>M16+M17</f>
        <v>38.337000000000032</v>
      </c>
      <c r="Q18" s="4">
        <f t="shared" ref="Q18:V18" si="8">Q16+Q17</f>
        <v>148.71499999999986</v>
      </c>
      <c r="R18" s="4">
        <f t="shared" si="8"/>
        <v>146.24100000000018</v>
      </c>
      <c r="S18" s="4">
        <f t="shared" si="8"/>
        <v>145.09900000000007</v>
      </c>
      <c r="T18" s="4">
        <f t="shared" si="8"/>
        <v>166.60400000000001</v>
      </c>
      <c r="U18" s="4">
        <f t="shared" si="8"/>
        <v>134.17800000000005</v>
      </c>
      <c r="V18" s="4">
        <f t="shared" si="8"/>
        <v>77.417999999999978</v>
      </c>
    </row>
    <row r="19" spans="2:23" s="36" customFormat="1" x14ac:dyDescent="0.2">
      <c r="B19" s="36" t="s">
        <v>81</v>
      </c>
      <c r="G19" s="36">
        <f t="shared" ref="G19:M19" si="9">G18/G20</f>
        <v>0.42112279415440457</v>
      </c>
      <c r="H19" s="36">
        <f t="shared" si="9"/>
        <v>0.34842143723116237</v>
      </c>
      <c r="I19" s="36">
        <f t="shared" si="9"/>
        <v>0.28799004355942803</v>
      </c>
      <c r="J19" s="36">
        <f t="shared" si="9"/>
        <v>-0.4136347022860174</v>
      </c>
      <c r="K19" s="36">
        <f t="shared" si="9"/>
        <v>0.31660784995940783</v>
      </c>
      <c r="L19" s="36">
        <f t="shared" si="9"/>
        <v>0.44358853689346872</v>
      </c>
      <c r="M19" s="36">
        <f t="shared" si="9"/>
        <v>0.31643197913399501</v>
      </c>
      <c r="N19" s="44"/>
      <c r="Q19" s="36">
        <f t="shared" ref="Q19:S19" si="10">Q18/Q20</f>
        <v>1.3389906811326688</v>
      </c>
      <c r="R19" s="36">
        <f t="shared" si="10"/>
        <v>1.2177109788084448</v>
      </c>
      <c r="S19" s="36">
        <f t="shared" si="10"/>
        <v>1.2067348075947479</v>
      </c>
      <c r="T19" s="36">
        <f>T18/T20</f>
        <v>1.3989050849734668</v>
      </c>
      <c r="U19" s="36">
        <f>U18/U20</f>
        <v>1.1207744802412321</v>
      </c>
      <c r="V19" s="36">
        <f>V18/V20</f>
        <v>0.64309210526315774</v>
      </c>
      <c r="W19" s="44"/>
    </row>
    <row r="20" spans="2:23" s="4" customFormat="1" x14ac:dyDescent="0.2">
      <c r="B20" s="4" t="s">
        <v>1</v>
      </c>
      <c r="G20" s="4">
        <v>120.02200000000001</v>
      </c>
      <c r="H20" s="4">
        <v>120.426</v>
      </c>
      <c r="I20" s="4">
        <v>120.52500000000001</v>
      </c>
      <c r="J20" s="4">
        <f>V20</f>
        <v>120.384</v>
      </c>
      <c r="K20" s="4">
        <v>120.714</v>
      </c>
      <c r="L20" s="4">
        <v>121.119</v>
      </c>
      <c r="M20" s="4">
        <v>121.154</v>
      </c>
      <c r="N20" s="45"/>
      <c r="Q20" s="63">
        <v>111.065</v>
      </c>
      <c r="R20" s="63">
        <v>120.095</v>
      </c>
      <c r="S20" s="4">
        <v>120.241</v>
      </c>
      <c r="T20" s="4">
        <v>119.096</v>
      </c>
      <c r="U20" s="4">
        <v>119.71899999999999</v>
      </c>
      <c r="V20" s="4">
        <v>120.384</v>
      </c>
      <c r="W20" s="45"/>
    </row>
    <row r="21" spans="2:23" s="4" customFormat="1" x14ac:dyDescent="0.2">
      <c r="N21" s="45"/>
      <c r="W21" s="45"/>
    </row>
    <row r="22" spans="2:23" s="23" customFormat="1" x14ac:dyDescent="0.2">
      <c r="B22" s="23" t="s">
        <v>82</v>
      </c>
      <c r="K22" s="28">
        <f>K4/G4-1</f>
        <v>-4.3707503942731929E-2</v>
      </c>
      <c r="L22" s="28">
        <f>L4/H4-1</f>
        <v>4.0249797053158787E-2</v>
      </c>
      <c r="M22" s="28">
        <f>M4/I4-1</f>
        <v>0.10660048772872366</v>
      </c>
      <c r="N22" s="42"/>
      <c r="R22" s="28">
        <f t="shared" ref="R22" si="11">R4/Q4-1</f>
        <v>3.8509008988341531E-2</v>
      </c>
      <c r="S22" s="28">
        <f t="shared" ref="S22" si="12">S4/R4-1</f>
        <v>3.0028010709457265E-2</v>
      </c>
      <c r="T22" s="28">
        <f t="shared" ref="T22" si="13">T4/S4-1</f>
        <v>6.2853598674779798E-2</v>
      </c>
      <c r="U22" s="28">
        <f t="shared" ref="U22" si="14">U4/T4-1</f>
        <v>-5.1585158854879243E-2</v>
      </c>
      <c r="V22" s="28">
        <f>V4/U4-1</f>
        <v>-3.9779617701048986E-2</v>
      </c>
      <c r="W22" s="48">
        <f>W4/V4-1</f>
        <v>6.7852594952078515E-2</v>
      </c>
    </row>
    <row r="23" spans="2:23" s="4" customFormat="1" x14ac:dyDescent="0.2">
      <c r="B23" s="4" t="s">
        <v>83</v>
      </c>
      <c r="H23" s="30">
        <f t="shared" ref="H23" si="15">H4/G4-1</f>
        <v>-1.9011862027804693E-2</v>
      </c>
      <c r="I23" s="30">
        <f>I4/H4-1</f>
        <v>-1.4399940575042458E-2</v>
      </c>
      <c r="J23" s="30">
        <f t="shared" ref="J23:L23" si="16">J4/I4-1</f>
        <v>4.7014321423666239E-4</v>
      </c>
      <c r="K23" s="30">
        <f t="shared" si="16"/>
        <v>-1.1396512172243134E-2</v>
      </c>
      <c r="L23" s="30">
        <f t="shared" si="16"/>
        <v>6.7113582553952167E-2</v>
      </c>
      <c r="M23" s="30">
        <f>M4/L4-1</f>
        <v>4.8465002881785457E-2</v>
      </c>
      <c r="N23" s="46">
        <v>0.06</v>
      </c>
      <c r="Q23" s="49" t="s">
        <v>122</v>
      </c>
      <c r="R23" s="49" t="s">
        <v>122</v>
      </c>
      <c r="S23" s="49" t="s">
        <v>122</v>
      </c>
      <c r="T23" s="49" t="s">
        <v>122</v>
      </c>
      <c r="U23" s="49" t="s">
        <v>122</v>
      </c>
      <c r="V23" s="49" t="s">
        <v>122</v>
      </c>
      <c r="W23" s="45"/>
    </row>
    <row r="24" spans="2:23" s="4" customFormat="1" x14ac:dyDescent="0.2">
      <c r="N24" s="45"/>
      <c r="W24" s="45"/>
    </row>
    <row r="26" spans="2:23" x14ac:dyDescent="0.2">
      <c r="B26" s="1" t="s">
        <v>84</v>
      </c>
      <c r="G26" s="30">
        <f t="shared" ref="G26" si="17">G8/G4</f>
        <v>0.11386644505245691</v>
      </c>
      <c r="H26" s="30">
        <f t="shared" ref="H26" si="18">H8/H4</f>
        <v>0.12807493204154791</v>
      </c>
      <c r="I26" s="30">
        <f>I8/I4</f>
        <v>0.1328226357807698</v>
      </c>
      <c r="J26" s="30">
        <f t="shared" ref="J26:K26" si="19">J8/J4</f>
        <v>0.13634561887150509</v>
      </c>
      <c r="K26" s="30">
        <f t="shared" si="19"/>
        <v>0.14791041120494927</v>
      </c>
      <c r="L26" s="30">
        <f>L8/L4</f>
        <v>0.16164181870423366</v>
      </c>
      <c r="M26" s="30">
        <f>M8/M4</f>
        <v>0.15911092084588035</v>
      </c>
      <c r="Q26" s="30">
        <f t="shared" ref="Q26:T26" si="20">Q8/Q4</f>
        <v>0.12185603053925453</v>
      </c>
      <c r="R26" s="30">
        <f t="shared" si="20"/>
        <v>0.10969462141361309</v>
      </c>
      <c r="S26" s="30">
        <f t="shared" si="20"/>
        <v>0.11352688915520642</v>
      </c>
      <c r="T26" s="30">
        <f t="shared" ref="T26" si="21">T8/T4</f>
        <v>0.12232305940219262</v>
      </c>
      <c r="U26" s="30">
        <f>U8/U4</f>
        <v>0.10661300081954031</v>
      </c>
      <c r="V26" s="30">
        <f>V8/V4</f>
        <v>0.12766173360772695</v>
      </c>
    </row>
    <row r="27" spans="2:23" x14ac:dyDescent="0.2">
      <c r="B27" s="1" t="s">
        <v>85</v>
      </c>
      <c r="G27" s="30">
        <f t="shared" ref="G27" si="22">G16/G4</f>
        <v>8.7586770464470221E-2</v>
      </c>
      <c r="H27" s="30">
        <f t="shared" ref="H27" si="23">H16/H4</f>
        <v>7.4159163381492241E-2</v>
      </c>
      <c r="I27" s="30">
        <f>I16/I4</f>
        <v>6.2161187344893218E-2</v>
      </c>
      <c r="J27" s="30">
        <f t="shared" ref="J27:K27" si="24">J16/J4</f>
        <v>-8.9360564911154017E-2</v>
      </c>
      <c r="K27" s="30">
        <f t="shared" si="24"/>
        <v>6.9267124468191194E-2</v>
      </c>
      <c r="L27" s="30">
        <f>L16/L4</f>
        <v>9.1253143186489846E-2</v>
      </c>
      <c r="M27" s="30">
        <f>M16/M4</f>
        <v>6.212592207017225E-2</v>
      </c>
      <c r="Q27" s="30">
        <f t="shared" ref="Q27:T27" si="25">Q16/Q4</f>
        <v>6.8134288296803319E-2</v>
      </c>
      <c r="R27" s="30">
        <f t="shared" si="25"/>
        <v>6.4514760848627367E-2</v>
      </c>
      <c r="S27" s="30">
        <f t="shared" si="25"/>
        <v>6.2124847622830402E-2</v>
      </c>
      <c r="T27" s="30">
        <f t="shared" ref="T27" si="26">T16/T4</f>
        <v>6.7158288275417879E-2</v>
      </c>
      <c r="U27" s="30">
        <f>U16/U4</f>
        <v>5.7009111960437418E-2</v>
      </c>
      <c r="V27" s="30">
        <f>V16/V4</f>
        <v>3.4225201319500194E-2</v>
      </c>
    </row>
    <row r="28" spans="2:23" x14ac:dyDescent="0.2">
      <c r="B28" s="1" t="s">
        <v>86</v>
      </c>
      <c r="G28" s="30">
        <f t="shared" ref="G28" si="27">G14/G13</f>
        <v>0.14082157749977833</v>
      </c>
      <c r="H28" s="30">
        <f t="shared" ref="H28" si="28">H14/H13</f>
        <v>0.11238124833525712</v>
      </c>
      <c r="I28" s="30">
        <f>I14/I13</f>
        <v>0.20279737172673659</v>
      </c>
      <c r="J28" s="30">
        <f t="shared" ref="J28:K28" si="29">J14/J13</f>
        <v>2.0259501389471963</v>
      </c>
      <c r="K28" s="30">
        <f t="shared" si="29"/>
        <v>0.32714093177430542</v>
      </c>
      <c r="L28" s="30">
        <f>L14/L13</f>
        <v>0.26582830456738532</v>
      </c>
      <c r="M28" s="30">
        <f>M14/M13</f>
        <v>0.23193845773093802</v>
      </c>
      <c r="Q28" s="30">
        <f t="shared" ref="Q28:T28" si="30">Q14/Q13</f>
        <v>5.2877700248198781E-2</v>
      </c>
      <c r="R28" s="30">
        <f t="shared" si="30"/>
        <v>0.11819372503076918</v>
      </c>
      <c r="S28" s="30">
        <f t="shared" si="30"/>
        <v>9.4537491545400337E-2</v>
      </c>
      <c r="T28" s="30">
        <f t="shared" ref="T28" si="31">T14/T13</f>
        <v>9.5937854767790973E-2</v>
      </c>
      <c r="U28" s="30">
        <f>U14/U13</f>
        <v>0.14085796494899289</v>
      </c>
      <c r="V28" s="30">
        <f>V14/V13</f>
        <v>0.63649376108535338</v>
      </c>
    </row>
    <row r="31" spans="2:23" x14ac:dyDescent="0.2">
      <c r="B31" s="22" t="s">
        <v>40</v>
      </c>
    </row>
    <row r="32" spans="2:23" s="12" customFormat="1" x14ac:dyDescent="0.2">
      <c r="B32" s="12" t="s">
        <v>4</v>
      </c>
      <c r="J32" s="23">
        <v>506.49099999999999</v>
      </c>
      <c r="K32" s="23">
        <v>598.50800000000004</v>
      </c>
      <c r="L32" s="23">
        <v>587.86099999999999</v>
      </c>
      <c r="M32" s="23">
        <v>91.644999999999996</v>
      </c>
      <c r="N32" s="43"/>
      <c r="V32" s="23">
        <f>J32</f>
        <v>506.49099999999999</v>
      </c>
      <c r="W32" s="43"/>
    </row>
    <row r="33" spans="2:22" x14ac:dyDescent="0.2">
      <c r="B33" s="1" t="s">
        <v>41</v>
      </c>
      <c r="J33" s="4">
        <v>20.161000000000001</v>
      </c>
      <c r="K33" s="4">
        <v>23.795000000000002</v>
      </c>
      <c r="L33" s="4">
        <v>21.134</v>
      </c>
      <c r="M33" s="4">
        <v>0</v>
      </c>
      <c r="V33" s="4">
        <f>J33</f>
        <v>20.161000000000001</v>
      </c>
    </row>
    <row r="34" spans="2:22" x14ac:dyDescent="0.2">
      <c r="B34" s="1" t="s">
        <v>42</v>
      </c>
      <c r="J34" s="4">
        <v>365.57299999999998</v>
      </c>
      <c r="K34" s="4">
        <v>358.64800000000002</v>
      </c>
      <c r="L34" s="4">
        <v>371.851</v>
      </c>
      <c r="M34" s="4">
        <v>383.69400000000002</v>
      </c>
      <c r="V34" s="4">
        <f t="shared" ref="V34:V44" si="32">J34</f>
        <v>365.57299999999998</v>
      </c>
    </row>
    <row r="35" spans="2:22" x14ac:dyDescent="0.2">
      <c r="B35" s="1" t="s">
        <v>43</v>
      </c>
      <c r="J35" s="4">
        <v>6.5069999999999997</v>
      </c>
      <c r="K35" s="4">
        <v>6.8659999999999997</v>
      </c>
      <c r="L35" s="4">
        <v>7.2460000000000004</v>
      </c>
      <c r="M35" s="4">
        <v>0</v>
      </c>
      <c r="V35" s="4">
        <f t="shared" si="32"/>
        <v>6.5069999999999997</v>
      </c>
    </row>
    <row r="36" spans="2:22" x14ac:dyDescent="0.2">
      <c r="B36" s="1" t="s">
        <v>44</v>
      </c>
      <c r="J36" s="4">
        <v>45.176000000000002</v>
      </c>
      <c r="K36" s="4">
        <v>34.997999999999998</v>
      </c>
      <c r="L36" s="4">
        <v>35.320999999999998</v>
      </c>
      <c r="M36" s="4">
        <v>40.387999999999998</v>
      </c>
      <c r="V36" s="4">
        <f t="shared" si="32"/>
        <v>45.176000000000002</v>
      </c>
    </row>
    <row r="37" spans="2:22" x14ac:dyDescent="0.2">
      <c r="B37" s="1" t="s">
        <v>45</v>
      </c>
      <c r="C37" s="1">
        <f t="shared" ref="C37:N37" si="33">SUM(C32:C36)</f>
        <v>0</v>
      </c>
      <c r="D37" s="1">
        <f t="shared" si="33"/>
        <v>0</v>
      </c>
      <c r="E37" s="1">
        <f t="shared" si="33"/>
        <v>0</v>
      </c>
      <c r="F37" s="1">
        <f t="shared" si="33"/>
        <v>0</v>
      </c>
      <c r="G37" s="1">
        <f t="shared" si="33"/>
        <v>0</v>
      </c>
      <c r="H37" s="1">
        <f t="shared" si="33"/>
        <v>0</v>
      </c>
      <c r="I37" s="1">
        <f t="shared" si="33"/>
        <v>0</v>
      </c>
      <c r="J37" s="4">
        <f t="shared" si="33"/>
        <v>943.90800000000002</v>
      </c>
      <c r="K37" s="4">
        <f t="shared" si="33"/>
        <v>1022.8150000000001</v>
      </c>
      <c r="L37" s="4">
        <f t="shared" si="33"/>
        <v>1023.413</v>
      </c>
      <c r="M37" s="4">
        <f>SUM(M32:M36)</f>
        <v>515.72699999999998</v>
      </c>
      <c r="N37" s="38">
        <f t="shared" si="33"/>
        <v>0</v>
      </c>
      <c r="Q37" s="4">
        <f t="shared" ref="Q37:S37" si="34">SUM(Q32:Q36)</f>
        <v>0</v>
      </c>
      <c r="R37" s="4">
        <f t="shared" si="34"/>
        <v>0</v>
      </c>
      <c r="S37" s="4">
        <f t="shared" ref="S37:V37" si="35">SUM(S32:S36)</f>
        <v>0</v>
      </c>
      <c r="T37" s="4">
        <f t="shared" si="35"/>
        <v>0</v>
      </c>
      <c r="U37" s="4">
        <f t="shared" si="35"/>
        <v>0</v>
      </c>
      <c r="V37" s="4">
        <f t="shared" si="35"/>
        <v>943.90800000000002</v>
      </c>
    </row>
    <row r="38" spans="2:22" x14ac:dyDescent="0.2">
      <c r="B38" s="1" t="s">
        <v>46</v>
      </c>
      <c r="J38" s="4">
        <v>76.158000000000001</v>
      </c>
      <c r="K38" s="4">
        <v>84.885999999999996</v>
      </c>
      <c r="L38" s="4">
        <v>81.391999999999996</v>
      </c>
      <c r="M38" s="4">
        <v>89.76</v>
      </c>
      <c r="V38" s="4">
        <f t="shared" si="32"/>
        <v>76.158000000000001</v>
      </c>
    </row>
    <row r="39" spans="2:22" x14ac:dyDescent="0.2">
      <c r="B39" s="1" t="s">
        <v>66</v>
      </c>
      <c r="J39" s="4">
        <v>2037.845</v>
      </c>
      <c r="K39" s="4">
        <v>2017.3219999999999</v>
      </c>
      <c r="L39" s="4">
        <v>2007.636</v>
      </c>
      <c r="M39" s="4">
        <v>2012.6790000000001</v>
      </c>
      <c r="V39" s="4">
        <f t="shared" si="32"/>
        <v>2037.845</v>
      </c>
    </row>
    <row r="40" spans="2:22" x14ac:dyDescent="0.2">
      <c r="B40" s="1" t="s">
        <v>43</v>
      </c>
      <c r="J40" s="4">
        <v>367.07100000000003</v>
      </c>
      <c r="K40" s="4">
        <v>14.488</v>
      </c>
      <c r="L40" s="4">
        <v>2.57</v>
      </c>
      <c r="M40" s="4">
        <v>0</v>
      </c>
      <c r="V40" s="4">
        <f t="shared" si="32"/>
        <v>367.07100000000003</v>
      </c>
    </row>
    <row r="41" spans="2:22" x14ac:dyDescent="0.2">
      <c r="B41" s="1" t="s">
        <v>47</v>
      </c>
      <c r="J41" s="4">
        <v>112.187</v>
      </c>
      <c r="K41" s="4">
        <v>376.77499999999998</v>
      </c>
      <c r="L41" s="4">
        <v>344.15100000000001</v>
      </c>
      <c r="M41" s="4">
        <v>95.119</v>
      </c>
      <c r="V41" s="4">
        <f t="shared" si="32"/>
        <v>112.187</v>
      </c>
    </row>
    <row r="42" spans="2:22" x14ac:dyDescent="0.2">
      <c r="B42" s="1" t="s">
        <v>48</v>
      </c>
      <c r="J42" s="4">
        <v>7.8769999999999998</v>
      </c>
      <c r="K42" s="4">
        <v>105.617</v>
      </c>
      <c r="L42" s="4">
        <v>105.97199999999999</v>
      </c>
      <c r="M42" s="4">
        <v>0.48</v>
      </c>
      <c r="V42" s="4">
        <f t="shared" si="32"/>
        <v>7.8769999999999998</v>
      </c>
    </row>
    <row r="43" spans="2:22" x14ac:dyDescent="0.2">
      <c r="B43" s="1" t="s">
        <v>49</v>
      </c>
      <c r="J43" s="4">
        <v>921.34900000000005</v>
      </c>
      <c r="K43" s="4">
        <f>755.238+158.695</f>
        <v>913.93299999999999</v>
      </c>
      <c r="L43" s="4">
        <f>755.203+154.978</f>
        <v>910.18100000000004</v>
      </c>
      <c r="M43" s="4">
        <v>906.45100000000002</v>
      </c>
      <c r="V43" s="4">
        <f t="shared" si="32"/>
        <v>921.34900000000005</v>
      </c>
    </row>
    <row r="44" spans="2:22" x14ac:dyDescent="0.2">
      <c r="B44" s="1" t="s">
        <v>50</v>
      </c>
      <c r="J44" s="4">
        <v>71.013000000000005</v>
      </c>
      <c r="K44" s="4">
        <v>73.048000000000002</v>
      </c>
      <c r="L44" s="4">
        <v>80.007999999999996</v>
      </c>
      <c r="M44" s="4">
        <v>84.292000000000002</v>
      </c>
      <c r="V44" s="4">
        <f t="shared" si="32"/>
        <v>71.013000000000005</v>
      </c>
    </row>
    <row r="45" spans="2:22" x14ac:dyDescent="0.2">
      <c r="B45" s="1" t="s">
        <v>51</v>
      </c>
      <c r="C45" s="1">
        <f t="shared" ref="C45:N45" si="36">SUM(C38:C44)+C37</f>
        <v>0</v>
      </c>
      <c r="D45" s="1">
        <f t="shared" si="36"/>
        <v>0</v>
      </c>
      <c r="E45" s="1">
        <f t="shared" si="36"/>
        <v>0</v>
      </c>
      <c r="F45" s="1">
        <f t="shared" si="36"/>
        <v>0</v>
      </c>
      <c r="G45" s="1">
        <f t="shared" si="36"/>
        <v>0</v>
      </c>
      <c r="H45" s="1">
        <f t="shared" si="36"/>
        <v>0</v>
      </c>
      <c r="I45" s="1">
        <f t="shared" si="36"/>
        <v>0</v>
      </c>
      <c r="J45" s="4">
        <f t="shared" si="36"/>
        <v>4537.4080000000004</v>
      </c>
      <c r="K45" s="4">
        <f t="shared" si="36"/>
        <v>4608.884</v>
      </c>
      <c r="L45" s="4">
        <f t="shared" si="36"/>
        <v>4555.3230000000003</v>
      </c>
      <c r="M45" s="4">
        <f>SUM(M38:M44)+M37</f>
        <v>3704.5080000000003</v>
      </c>
      <c r="N45" s="38">
        <f t="shared" si="36"/>
        <v>0</v>
      </c>
      <c r="Q45" s="4">
        <f t="shared" ref="Q45:S45" si="37">SUM(Q38:Q44)+Q37</f>
        <v>0</v>
      </c>
      <c r="R45" s="4">
        <f t="shared" si="37"/>
        <v>0</v>
      </c>
      <c r="S45" s="4">
        <f t="shared" ref="S45:V45" si="38">SUM(S38:S44)+S37</f>
        <v>0</v>
      </c>
      <c r="T45" s="4">
        <f t="shared" si="38"/>
        <v>0</v>
      </c>
      <c r="U45" s="4">
        <f t="shared" si="38"/>
        <v>0</v>
      </c>
      <c r="V45" s="4">
        <f t="shared" si="38"/>
        <v>4537.4080000000004</v>
      </c>
    </row>
    <row r="46" spans="2:22" x14ac:dyDescent="0.2">
      <c r="J46" s="4"/>
      <c r="L46" s="4"/>
      <c r="V46" s="4"/>
    </row>
    <row r="47" spans="2:22" x14ac:dyDescent="0.2">
      <c r="B47" s="1" t="s">
        <v>52</v>
      </c>
      <c r="J47" s="4">
        <v>64.072999999999993</v>
      </c>
      <c r="K47" s="4">
        <v>80.313000000000002</v>
      </c>
      <c r="L47" s="4">
        <v>79.659000000000006</v>
      </c>
      <c r="M47" s="4">
        <v>71.408000000000001</v>
      </c>
      <c r="V47" s="4">
        <f t="shared" ref="V47:V51" si="39">J47</f>
        <v>64.072999999999993</v>
      </c>
    </row>
    <row r="48" spans="2:22" x14ac:dyDescent="0.2">
      <c r="B48" s="1" t="s">
        <v>53</v>
      </c>
      <c r="J48" s="4">
        <v>67.209999999999994</v>
      </c>
      <c r="K48" s="4">
        <v>87.698999999999998</v>
      </c>
      <c r="L48" s="4">
        <v>66.956000000000003</v>
      </c>
      <c r="M48" s="4">
        <v>68.777000000000001</v>
      </c>
      <c r="V48" s="4">
        <f t="shared" si="39"/>
        <v>67.209999999999994</v>
      </c>
    </row>
    <row r="49" spans="2:23" x14ac:dyDescent="0.2">
      <c r="B49" s="1" t="s">
        <v>54</v>
      </c>
      <c r="J49" s="4">
        <v>200.71199999999999</v>
      </c>
      <c r="K49" s="4">
        <v>193.70400000000001</v>
      </c>
      <c r="L49" s="4">
        <v>196.916</v>
      </c>
      <c r="M49" s="4">
        <v>218.62799999999999</v>
      </c>
      <c r="V49" s="4">
        <f t="shared" si="39"/>
        <v>200.71199999999999</v>
      </c>
    </row>
    <row r="50" spans="2:23" x14ac:dyDescent="0.2">
      <c r="B50" s="1" t="s">
        <v>55</v>
      </c>
      <c r="J50" s="4">
        <v>28.279</v>
      </c>
      <c r="K50" s="4">
        <v>28.038</v>
      </c>
      <c r="L50" s="4">
        <v>28.125</v>
      </c>
      <c r="M50" s="4">
        <v>23.91</v>
      </c>
      <c r="V50" s="4">
        <f t="shared" si="39"/>
        <v>28.279</v>
      </c>
    </row>
    <row r="51" spans="2:23" x14ac:dyDescent="0.2">
      <c r="B51" s="1" t="s">
        <v>65</v>
      </c>
      <c r="J51" s="4">
        <v>18.568000000000001</v>
      </c>
      <c r="K51" s="4">
        <v>18.617000000000001</v>
      </c>
      <c r="L51" s="4">
        <v>17.638999999999999</v>
      </c>
      <c r="M51" s="4">
        <v>44.701999999999998</v>
      </c>
      <c r="V51" s="4">
        <f t="shared" si="39"/>
        <v>18.568000000000001</v>
      </c>
    </row>
    <row r="52" spans="2:23" x14ac:dyDescent="0.2">
      <c r="B52" s="1" t="s">
        <v>56</v>
      </c>
      <c r="C52" s="1">
        <f t="shared" ref="C52:N52" si="40">SUM(C47:C51)</f>
        <v>0</v>
      </c>
      <c r="D52" s="1">
        <f t="shared" si="40"/>
        <v>0</v>
      </c>
      <c r="E52" s="1">
        <f t="shared" si="40"/>
        <v>0</v>
      </c>
      <c r="F52" s="1">
        <f t="shared" si="40"/>
        <v>0</v>
      </c>
      <c r="G52" s="1">
        <f t="shared" si="40"/>
        <v>0</v>
      </c>
      <c r="H52" s="1">
        <f t="shared" si="40"/>
        <v>0</v>
      </c>
      <c r="I52" s="1">
        <f t="shared" si="40"/>
        <v>0</v>
      </c>
      <c r="J52" s="4">
        <f t="shared" si="40"/>
        <v>378.84199999999998</v>
      </c>
      <c r="K52" s="4">
        <f t="shared" si="40"/>
        <v>408.37100000000004</v>
      </c>
      <c r="L52" s="4">
        <f t="shared" si="40"/>
        <v>389.29500000000002</v>
      </c>
      <c r="M52" s="4">
        <f>SUM(M47:M51)</f>
        <v>427.42500000000001</v>
      </c>
      <c r="N52" s="38">
        <f t="shared" si="40"/>
        <v>0</v>
      </c>
      <c r="Q52" s="1">
        <f t="shared" ref="Q52:S52" si="41">SUM(Q47:Q51)</f>
        <v>0</v>
      </c>
      <c r="R52" s="1">
        <f t="shared" si="41"/>
        <v>0</v>
      </c>
      <c r="S52" s="1">
        <f t="shared" ref="S52:V52" si="42">SUM(S47:S51)</f>
        <v>0</v>
      </c>
      <c r="T52" s="1">
        <f t="shared" si="42"/>
        <v>0</v>
      </c>
      <c r="U52" s="1">
        <f t="shared" si="42"/>
        <v>0</v>
      </c>
      <c r="V52" s="4">
        <f t="shared" si="42"/>
        <v>378.84199999999998</v>
      </c>
    </row>
    <row r="53" spans="2:23" x14ac:dyDescent="0.2">
      <c r="B53" s="1" t="s">
        <v>57</v>
      </c>
      <c r="J53" s="4">
        <v>80.768000000000001</v>
      </c>
      <c r="K53" s="4">
        <v>80.768000000000001</v>
      </c>
      <c r="L53" s="4">
        <v>80.768000000000001</v>
      </c>
      <c r="M53" s="4">
        <v>45.073999999999998</v>
      </c>
      <c r="V53" s="4">
        <f t="shared" ref="V53:V56" si="43">J53</f>
        <v>80.768000000000001</v>
      </c>
    </row>
    <row r="54" spans="2:23" x14ac:dyDescent="0.2">
      <c r="B54" s="1" t="s">
        <v>58</v>
      </c>
      <c r="J54" s="4">
        <v>87.072999999999993</v>
      </c>
      <c r="K54" s="4">
        <v>82.5</v>
      </c>
      <c r="L54" s="4">
        <v>77.936000000000007</v>
      </c>
      <c r="M54" s="4">
        <v>81.593000000000004</v>
      </c>
      <c r="V54" s="4">
        <f t="shared" si="43"/>
        <v>87.072999999999993</v>
      </c>
    </row>
    <row r="55" spans="2:23" x14ac:dyDescent="0.2">
      <c r="B55" s="1" t="s">
        <v>55</v>
      </c>
      <c r="J55" s="4">
        <v>89.917000000000002</v>
      </c>
      <c r="K55" s="4">
        <v>83.408000000000001</v>
      </c>
      <c r="L55" s="4">
        <v>83.522000000000006</v>
      </c>
      <c r="M55" s="4">
        <v>76.977000000000004</v>
      </c>
      <c r="V55" s="4">
        <f t="shared" si="43"/>
        <v>89.917000000000002</v>
      </c>
    </row>
    <row r="56" spans="2:23" x14ac:dyDescent="0.2">
      <c r="B56" s="1" t="s">
        <v>59</v>
      </c>
      <c r="J56" s="4">
        <v>1.9770000000000001</v>
      </c>
      <c r="K56" s="4">
        <v>1.8049999999999999</v>
      </c>
      <c r="L56" s="4">
        <v>1.6319999999999999</v>
      </c>
      <c r="M56" s="4">
        <v>1.4570000000000001</v>
      </c>
      <c r="V56" s="4">
        <f t="shared" si="43"/>
        <v>1.9770000000000001</v>
      </c>
    </row>
    <row r="57" spans="2:23" s="12" customFormat="1" x14ac:dyDescent="0.2">
      <c r="B57" s="12" t="s">
        <v>60</v>
      </c>
      <c r="J57" s="23">
        <v>2625.9589999999998</v>
      </c>
      <c r="K57" s="23">
        <v>2626.473</v>
      </c>
      <c r="L57" s="23">
        <v>2574.0610000000001</v>
      </c>
      <c r="M57" s="23">
        <v>1961.402</v>
      </c>
      <c r="N57" s="43"/>
      <c r="V57" s="23">
        <f t="shared" ref="V57:V58" si="44">J57</f>
        <v>2625.9589999999998</v>
      </c>
      <c r="W57" s="43"/>
    </row>
    <row r="58" spans="2:23" s="12" customFormat="1" x14ac:dyDescent="0.2">
      <c r="B58" s="12" t="s">
        <v>61</v>
      </c>
      <c r="J58" s="23">
        <v>297.85599999999999</v>
      </c>
      <c r="K58" s="23">
        <v>304.72399999999999</v>
      </c>
      <c r="L58" s="23">
        <v>278.36700000000002</v>
      </c>
      <c r="M58" s="23">
        <v>0</v>
      </c>
      <c r="N58" s="43"/>
      <c r="V58" s="23">
        <f t="shared" si="44"/>
        <v>297.85599999999999</v>
      </c>
      <c r="W58" s="43"/>
    </row>
    <row r="59" spans="2:23" x14ac:dyDescent="0.2">
      <c r="B59" s="1" t="s">
        <v>62</v>
      </c>
      <c r="C59" s="1">
        <f t="shared" ref="C59:N59" si="45">SUM(C52:C58)</f>
        <v>0</v>
      </c>
      <c r="D59" s="1">
        <f t="shared" si="45"/>
        <v>0</v>
      </c>
      <c r="E59" s="1">
        <f t="shared" si="45"/>
        <v>0</v>
      </c>
      <c r="F59" s="1">
        <f t="shared" si="45"/>
        <v>0</v>
      </c>
      <c r="G59" s="1">
        <f t="shared" si="45"/>
        <v>0</v>
      </c>
      <c r="H59" s="1">
        <f t="shared" si="45"/>
        <v>0</v>
      </c>
      <c r="I59" s="1">
        <f t="shared" si="45"/>
        <v>0</v>
      </c>
      <c r="J59" s="4">
        <f t="shared" si="45"/>
        <v>3562.3919999999998</v>
      </c>
      <c r="K59" s="4">
        <f t="shared" si="45"/>
        <v>3588.049</v>
      </c>
      <c r="L59" s="4">
        <f t="shared" si="45"/>
        <v>3485.5810000000001</v>
      </c>
      <c r="M59" s="4">
        <f>SUM(M52:M58)</f>
        <v>2593.9279999999999</v>
      </c>
      <c r="N59" s="38">
        <f t="shared" si="45"/>
        <v>0</v>
      </c>
      <c r="Q59" s="1">
        <f t="shared" ref="Q59:S59" si="46">SUM(Q52:Q58)</f>
        <v>0</v>
      </c>
      <c r="R59" s="1">
        <f t="shared" si="46"/>
        <v>0</v>
      </c>
      <c r="S59" s="1">
        <f t="shared" ref="S59:V59" si="47">SUM(S52:S58)</f>
        <v>0</v>
      </c>
      <c r="T59" s="1">
        <f t="shared" si="47"/>
        <v>0</v>
      </c>
      <c r="U59" s="1">
        <f t="shared" si="47"/>
        <v>0</v>
      </c>
      <c r="V59" s="4">
        <f t="shared" si="47"/>
        <v>3562.3919999999998</v>
      </c>
    </row>
    <row r="60" spans="2:23" x14ac:dyDescent="0.2">
      <c r="J60" s="4"/>
      <c r="K60" s="4"/>
      <c r="L60" s="4"/>
      <c r="M60" s="4"/>
    </row>
    <row r="61" spans="2:23" x14ac:dyDescent="0.2">
      <c r="B61" s="1" t="s">
        <v>63</v>
      </c>
      <c r="J61" s="4">
        <v>975.01599999999996</v>
      </c>
      <c r="K61" s="4">
        <v>1020.835</v>
      </c>
      <c r="L61" s="4">
        <v>1069.8320000000001</v>
      </c>
      <c r="M61" s="4">
        <v>1110.58</v>
      </c>
      <c r="V61" s="4">
        <v>1110.58</v>
      </c>
    </row>
    <row r="62" spans="2:23" x14ac:dyDescent="0.2">
      <c r="B62" s="1" t="s">
        <v>64</v>
      </c>
      <c r="J62" s="4">
        <f>J61+J59</f>
        <v>4537.4079999999994</v>
      </c>
      <c r="K62" s="4">
        <f>K61+K59</f>
        <v>4608.884</v>
      </c>
      <c r="L62" s="4">
        <f>L61+L59</f>
        <v>4555.4130000000005</v>
      </c>
      <c r="M62" s="4">
        <f>M61+M59</f>
        <v>3704.5079999999998</v>
      </c>
      <c r="V62" s="4">
        <f>V61+V59</f>
        <v>4672.9719999999998</v>
      </c>
    </row>
    <row r="64" spans="2:23" x14ac:dyDescent="0.2">
      <c r="B64" s="1" t="s">
        <v>67</v>
      </c>
      <c r="J64" s="4">
        <f>J45-J59</f>
        <v>975.01600000000053</v>
      </c>
      <c r="K64" s="4">
        <f t="shared" ref="K64" si="48">K45-K59</f>
        <v>1020.835</v>
      </c>
      <c r="L64" s="4">
        <f t="shared" ref="L64" si="49">L45-L59</f>
        <v>1069.7420000000002</v>
      </c>
      <c r="M64" s="4">
        <f>M45-M59</f>
        <v>1110.5800000000004</v>
      </c>
      <c r="V64" s="4">
        <f>V45-V59</f>
        <v>975.01600000000053</v>
      </c>
    </row>
    <row r="65" spans="2:23" x14ac:dyDescent="0.2">
      <c r="B65" s="1" t="s">
        <v>68</v>
      </c>
      <c r="J65" s="1">
        <f t="shared" ref="J65:K65" si="50">J64/J20</f>
        <v>8.0992158426368999</v>
      </c>
      <c r="K65" s="1">
        <f t="shared" si="50"/>
        <v>8.4566413174942436</v>
      </c>
      <c r="L65" s="1">
        <f t="shared" ref="L65" si="51">L64/L20</f>
        <v>8.8321568044650327</v>
      </c>
      <c r="M65" s="1">
        <f>M64/M20</f>
        <v>9.1666804232629584</v>
      </c>
      <c r="V65" s="1">
        <f>V64/V20</f>
        <v>8.0992158426368999</v>
      </c>
    </row>
    <row r="67" spans="2:23" s="31" customFormat="1" x14ac:dyDescent="0.2">
      <c r="B67" s="31" t="s">
        <v>4</v>
      </c>
      <c r="J67" s="32">
        <f>+J32</f>
        <v>506.49099999999999</v>
      </c>
      <c r="K67" s="32">
        <f t="shared" ref="K67" si="52">+K32</f>
        <v>598.50800000000004</v>
      </c>
      <c r="L67" s="32">
        <f t="shared" ref="L67" si="53">+L32</f>
        <v>587.86099999999999</v>
      </c>
      <c r="M67" s="32">
        <f>+M32</f>
        <v>91.644999999999996</v>
      </c>
      <c r="N67" s="38"/>
      <c r="V67" s="32">
        <f>+V32</f>
        <v>506.49099999999999</v>
      </c>
      <c r="W67" s="38"/>
    </row>
    <row r="68" spans="2:23" s="31" customFormat="1" x14ac:dyDescent="0.2">
      <c r="B68" s="31" t="s">
        <v>5</v>
      </c>
      <c r="J68" s="32">
        <f>J57+J58</f>
        <v>2923.8149999999996</v>
      </c>
      <c r="K68" s="32">
        <f t="shared" ref="K68" si="54">K57+K58</f>
        <v>2931.1970000000001</v>
      </c>
      <c r="L68" s="32">
        <f t="shared" ref="L68" si="55">L57+L58</f>
        <v>2852.4280000000003</v>
      </c>
      <c r="M68" s="32">
        <f>M57+M58</f>
        <v>1961.402</v>
      </c>
      <c r="N68" s="38"/>
      <c r="V68" s="32">
        <f>V57+V58</f>
        <v>2923.8149999999996</v>
      </c>
      <c r="W68" s="38"/>
    </row>
    <row r="69" spans="2:23" x14ac:dyDescent="0.2">
      <c r="B69" s="1" t="s">
        <v>6</v>
      </c>
      <c r="J69" s="4">
        <f>J67-J68</f>
        <v>-2417.3239999999996</v>
      </c>
      <c r="K69" s="4">
        <f t="shared" ref="K69" si="56">K67-K68</f>
        <v>-2332.6890000000003</v>
      </c>
      <c r="L69" s="4">
        <f t="shared" ref="L69" si="57">L67-L68</f>
        <v>-2264.5670000000005</v>
      </c>
      <c r="M69" s="4">
        <f>M67-M68</f>
        <v>-1869.7570000000001</v>
      </c>
      <c r="V69" s="4">
        <f>V67-V68</f>
        <v>-2417.3239999999996</v>
      </c>
    </row>
    <row r="71" spans="2:23" s="29" customFormat="1" x14ac:dyDescent="0.2">
      <c r="B71" s="29" t="s">
        <v>90</v>
      </c>
      <c r="J71" s="29">
        <v>7.75</v>
      </c>
      <c r="K71" s="29">
        <v>6.61</v>
      </c>
      <c r="L71" s="29">
        <v>6.6</v>
      </c>
      <c r="M71" s="29">
        <v>7.7</v>
      </c>
      <c r="N71" s="47"/>
      <c r="V71" s="29">
        <v>7.75</v>
      </c>
      <c r="W71" s="47"/>
    </row>
    <row r="72" spans="2:23" s="4" customFormat="1" x14ac:dyDescent="0.2">
      <c r="B72" s="4" t="s">
        <v>3</v>
      </c>
      <c r="J72" s="4">
        <f t="shared" ref="J72:L72" si="58">J71*J20</f>
        <v>932.976</v>
      </c>
      <c r="K72" s="4">
        <f t="shared" si="58"/>
        <v>797.91953999999998</v>
      </c>
      <c r="L72" s="4">
        <f t="shared" si="58"/>
        <v>799.3854</v>
      </c>
      <c r="M72" s="4">
        <f>M71*M20</f>
        <v>932.88580000000002</v>
      </c>
      <c r="N72" s="45"/>
      <c r="V72" s="4">
        <f>V71*V20</f>
        <v>932.976</v>
      </c>
      <c r="W72" s="45"/>
    </row>
    <row r="73" spans="2:23" s="4" customFormat="1" x14ac:dyDescent="0.2">
      <c r="B73" s="4" t="s">
        <v>7</v>
      </c>
      <c r="J73" s="4">
        <f t="shared" ref="J73:L73" si="59">J72-J69</f>
        <v>3350.2999999999997</v>
      </c>
      <c r="K73" s="4">
        <f t="shared" si="59"/>
        <v>3130.6085400000002</v>
      </c>
      <c r="L73" s="4">
        <f t="shared" si="59"/>
        <v>3063.9524000000006</v>
      </c>
      <c r="M73" s="4">
        <f>M72-M69</f>
        <v>2802.6428000000001</v>
      </c>
      <c r="N73" s="45"/>
      <c r="V73" s="4">
        <f>V72-V69</f>
        <v>3350.2999999999997</v>
      </c>
      <c r="W73" s="45"/>
    </row>
    <row r="75" spans="2:23" x14ac:dyDescent="0.2">
      <c r="B75" s="1" t="s">
        <v>92</v>
      </c>
      <c r="J75" s="35">
        <f t="shared" ref="J75:L75" si="60">J71/J65</f>
        <v>0.95688275884703378</v>
      </c>
      <c r="K75" s="35">
        <f t="shared" si="60"/>
        <v>0.78163419161764625</v>
      </c>
      <c r="L75" s="35">
        <f t="shared" si="60"/>
        <v>0.74726934157955816</v>
      </c>
      <c r="M75" s="35">
        <f>M71/M65</f>
        <v>0.83999873939743164</v>
      </c>
      <c r="V75" s="35">
        <f>V71/V65</f>
        <v>0.95688275884703378</v>
      </c>
    </row>
    <row r="76" spans="2:23" x14ac:dyDescent="0.2">
      <c r="B76" s="1" t="s">
        <v>93</v>
      </c>
      <c r="J76" s="35">
        <f t="shared" ref="J76:L76" si="61">J72/SUM(G4:J4)</f>
        <v>0.41344103461295073</v>
      </c>
      <c r="K76" s="35">
        <f t="shared" si="61"/>
        <v>0.35758375384284447</v>
      </c>
      <c r="L76" s="35">
        <f t="shared" si="61"/>
        <v>0.35462390281512812</v>
      </c>
      <c r="M76" s="35">
        <f>M72/SUM(J4:M4)</f>
        <v>0.40322106307789124</v>
      </c>
      <c r="V76" s="35">
        <f>V72/V4</f>
        <v>0.41344103461295073</v>
      </c>
    </row>
    <row r="77" spans="2:23" x14ac:dyDescent="0.2">
      <c r="B77" s="1" t="s">
        <v>94</v>
      </c>
      <c r="J77" s="35">
        <f t="shared" ref="J77:L77" si="62">J73/SUM(G4:J4)</f>
        <v>1.4846593034159172</v>
      </c>
      <c r="K77" s="35">
        <f t="shared" si="62"/>
        <v>1.4029669627412142</v>
      </c>
      <c r="L77" s="35">
        <f t="shared" si="62"/>
        <v>1.3592326781647235</v>
      </c>
      <c r="M77" s="35">
        <f>M73/SUM(J4:M4)</f>
        <v>1.2113857979654077</v>
      </c>
      <c r="V77" s="35">
        <f>V73/V4</f>
        <v>1.4846593034159172</v>
      </c>
    </row>
    <row r="78" spans="2:23" x14ac:dyDescent="0.2">
      <c r="B78" s="1" t="s">
        <v>95</v>
      </c>
      <c r="J78" s="35">
        <f t="shared" ref="J78:L78" si="63">J71/SUM(G19:J19)</f>
        <v>12.036038427539941</v>
      </c>
      <c r="K78" s="35">
        <f t="shared" si="63"/>
        <v>12.254705920751697</v>
      </c>
      <c r="L78" s="35">
        <f t="shared" si="63"/>
        <v>10.401043299477836</v>
      </c>
      <c r="M78" s="35">
        <f>M71/SUM(J19:M19)</f>
        <v>11.613987314778132</v>
      </c>
      <c r="V78" s="35">
        <f>V71/V19</f>
        <v>12.051150895140667</v>
      </c>
    </row>
    <row r="79" spans="2:23" x14ac:dyDescent="0.2">
      <c r="B79" s="1" t="s">
        <v>96</v>
      </c>
      <c r="J79" s="35">
        <f t="shared" ref="J79:L79" si="64">J73/SUM(G18:J18)</f>
        <v>43.275465653982245</v>
      </c>
      <c r="K79" s="35">
        <f t="shared" si="64"/>
        <v>48.094396325257655</v>
      </c>
      <c r="L79" s="35">
        <f t="shared" si="64"/>
        <v>39.863551085726115</v>
      </c>
      <c r="M79" s="35">
        <f>M73/SUM(J18:M18)</f>
        <v>34.820629162111075</v>
      </c>
      <c r="V79" s="35">
        <f>V73/V18</f>
        <v>43.275465653982288</v>
      </c>
    </row>
    <row r="80" spans="2:23" x14ac:dyDescent="0.2">
      <c r="B80" s="1" t="s">
        <v>97</v>
      </c>
    </row>
    <row r="82" spans="2:23" x14ac:dyDescent="0.2">
      <c r="B82" s="22" t="s">
        <v>99</v>
      </c>
    </row>
    <row r="84" spans="2:23" x14ac:dyDescent="0.2">
      <c r="B84" s="1" t="s">
        <v>124</v>
      </c>
      <c r="K84" s="4">
        <v>38.179000000000002</v>
      </c>
      <c r="L84" s="4">
        <f>91.852-K84</f>
        <v>53.673000000000002</v>
      </c>
      <c r="M84" s="4">
        <f>130.164-SUM(K84:L84)</f>
        <v>38.311999999999983</v>
      </c>
    </row>
    <row r="85" spans="2:23" x14ac:dyDescent="0.2">
      <c r="K85" s="4"/>
      <c r="L85" s="4"/>
    </row>
    <row r="86" spans="2:23" x14ac:dyDescent="0.2">
      <c r="B86" s="1" t="s">
        <v>125</v>
      </c>
      <c r="K86" s="4">
        <v>0</v>
      </c>
      <c r="L86" s="4">
        <v>0</v>
      </c>
      <c r="M86" s="4">
        <v>0</v>
      </c>
    </row>
    <row r="87" spans="2:23" x14ac:dyDescent="0.2">
      <c r="B87" s="1" t="s">
        <v>126</v>
      </c>
      <c r="K87" s="4">
        <v>4.1000000000000002E-2</v>
      </c>
      <c r="L87" s="4">
        <v>3.6999999999999998E-2</v>
      </c>
      <c r="M87" s="4">
        <v>1.647</v>
      </c>
    </row>
    <row r="88" spans="2:23" x14ac:dyDescent="0.2">
      <c r="B88" s="1" t="s">
        <v>127</v>
      </c>
      <c r="K88" s="4">
        <v>0</v>
      </c>
      <c r="L88" s="4">
        <v>0</v>
      </c>
      <c r="M88" s="4">
        <v>0</v>
      </c>
    </row>
    <row r="89" spans="2:23" x14ac:dyDescent="0.2">
      <c r="B89" s="1" t="s">
        <v>132</v>
      </c>
      <c r="K89" s="4">
        <v>0</v>
      </c>
      <c r="L89" s="4">
        <v>15.811999999999999</v>
      </c>
      <c r="M89" s="4">
        <v>0</v>
      </c>
    </row>
    <row r="90" spans="2:23" x14ac:dyDescent="0.2">
      <c r="B90" s="1" t="s">
        <v>128</v>
      </c>
      <c r="K90" s="4">
        <v>-4.109</v>
      </c>
      <c r="L90" s="4">
        <f>-0.895-(K90)</f>
        <v>3.214</v>
      </c>
      <c r="M90" s="4">
        <f>-5.544-SUM(K90:L90)</f>
        <v>-4.6489999999999991</v>
      </c>
    </row>
    <row r="91" spans="2:23" s="12" customFormat="1" x14ac:dyDescent="0.2">
      <c r="B91" s="12" t="s">
        <v>129</v>
      </c>
      <c r="I91" s="50"/>
      <c r="K91" s="23">
        <v>-13.773</v>
      </c>
      <c r="L91" s="23">
        <f>-36.06-K91</f>
        <v>-22.287000000000003</v>
      </c>
      <c r="M91" s="23">
        <f>-72.233-SUM(K91:L91)</f>
        <v>-36.173000000000002</v>
      </c>
      <c r="N91" s="43"/>
      <c r="W91" s="43"/>
    </row>
    <row r="92" spans="2:23" x14ac:dyDescent="0.2">
      <c r="B92" s="1" t="s">
        <v>130</v>
      </c>
      <c r="I92" s="4"/>
      <c r="K92" s="4">
        <f>SUM(K86:K91)</f>
        <v>-17.841000000000001</v>
      </c>
      <c r="L92" s="4">
        <f>SUM(L86:L91)</f>
        <v>-3.2240000000000038</v>
      </c>
      <c r="M92" s="4">
        <f>SUM(M86:M91)</f>
        <v>-39.174999999999997</v>
      </c>
    </row>
    <row r="93" spans="2:23" x14ac:dyDescent="0.2">
      <c r="K93" s="4"/>
    </row>
    <row r="94" spans="2:23" x14ac:dyDescent="0.2">
      <c r="B94" s="1" t="s">
        <v>131</v>
      </c>
      <c r="K94" s="4">
        <f>K84-(K91)</f>
        <v>51.951999999999998</v>
      </c>
      <c r="L94" s="4">
        <f>L84-(L91)</f>
        <v>75.960000000000008</v>
      </c>
      <c r="M94" s="4">
        <f>M84-(M91)</f>
        <v>74.484999999999985</v>
      </c>
    </row>
    <row r="95" spans="2:23" x14ac:dyDescent="0.2">
      <c r="B95" s="1" t="s">
        <v>133</v>
      </c>
    </row>
  </sheetData>
  <hyperlinks>
    <hyperlink ref="M1" r:id="rId1" xr:uid="{5301AE79-155C-3744-B394-4365D45C3277}"/>
    <hyperlink ref="L1" r:id="rId2" xr:uid="{34F33EA4-D4D7-4828-A519-50670A6B56E3}"/>
    <hyperlink ref="K1" r:id="rId3" xr:uid="{D5F8DE4B-2DC9-44DD-979A-12E46C2F4C2E}"/>
    <hyperlink ref="V1" r:id="rId4" xr:uid="{A21AFD3C-6C1E-4680-B500-57B3A4AFA330}"/>
    <hyperlink ref="S1" r:id="rId5" xr:uid="{E1B3A1EF-D1AE-4EF6-89B9-14B01909731B}"/>
  </hyperlinks>
  <pageMargins left="0.7" right="0.7" top="0.75" bottom="0.75" header="0.3" footer="0.3"/>
  <pageSetup paperSize="256" orientation="portrait" horizontalDpi="203" verticalDpi="203" r:id="rId6"/>
  <ignoredErrors>
    <ignoredError sqref="J8 J13:J18 V37:V59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2022-06-20T12:49:59Z</dcterms:created>
  <dcterms:modified xsi:type="dcterms:W3CDTF">2023-02-13T12:29:48Z</dcterms:modified>
</cp:coreProperties>
</file>