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62320D8-811E-419D-A298-0E7CF1DBED01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26" i="1"/>
  <c r="C28" i="1"/>
  <c r="C29" i="1"/>
  <c r="C30" i="1"/>
  <c r="D33" i="1"/>
  <c r="C11" i="1"/>
  <c r="C10" i="1"/>
  <c r="C9" i="1"/>
  <c r="C7" i="1"/>
  <c r="AB46" i="3"/>
  <c r="AB44" i="3"/>
  <c r="AB43" i="3"/>
  <c r="AB42" i="3"/>
  <c r="AB41" i="3"/>
  <c r="AB39" i="3"/>
  <c r="AB38" i="3"/>
  <c r="AB37" i="3"/>
  <c r="AB36" i="3"/>
  <c r="AB34" i="3"/>
  <c r="AB33" i="3"/>
  <c r="AB32" i="3"/>
  <c r="AB31" i="3"/>
  <c r="AB7" i="3"/>
  <c r="AB6" i="3"/>
  <c r="AB3" i="3" s="1"/>
  <c r="AB17" i="3"/>
  <c r="AB16" i="3"/>
  <c r="AB15" i="3"/>
  <c r="AB13" i="3"/>
  <c r="AB19" i="3"/>
  <c r="AB18" i="3"/>
  <c r="AB14" i="3"/>
  <c r="AB21" i="3"/>
  <c r="AC60" i="2"/>
  <c r="AC59" i="2"/>
  <c r="AC147" i="2"/>
  <c r="AC146" i="2"/>
  <c r="AC149" i="2" s="1"/>
  <c r="AC142" i="2"/>
  <c r="AC141" i="2"/>
  <c r="AC140" i="2"/>
  <c r="AC137" i="2"/>
  <c r="AC138" i="2" s="1"/>
  <c r="AC134" i="2"/>
  <c r="AC132" i="2"/>
  <c r="AC131" i="2"/>
  <c r="AC128" i="2"/>
  <c r="AC127" i="2"/>
  <c r="AC129" i="2" s="1"/>
  <c r="AC124" i="2"/>
  <c r="AC125" i="2" s="1"/>
  <c r="AC122" i="2"/>
  <c r="AC119" i="2"/>
  <c r="AC106" i="2"/>
  <c r="AC89" i="2"/>
  <c r="AC75" i="2"/>
  <c r="AB12" i="3" l="1"/>
  <c r="AC150" i="2"/>
  <c r="AC148" i="2"/>
  <c r="AC52" i="2"/>
  <c r="AC44" i="2"/>
  <c r="AC144" i="2"/>
  <c r="AC39" i="2"/>
  <c r="AC38" i="2"/>
  <c r="AC37" i="2"/>
  <c r="AC36" i="2"/>
  <c r="AC32" i="2"/>
  <c r="AC31" i="2"/>
  <c r="AC30" i="2"/>
  <c r="AC26" i="2"/>
  <c r="AC21" i="2"/>
  <c r="AC23" i="2" s="1"/>
  <c r="AC19" i="2"/>
  <c r="AC16" i="2"/>
  <c r="AC11" i="2"/>
  <c r="AC18" i="2" s="1"/>
  <c r="AC9" i="2"/>
  <c r="AC43" i="2" l="1"/>
  <c r="AA17" i="3"/>
  <c r="AA21" i="3"/>
  <c r="AB144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AB138" i="2" l="1"/>
  <c r="Z16" i="3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9" i="3"/>
  <c r="AA38" i="3"/>
  <c r="Z23" i="2"/>
  <c r="Z38" i="2" s="1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A36" i="3" l="1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<sst xmlns="http://schemas.openxmlformats.org/spreadsheetml/2006/main" count="594" uniqueCount="330">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</sst>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2"/>
  <sheetViews>
    <sheetView tabSelected="1" topLeftCell="A16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3" t="s">
        <v>2</v>
      </c>
      <c r="C5" s="124"/>
      <c r="D5" s="125"/>
      <c r="G5" s="123" t="s">
        <v>10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5"/>
      <c r="T5" s="123" t="s">
        <v>133</v>
      </c>
      <c r="U5" s="124"/>
      <c r="V5" s="124"/>
      <c r="W5" s="125"/>
      <c r="Y5" s="123" t="s">
        <v>313</v>
      </c>
      <c r="Z5" s="124"/>
      <c r="AA5" s="125"/>
    </row>
    <row r="6" spans="1:29">
      <c r="B6" s="4" t="s">
        <v>3</v>
      </c>
      <c r="C6" s="3">
        <v>39.299999999999997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Model'!AC27/4</f>
        <v>183.65</v>
      </c>
      <c r="D7" s="17" t="s">
        <v>328</v>
      </c>
      <c r="G7" s="8">
        <v>45597</v>
      </c>
      <c r="H7" s="92" t="s">
        <v>329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7217.4449999999997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Model'!AC127</f>
        <v>1772</v>
      </c>
      <c r="D9" s="17" t="s">
        <v>328</v>
      </c>
      <c r="G9" s="8">
        <v>45597</v>
      </c>
      <c r="H9" s="92" t="s">
        <v>326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Model'!AC128</f>
        <v>2675.3</v>
      </c>
      <c r="D10" s="17" t="s">
        <v>328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Model'!AC129</f>
        <v>-903.30000000000018</v>
      </c>
      <c r="D11" s="17" t="s">
        <v>328</v>
      </c>
      <c r="G11" s="8">
        <v>45566</v>
      </c>
      <c r="H11" s="92" t="s">
        <v>325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8120.7449999999999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3" t="s">
        <v>215</v>
      </c>
      <c r="Z12" s="124"/>
      <c r="AA12" s="124"/>
      <c r="AB12" s="124"/>
      <c r="AC12" s="125"/>
    </row>
    <row r="13" spans="1:29">
      <c r="G13" s="8">
        <v>45566</v>
      </c>
      <c r="H13" s="92" t="s">
        <v>322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3" t="s">
        <v>216</v>
      </c>
      <c r="AA13" s="133"/>
      <c r="AB13" s="133" t="s">
        <v>217</v>
      </c>
      <c r="AC13" s="134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6" t="s">
        <v>227</v>
      </c>
      <c r="AA14" s="116"/>
      <c r="AB14" s="116" t="s">
        <v>228</v>
      </c>
      <c r="AC14" s="117"/>
    </row>
    <row r="15" spans="1:29">
      <c r="B15" s="123" t="s">
        <v>14</v>
      </c>
      <c r="C15" s="124"/>
      <c r="D15" s="125"/>
      <c r="G15" s="8">
        <v>45536</v>
      </c>
      <c r="H15" s="92" t="s">
        <v>321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6" t="s">
        <v>223</v>
      </c>
      <c r="AA15" s="116"/>
      <c r="AB15" s="116" t="s">
        <v>229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6" t="s">
        <v>224</v>
      </c>
      <c r="AA16" s="116"/>
      <c r="AB16" s="116" t="s">
        <v>230</v>
      </c>
      <c r="AC16" s="117"/>
    </row>
    <row r="17" spans="2:29">
      <c r="B17" s="15" t="s">
        <v>17</v>
      </c>
      <c r="C17" s="116" t="s">
        <v>19</v>
      </c>
      <c r="D17" s="117"/>
      <c r="E17" s="3" t="s">
        <v>301</v>
      </c>
      <c r="G17" s="8">
        <v>45536</v>
      </c>
      <c r="H17" s="92" t="s">
        <v>320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6" t="s">
        <v>225</v>
      </c>
      <c r="AA17" s="116"/>
      <c r="AB17" s="116" t="s">
        <v>231</v>
      </c>
      <c r="AC17" s="117"/>
    </row>
    <row r="18" spans="2:29">
      <c r="B18" s="15"/>
      <c r="C18" s="116"/>
      <c r="D18" s="117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6" t="s">
        <v>226</v>
      </c>
      <c r="AA18" s="116"/>
      <c r="AB18" s="116" t="s">
        <v>232</v>
      </c>
      <c r="AC18" s="117"/>
    </row>
    <row r="19" spans="2:29">
      <c r="B19" s="16"/>
      <c r="C19" s="121"/>
      <c r="D19" s="122"/>
      <c r="G19" s="8">
        <v>45505</v>
      </c>
      <c r="H19" s="92" t="s">
        <v>319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6" t="s">
        <v>234</v>
      </c>
      <c r="AA19" s="116"/>
      <c r="AB19" s="116" t="s">
        <v>235</v>
      </c>
      <c r="AC19" s="117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6" t="s">
        <v>240</v>
      </c>
      <c r="AA20" s="116"/>
      <c r="AB20" s="116" t="s">
        <v>241</v>
      </c>
      <c r="AC20" s="117"/>
    </row>
    <row r="21" spans="2:29">
      <c r="G21" s="8">
        <v>45505</v>
      </c>
      <c r="H21" s="92" t="s">
        <v>318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3" t="s">
        <v>20</v>
      </c>
      <c r="C22" s="124"/>
      <c r="D22" s="125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8">
        <v>45474</v>
      </c>
      <c r="H23" s="92" t="s">
        <v>310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8">
        <v>45474</v>
      </c>
      <c r="H25" s="92" t="s">
        <v>311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18" t="s">
        <v>286</v>
      </c>
      <c r="Z25" s="119"/>
      <c r="AA25" s="119"/>
      <c r="AB25" s="119"/>
      <c r="AC25" s="120"/>
    </row>
    <row r="26" spans="2:29">
      <c r="B26" s="9" t="s">
        <v>171</v>
      </c>
      <c r="C26" s="144">
        <f>'Financial Model'!AC70</f>
        <v>3340.4</v>
      </c>
      <c r="D26" s="145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6"/>
      <c r="D27" s="117"/>
      <c r="G27" s="8">
        <v>45413</v>
      </c>
      <c r="H27" s="92" t="s">
        <v>309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9">
        <f>+'Order &amp; Backlog'!$AB$3</f>
        <v>2017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9">
        <f>'Order &amp; Backlog'!AB21</f>
        <v>374</v>
      </c>
      <c r="D29" s="117"/>
      <c r="G29" s="8">
        <v>45413</v>
      </c>
      <c r="H29" s="92" t="s">
        <v>308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6">
        <f>'Financial Model'!AC43</f>
        <v>59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40">
        <v>36708</v>
      </c>
      <c r="D31" s="141"/>
      <c r="G31" s="8">
        <v>44986</v>
      </c>
      <c r="H31" s="92" t="s">
        <v>305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328</v>
      </c>
      <c r="D33" s="29">
        <f>+'Financial Model'!AC3</f>
        <v>45604</v>
      </c>
      <c r="G33" s="8">
        <v>44986</v>
      </c>
      <c r="H33" s="92" t="s">
        <v>304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1" t="s">
        <v>31</v>
      </c>
      <c r="D34" s="132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44986</v>
      </c>
      <c r="H35" s="92" t="s">
        <v>303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3" t="s">
        <v>25</v>
      </c>
      <c r="C37" s="124"/>
      <c r="D37" s="125"/>
      <c r="G37" s="8">
        <v>45261</v>
      </c>
      <c r="H37" s="92" t="s">
        <v>294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3" t="s">
        <v>158</v>
      </c>
      <c r="U37" s="124"/>
      <c r="V37" s="124"/>
      <c r="W37" s="125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42">
        <f>C6/'Financial Model'!AC125</f>
        <v>8.4520830283689996</v>
      </c>
      <c r="D38" s="143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42">
        <f>+C8/SUM('Financial Model'!Z4:AC4)</f>
        <v>3.6475691110324959</v>
      </c>
      <c r="D39" s="143"/>
      <c r="G39" s="8">
        <v>45231</v>
      </c>
      <c r="H39" s="92" t="s">
        <v>295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9">
        <f>C6/SUM('Financial Model'!Z26:AC26)</f>
        <v>57.797357357357356</v>
      </c>
      <c r="D40" s="130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45200</v>
      </c>
      <c r="H41" s="92" t="s">
        <v>296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3" t="s">
        <v>243</v>
      </c>
      <c r="C43" s="124"/>
      <c r="D43" s="125"/>
      <c r="G43" s="8">
        <v>45170</v>
      </c>
      <c r="H43" s="92" t="s">
        <v>270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5" t="s">
        <v>244</v>
      </c>
      <c r="C44" s="136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5" t="s">
        <v>245</v>
      </c>
      <c r="C45" s="136"/>
      <c r="D45" s="48" t="s">
        <v>31</v>
      </c>
      <c r="G45" s="8">
        <v>45017</v>
      </c>
      <c r="H45" s="92" t="s">
        <v>269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5"/>
      <c r="C46" s="136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5"/>
      <c r="C47" s="136"/>
      <c r="D47" s="83" t="s">
        <v>31</v>
      </c>
      <c r="G47" s="8">
        <v>45017</v>
      </c>
      <c r="H47" s="98" t="s">
        <v>266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37"/>
      <c r="C48" s="138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44927</v>
      </c>
      <c r="H49" s="94" t="s">
        <v>263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44896</v>
      </c>
      <c r="H51" s="92" t="s">
        <v>261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44866</v>
      </c>
      <c r="H53" s="6" t="s">
        <v>259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44835</v>
      </c>
      <c r="H55" s="6" t="s">
        <v>250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8">
        <v>44835</v>
      </c>
      <c r="H58" s="6" t="s">
        <v>11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7" t="s">
        <v>12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9"/>
      <c r="H60" s="7" t="s">
        <v>13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26" t="s">
        <v>293</v>
      </c>
      <c r="Z61" s="127"/>
      <c r="AA61" s="127"/>
      <c r="AB61" s="127"/>
      <c r="AC61" s="128"/>
    </row>
    <row r="62" spans="7:29">
      <c r="G62" s="8">
        <v>44835</v>
      </c>
      <c r="H62" s="6" t="s">
        <v>29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30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8">
        <v>44805</v>
      </c>
      <c r="H66" s="6" t="s">
        <v>187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44805</v>
      </c>
      <c r="H69" s="6" t="s">
        <v>195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7" t="s">
        <v>192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193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7" t="s">
        <v>191</v>
      </c>
      <c r="I72" s="34"/>
      <c r="J72" s="34"/>
      <c r="K72" s="34"/>
      <c r="L72" s="34"/>
      <c r="M72" s="34"/>
      <c r="N72" s="34"/>
      <c r="O72" s="34"/>
      <c r="P72" s="34"/>
      <c r="Q72" s="34"/>
      <c r="R72" s="48" t="s">
        <v>194</v>
      </c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44743</v>
      </c>
      <c r="H75" s="6" t="s">
        <v>196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197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47" t="s">
        <v>198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44743</v>
      </c>
      <c r="H79" s="6" t="s">
        <v>237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7" t="s">
        <v>238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8">
        <v>44682</v>
      </c>
      <c r="H82" s="34" t="s">
        <v>246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7" t="s">
        <v>247</v>
      </c>
      <c r="I83" s="34"/>
      <c r="J83" s="34"/>
      <c r="K83" s="34"/>
      <c r="L83" s="34"/>
      <c r="M83" s="34"/>
      <c r="N83" s="34"/>
      <c r="O83" s="34"/>
      <c r="P83" s="34"/>
      <c r="Q83" s="34"/>
      <c r="R83" s="48" t="s">
        <v>31</v>
      </c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43922</v>
      </c>
      <c r="H85" s="34" t="s">
        <v>164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7" t="s">
        <v>169</v>
      </c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48" t="s">
        <v>31</v>
      </c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">
        <v>43770</v>
      </c>
      <c r="H89" s="34" t="s">
        <v>167</v>
      </c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47" t="s">
        <v>168</v>
      </c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9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8">
        <v>43739</v>
      </c>
      <c r="H92" s="6" t="s">
        <v>242</v>
      </c>
      <c r="I92" s="34"/>
      <c r="J92" s="34"/>
      <c r="K92" s="34"/>
      <c r="L92" s="34"/>
      <c r="M92" s="34"/>
      <c r="N92" s="34"/>
      <c r="O92" s="34"/>
      <c r="P92" s="34"/>
      <c r="Q92" s="34" t="s">
        <v>179</v>
      </c>
      <c r="R92" s="35"/>
    </row>
    <row r="93" spans="7:18">
      <c r="G93" s="9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9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8">
        <v>43586</v>
      </c>
      <c r="H96" s="34" t="s">
        <v>166</v>
      </c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9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8">
        <v>43282</v>
      </c>
      <c r="H98" s="34" t="s">
        <v>162</v>
      </c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7" t="s">
        <v>163</v>
      </c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9"/>
      <c r="H100" s="7" t="s">
        <v>165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5"/>
    </row>
    <row r="101" spans="7:18">
      <c r="G101" s="9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5"/>
    </row>
    <row r="102" spans="7:18">
      <c r="G102" s="85">
        <v>42552</v>
      </c>
      <c r="H102" s="51" t="s">
        <v>236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3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3" r:id="rId8" xr:uid="{645C2C50-2541-448D-9073-14E40D1DE986}"/>
    <hyperlink ref="H58" r:id="rId9" xr:uid="{0E1650AB-35EE-47C2-9B99-22A7BB88CC6F}"/>
    <hyperlink ref="H62" r:id="rId10" xr:uid="{64917365-2EAB-45F1-BFD3-E1E4F5A494BB}"/>
    <hyperlink ref="R87" r:id="rId11" location="Boeing_Embraer_-_Defense" xr:uid="{CC492105-8696-4FC6-849B-A673602C4CB8}"/>
    <hyperlink ref="H66" r:id="rId12" xr:uid="{E8520AE3-EE90-4F9C-82B7-9DC79CF177B0}"/>
    <hyperlink ref="H69" r:id="rId13" display="L3Harris &amp; Embraer to develop new agile tanker varient of KC-390 to support USAF Operational Imperatives" xr:uid="{51AAA14D-A039-4171-BC04-5AAB9894A308}"/>
    <hyperlink ref="R72" r:id="rId14" display="Link" xr:uid="{AE9B4E32-1957-4A54-8E54-10A62C8F25C4}"/>
    <hyperlink ref="H75" r:id="rId15" display="Reuters report $ERJ expected to select engine in Q4 for potential turboprop launch in 2023" xr:uid="{3D245668-921A-4888-B384-DE0FC15EB559}"/>
    <hyperlink ref="H79" r:id="rId16" xr:uid="{3143C16C-C4FE-C24A-A852-CE844A7EAA94}"/>
    <hyperlink ref="H92" r:id="rId17" display="Airbus confirmed there are no plans to certify the A220-300 for LCY steep approach operations" xr:uid="{4BC4DC42-4422-D843-BFC6-DF67D759C7CD}"/>
    <hyperlink ref="R83" r:id="rId18" xr:uid="{A3EFD621-318B-6143-AEF4-A74D7A31D835}"/>
    <hyperlink ref="H55" r:id="rId19" xr:uid="{78DCAE8D-F9F2-4AFF-AEAC-B88136D9C452}"/>
    <hyperlink ref="H53" r:id="rId20" xr:uid="{3999C1A1-07EF-48B9-810B-2F4E5BB942AE}"/>
    <hyperlink ref="H51" r:id="rId21" xr:uid="{69C93ABC-34D8-0F45-AA69-CEEFC27F1A39}"/>
    <hyperlink ref="H49" r:id="rId22" xr:uid="{6C54B13E-8F7B-4DCC-9E6A-C54F18CCE658}"/>
    <hyperlink ref="H47" r:id="rId23" display="Embraer announce 2024 launch for the E-Jet P2F (cargo conversion) programme" xr:uid="{B3E5B1EC-A783-473C-B70D-A70E417CF572}"/>
    <hyperlink ref="H45" r:id="rId24" xr:uid="{8C20766F-7147-41A6-A699-7D50EF5D73DA}"/>
    <hyperlink ref="H43" r:id="rId25" xr:uid="{56959BC1-F64E-43D0-A4E0-57BAD8FCBCB7}"/>
    <hyperlink ref="H37" r:id="rId26" xr:uid="{84A4CBC1-0653-495A-8986-5434F4F936B2}"/>
    <hyperlink ref="H39" r:id="rId27" xr:uid="{7B01ED77-0E0F-4A8F-9A90-ADADF2B221C0}"/>
    <hyperlink ref="H41" r:id="rId28" xr:uid="{ABF212CC-9083-4443-9432-F7D8F2F254A7}"/>
    <hyperlink ref="H35" r:id="rId29" xr:uid="{689458CC-3F8D-48D3-BFB6-9021D5C41BFE}"/>
    <hyperlink ref="H33" r:id="rId30" display="E2 Jets are approved for ETOPS-120 flight operations" xr:uid="{AFE0E501-14CD-4D1A-91DD-7F4349F2F287}"/>
    <hyperlink ref="H31" r:id="rId31" xr:uid="{C86C50C0-49BF-42B4-ABB6-111374E16D26}"/>
    <hyperlink ref="H29" r:id="rId32" display="Rumours that $ERJ wish to develop a competitor to A320/B737 series of aircraft within the next decade" xr:uid="{F075E770-E613-4A93-8C01-FCD751972BCD}"/>
    <hyperlink ref="H27" r:id="rId33" xr:uid="{922CF349-49E0-4AFB-A330-58034F640FB7}"/>
    <hyperlink ref="H25" r:id="rId34" xr:uid="{DE4DB842-01BE-405E-8254-AC1C82253C72}"/>
    <hyperlink ref="H21" r:id="rId35" xr:uid="{098F501F-A48C-49AD-B4EE-8F3B4711DA32}"/>
    <hyperlink ref="H19" r:id="rId36" xr:uid="{EC3AC3B6-D20B-4612-96C2-C088131B252D}"/>
    <hyperlink ref="H17" r:id="rId37" xr:uid="{327A318F-D59B-4B08-A396-86E7866F07CE}"/>
    <hyperlink ref="H15" r:id="rId38" xr:uid="{F0AB9CE8-A127-4A54-A49C-B0BFF1ECBCFB}"/>
    <hyperlink ref="H13" r:id="rId39" xr:uid="{2BC9EAF5-1571-44CC-AC7B-DE21B8FC3951}"/>
    <hyperlink ref="H11" r:id="rId40" display="Morroco believed to bew new customer of C-390 Millenium of unknown quantity" xr:uid="{3F47C2DD-329C-4BC5-A6B5-C20176AFBF93}"/>
    <hyperlink ref="H9" r:id="rId41" xr:uid="{A923048A-6450-45C2-ACC3-AB91520A7E0B}"/>
    <hyperlink ref="H7" r:id="rId42" xr:uid="{27A9FD28-BFAA-4CE7-A96F-D7021710C4EC}"/>
  </hyperlinks>
  <pageMargins left="0.7" right="0.7" top="0.75" bottom="0.75" header="0.3" footer="0.3"/>
  <pageSetup paperSize="256" orientation="portrait" horizontalDpi="203" verticalDpi="203" r:id="rId43"/>
  <ignoredErrors>
    <ignoredError sqref="D40 C39:D39" formulaRange="1"/>
  </ignoredError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P31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C1" s="23" t="s">
        <v>328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C2" s="21">
        <v>45565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C3" s="96">
        <v>45604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C4" s="49">
        <v>473.3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C5" s="49">
        <v>561.5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C6" s="49">
        <v>219.6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C7" s="49">
        <v>425.5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C8" s="49">
        <v>12.5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C9" s="25">
        <f>SUM(AC4:AC8)</f>
        <v>1692.3999999999999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C10" s="11">
        <v>1377.6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C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C11" s="25">
        <f t="shared" si="4"/>
        <v>314.79999999999995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C12" s="11">
        <v>48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C13" s="11">
        <v>77.900000000000006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C14" s="11">
        <v>-0.5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C15" s="11">
        <v>9.6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C16" s="11">
        <f>174.6-66.6</f>
        <v>108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C17" s="11">
        <v>-2.6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C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C18" s="25">
        <f t="shared" si="8"/>
        <v>285.19999999999993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C20" s="3">
        <v>-16.399999999999999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C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C21" s="11">
        <f t="shared" si="11"/>
        <v>243.99999999999991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C22" s="3">
        <v>62.3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C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C23" s="25">
        <f t="shared" si="14"/>
        <v>181.69999999999993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C24" s="2">
        <v>178.8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C25" s="3">
        <v>2.9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C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C26" s="97">
        <f t="shared" si="17"/>
        <v>0.24339776749251293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C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C30" s="31">
        <f t="shared" ref="AC30" si="29">AC9/Y9-1</f>
        <v>0.31765805045157247</v>
      </c>
      <c r="AE30" s="59" t="s">
        <v>186</v>
      </c>
      <c r="AF30" s="31">
        <f t="shared" ref="AF30" si="30">AF9/AE9-1</f>
        <v>-5.7355934359496263E-2</v>
      </c>
      <c r="AG30" s="31">
        <f t="shared" ref="AG30" si="31">AG9/AF9-1</f>
        <v>4.881833977159622E-2</v>
      </c>
      <c r="AH30" s="31">
        <f t="shared" ref="AH30" si="32">AH9/AG9-1</f>
        <v>-6.0828307197426601E-2</v>
      </c>
      <c r="AI30" s="31">
        <f t="shared" ref="AI30" si="33">AI9/AH9-1</f>
        <v>-0.13155686469268568</v>
      </c>
      <c r="AJ30" s="31">
        <f t="shared" ref="AJ30:AK30" si="34">AJ9/AI9-1</f>
        <v>7.7202184930291295E-2</v>
      </c>
      <c r="AK30" s="31">
        <f t="shared" si="34"/>
        <v>-0.30965108190239088</v>
      </c>
      <c r="AL30" s="31">
        <f>AL9/AK9-1</f>
        <v>0.11299090451062033</v>
      </c>
      <c r="AM30" s="31">
        <f t="shared" ref="AM30:AO30" si="35">AM9/AL9-1</f>
        <v>8.1768798246449892E-2</v>
      </c>
      <c r="AN30" s="31">
        <f t="shared" si="35"/>
        <v>0.16036032067659245</v>
      </c>
      <c r="AO30" s="110">
        <f t="shared" si="35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6">D9/C9-1</f>
        <v>0.30844527751744244</v>
      </c>
      <c r="E31" s="24">
        <f t="shared" ref="E31" si="37">E9/D9-1</f>
        <v>-7.7357739753282972E-2</v>
      </c>
      <c r="F31" s="24">
        <f t="shared" ref="F31" si="38">F9/E9-1</f>
        <v>0.46433192443716043</v>
      </c>
      <c r="G31" s="24">
        <f t="shared" ref="G31" si="39">G9/F9-1</f>
        <v>-0.51502120640904803</v>
      </c>
      <c r="H31" s="24">
        <f t="shared" ref="H31" si="40">H9/G9-1</f>
        <v>0.67460221061581449</v>
      </c>
      <c r="I31" s="24">
        <f t="shared" ref="I31" si="41">I9/H9-1</f>
        <v>-0.14731268586349466</v>
      </c>
      <c r="J31" s="24">
        <f t="shared" ref="J31" si="42">J9/I9-1</f>
        <v>0.77356243620279019</v>
      </c>
      <c r="K31" s="24">
        <f t="shared" ref="K31" si="43">K9/J9-1</f>
        <v>-0.69601918465227819</v>
      </c>
      <c r="L31" s="24">
        <f t="shared" ref="L31" si="44">L9/K9-1</f>
        <v>-0.15241401072893646</v>
      </c>
      <c r="M31" s="24">
        <f t="shared" ref="M31" si="45">M9/L9-1</f>
        <v>0.41232315711094558</v>
      </c>
      <c r="N31" s="24">
        <f t="shared" ref="N31:O31" si="46">N9/M9-1</f>
        <v>1.4270462633451957</v>
      </c>
      <c r="O31" s="24">
        <f t="shared" si="46"/>
        <v>-0.56158357771261003</v>
      </c>
      <c r="P31" s="24">
        <f>P9/O9-1</f>
        <v>0.40034683512944391</v>
      </c>
      <c r="Q31" s="24">
        <f t="shared" ref="Q31:R31" si="47">Q9/P9-1</f>
        <v>-0.15249889429455987</v>
      </c>
      <c r="R31" s="24">
        <f t="shared" si="47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8">U9/T9-1</f>
        <v>-8.8232407498282428E-2</v>
      </c>
      <c r="V31" s="24">
        <f t="shared" ref="V31" si="49">V9/U9-1</f>
        <v>1.1438105489773949</v>
      </c>
      <c r="W31" s="24">
        <f t="shared" ref="W31" si="50">W9/V9-1</f>
        <v>-0.64013858204458729</v>
      </c>
      <c r="X31" s="24">
        <f t="shared" ref="X31" si="51">X9/W9-1</f>
        <v>0.80312543602623143</v>
      </c>
      <c r="Y31" s="24">
        <f t="shared" ref="Y31" si="52">Y9/X9-1</f>
        <v>-6.113131625783419E-3</v>
      </c>
      <c r="Z31" s="24">
        <f t="shared" ref="Z31" si="53">Z9/Y9-1</f>
        <v>0.53776082217377752</v>
      </c>
      <c r="AA31" s="24">
        <f t="shared" ref="AA31" si="54">AA9/Z9-1</f>
        <v>-0.54604830135183025</v>
      </c>
      <c r="AB31" s="24">
        <f t="shared" ref="AB31" si="55">AB9/AA9-1</f>
        <v>0.66651795672540737</v>
      </c>
      <c r="AC31" s="24">
        <f t="shared" ref="AC31" si="56">AC9/AB9-1</f>
        <v>0.13264623209744308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7">D15/C15-1</f>
        <v>3.0612244897959107E-2</v>
      </c>
      <c r="E32" s="60">
        <f t="shared" ref="E32" si="58">E15/D15-1</f>
        <v>-0.13861386138613863</v>
      </c>
      <c r="F32" s="60">
        <f t="shared" ref="F32:S32" si="59">F15/E15-1</f>
        <v>1.0114942528735633</v>
      </c>
      <c r="G32" s="60">
        <f t="shared" si="59"/>
        <v>-0.46857142857142853</v>
      </c>
      <c r="H32" s="60">
        <f t="shared" si="59"/>
        <v>0.26881720430107525</v>
      </c>
      <c r="I32" s="60">
        <f t="shared" si="59"/>
        <v>-1.6949152542372947E-2</v>
      </c>
      <c r="J32" s="60">
        <f t="shared" si="59"/>
        <v>0.44827586206896552</v>
      </c>
      <c r="K32" s="60">
        <f t="shared" si="59"/>
        <v>-0.65476190476190477</v>
      </c>
      <c r="L32" s="60">
        <f t="shared" si="59"/>
        <v>0.10344827586206895</v>
      </c>
      <c r="M32" s="60">
        <f t="shared" si="59"/>
        <v>0.10937499999999978</v>
      </c>
      <c r="N32" s="60">
        <f t="shared" si="59"/>
        <v>0.47887323943661975</v>
      </c>
      <c r="O32" s="60">
        <f t="shared" si="59"/>
        <v>-0.19999999999999996</v>
      </c>
      <c r="P32" s="60">
        <f t="shared" si="59"/>
        <v>0.10714285714285721</v>
      </c>
      <c r="Q32" s="60">
        <f t="shared" si="59"/>
        <v>0.10752688172043001</v>
      </c>
      <c r="R32" s="60">
        <f t="shared" si="59"/>
        <v>0.45631067961165028</v>
      </c>
      <c r="S32" s="60">
        <f t="shared" si="59"/>
        <v>0.15999999999999992</v>
      </c>
      <c r="T32" s="60">
        <f>T15/S15-1</f>
        <v>0.43103448275862077</v>
      </c>
      <c r="U32" s="60">
        <f t="shared" ref="U32" si="60">U15/T15-1</f>
        <v>0.16465863453815266</v>
      </c>
      <c r="V32" s="60">
        <f t="shared" ref="V32" si="61">V15/U15-1</f>
        <v>0.33448275862068977</v>
      </c>
      <c r="W32" s="60">
        <f t="shared" ref="W32:X32" si="62">W15/V15-1</f>
        <v>-0.17829457364341095</v>
      </c>
      <c r="X32" s="60">
        <f t="shared" si="62"/>
        <v>-0.2515723270440251</v>
      </c>
      <c r="Y32" s="60">
        <f t="shared" ref="Y32" si="63">Y15/X15-1</f>
        <v>-0.2857142857142857</v>
      </c>
      <c r="Z32" s="60">
        <f t="shared" ref="Z32" si="64">Z15/Y15-1</f>
        <v>4.1176470588235148E-2</v>
      </c>
      <c r="AA32" s="60">
        <f t="shared" ref="AA32" si="65">AA15/Z15-1</f>
        <v>-0.31638418079096042</v>
      </c>
      <c r="AB32" s="60">
        <f t="shared" ref="AB32" si="66">AB15/AA15-1</f>
        <v>0.26446280991735538</v>
      </c>
      <c r="AC32" s="60">
        <f t="shared" ref="AC32" si="67">AC15/AB15-1</f>
        <v>-0.37254901960784315</v>
      </c>
      <c r="AE32" s="59" t="s">
        <v>186</v>
      </c>
      <c r="AF32" s="65">
        <f t="shared" ref="AF32" si="68">AF15/AE15-1</f>
        <v>-0.11464968152866239</v>
      </c>
      <c r="AG32" s="65">
        <f t="shared" ref="AG32" si="69">AG15/AF15-1</f>
        <v>0.14148681055155876</v>
      </c>
      <c r="AH32" s="65">
        <f t="shared" ref="AH32" si="70">AH15/AG15-1</f>
        <v>3.3613445378151363E-2</v>
      </c>
      <c r="AI32" s="65">
        <f t="shared" ref="AI32" si="71">AI15/AH15-1</f>
        <v>-6.3008130081300795E-2</v>
      </c>
      <c r="AJ32" s="65">
        <f t="shared" ref="AJ32:AK32" si="72">AJ15/AI15-1</f>
        <v>7.1583514099782919E-2</v>
      </c>
      <c r="AK32" s="65">
        <f t="shared" si="72"/>
        <v>-0.39676113360323884</v>
      </c>
      <c r="AL32" s="65">
        <f>AL15/AK15-1</f>
        <v>0.44295302013422821</v>
      </c>
      <c r="AM32" s="65">
        <f t="shared" ref="AM32" si="73">AM15/AL15-1</f>
        <v>1.558139534883721</v>
      </c>
      <c r="AN32" s="65">
        <f t="shared" ref="AN32" si="74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5">C11/C9</f>
        <v>0.15630532125377478</v>
      </c>
      <c r="D36" s="24">
        <f t="shared" si="75"/>
        <v>0.11165937126939909</v>
      </c>
      <c r="E36" s="24">
        <f t="shared" ref="E36:G36" si="76">E11/E9</f>
        <v>0.18873458121280079</v>
      </c>
      <c r="F36" s="24">
        <f t="shared" ref="F36" si="77">F11/F9</f>
        <v>0.15398209236569266</v>
      </c>
      <c r="G36" s="24">
        <f t="shared" si="76"/>
        <v>0.19907688570387463</v>
      </c>
      <c r="H36" s="24">
        <f>H11/H9</f>
        <v>0.14404874156814398</v>
      </c>
      <c r="I36" s="24">
        <f t="shared" ref="I36:J36" si="78">I11/I9</f>
        <v>0.13133718952024487</v>
      </c>
      <c r="J36" s="24">
        <f t="shared" si="78"/>
        <v>0.13362110311750594</v>
      </c>
      <c r="K36" s="24">
        <f t="shared" ref="K36" si="79">K11/K9</f>
        <v>0.29031240138845055</v>
      </c>
      <c r="L36" s="24">
        <f t="shared" ref="L36" si="80">L11/L9</f>
        <v>3.0528667163067926E-2</v>
      </c>
      <c r="M36" s="24">
        <f>M11/M9</f>
        <v>7.2228812442335658E-2</v>
      </c>
      <c r="N36" s="24">
        <f t="shared" ref="N36" si="8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82">Q11/Q9</f>
        <v>0.18964617472080164</v>
      </c>
      <c r="R36" s="24">
        <f t="shared" si="82"/>
        <v>0.1504649196956889</v>
      </c>
      <c r="S36" s="24">
        <f t="shared" ref="S36" si="83">S11/S9</f>
        <v>0.20086536861374604</v>
      </c>
      <c r="T36" s="24">
        <f>T11/T9</f>
        <v>0.2289724212385906</v>
      </c>
      <c r="U36" s="24">
        <f t="shared" ref="U36:V36" si="84">U11/U9</f>
        <v>0.19095801937567275</v>
      </c>
      <c r="V36" s="24">
        <f t="shared" si="84"/>
        <v>0.19120305282185177</v>
      </c>
      <c r="W36" s="24">
        <f t="shared" ref="W36:X36" si="85">W11/W9</f>
        <v>0.15864378401004597</v>
      </c>
      <c r="X36" s="24">
        <f t="shared" si="85"/>
        <v>0.17279269519461424</v>
      </c>
      <c r="Y36" s="24">
        <f t="shared" ref="Y36:Z36" si="86">Y11/Y9</f>
        <v>0.18148551853005304</v>
      </c>
      <c r="Z36" s="24">
        <f t="shared" si="86"/>
        <v>0.17189003088451218</v>
      </c>
      <c r="AA36" s="24">
        <f t="shared" ref="AA36:AB36" si="87">AA11/AA9</f>
        <v>0.18815525317867504</v>
      </c>
      <c r="AB36" s="24">
        <f t="shared" si="87"/>
        <v>0.16062106813010318</v>
      </c>
      <c r="AC36" s="24">
        <f t="shared" ref="AC36" si="88">AC11/AC9</f>
        <v>0.18600803592531315</v>
      </c>
      <c r="AE36" s="24">
        <f t="shared" ref="AE36:AF36" si="89">AE11/AE9</f>
        <v>0.19884556672179113</v>
      </c>
      <c r="AF36" s="24">
        <f t="shared" si="89"/>
        <v>0.18746309947537998</v>
      </c>
      <c r="AG36" s="24">
        <f t="shared" ref="AG36:AH36" si="90">AG11/AG9</f>
        <v>0.19892239646160034</v>
      </c>
      <c r="AH36" s="24">
        <f t="shared" si="90"/>
        <v>0.18253900296268397</v>
      </c>
      <c r="AI36" s="24">
        <f t="shared" ref="AI36:AJ36" si="91">AI11/AI9</f>
        <v>0.15144643174064798</v>
      </c>
      <c r="AJ36" s="24">
        <f t="shared" si="91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92">AM11/AM9</f>
        <v>0.20090740903885118</v>
      </c>
      <c r="AN36" s="24">
        <f t="shared" si="92"/>
        <v>0.1726487615070704</v>
      </c>
    </row>
    <row r="37" spans="2:40">
      <c r="B37" s="3" t="s">
        <v>69</v>
      </c>
      <c r="C37" s="24">
        <f t="shared" ref="C37:D37" si="93">C18/C9</f>
        <v>-5.5191086118922062E-3</v>
      </c>
      <c r="D37" s="24">
        <f t="shared" si="93"/>
        <v>-1.4086748905690451E-2</v>
      </c>
      <c r="E37" s="24">
        <f t="shared" ref="E37:G37" si="94">E18/E9</f>
        <v>4.6838609505736171E-2</v>
      </c>
      <c r="F37" s="24">
        <f t="shared" ref="F37" si="95">F18/F9</f>
        <v>3.8878416588123597E-3</v>
      </c>
      <c r="G37" s="24">
        <f t="shared" si="94"/>
        <v>-1.8462285922507007E-2</v>
      </c>
      <c r="H37" s="24">
        <f>H18/H9</f>
        <v>1.9293537390295309E-2</v>
      </c>
      <c r="I37" s="24">
        <f t="shared" ref="I37:J37" si="96">I18/I9</f>
        <v>-1.7693092888737785E-2</v>
      </c>
      <c r="J37" s="24">
        <f t="shared" si="96"/>
        <v>-3.2422062350119955E-2</v>
      </c>
      <c r="K37" s="24">
        <f t="shared" ref="K37" si="97">K18/K9</f>
        <v>-7.3998106658251905E-2</v>
      </c>
      <c r="L37" s="24">
        <f t="shared" ref="L37" si="98">L18/L9</f>
        <v>-0.63737900223380473</v>
      </c>
      <c r="M37" s="24">
        <f>M18/M9</f>
        <v>-4.9690259654672372E-2</v>
      </c>
      <c r="N37" s="24">
        <f t="shared" ref="N37" si="99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100">Q18/Q9</f>
        <v>3.1311971610479127E-2</v>
      </c>
      <c r="R37" s="24">
        <f t="shared" si="100"/>
        <v>4.6568815799584988E-2</v>
      </c>
      <c r="S37" s="24">
        <f t="shared" ref="S37" si="101">S18/S9</f>
        <v>-6.0409385921118344E-2</v>
      </c>
      <c r="T37" s="24">
        <f>T18/T9</f>
        <v>6.5462753950338556E-2</v>
      </c>
      <c r="U37" s="24">
        <f t="shared" ref="U37:V37" si="102">U18/U9</f>
        <v>1.1948331539289545E-2</v>
      </c>
      <c r="V37" s="24">
        <f t="shared" si="102"/>
        <v>7.1199035950994152E-2</v>
      </c>
      <c r="W37" s="24">
        <f t="shared" ref="W37:X37" si="103">W18/W9</f>
        <v>-7.2694293288684347E-2</v>
      </c>
      <c r="X37" s="24">
        <f t="shared" si="103"/>
        <v>5.6643194304727966E-2</v>
      </c>
      <c r="Y37" s="24">
        <f t="shared" ref="Y37:Z37" si="104">Y18/Y9</f>
        <v>6.5711616318903862E-2</v>
      </c>
      <c r="Z37" s="24">
        <f t="shared" si="104"/>
        <v>0.10581742696572324</v>
      </c>
      <c r="AA37" s="24">
        <f t="shared" ref="AA37:AB37" si="105">AA18/AA9</f>
        <v>-4.349765781842466E-3</v>
      </c>
      <c r="AB37" s="24">
        <f t="shared" si="105"/>
        <v>8.5597644224334218E-2</v>
      </c>
      <c r="AC37" s="24">
        <f t="shared" ref="AC37" si="106">AC18/AC9</f>
        <v>0.1685180808319546</v>
      </c>
      <c r="AE37" s="24">
        <f t="shared" ref="AE37:AF37" si="107">AE18/AE9</f>
        <v>8.6391680447780173E-2</v>
      </c>
      <c r="AF37" s="24">
        <f t="shared" si="107"/>
        <v>5.5920109309896944E-2</v>
      </c>
      <c r="AG37" s="24">
        <f t="shared" ref="AG37:AH37" si="108">AG18/AG9</f>
        <v>3.3132287897064766E-2</v>
      </c>
      <c r="AH37" s="24">
        <f t="shared" si="108"/>
        <v>5.6393745825698366E-2</v>
      </c>
      <c r="AI37" s="24">
        <f t="shared" ref="AI37:AJ37" si="109">AI18/AI9</f>
        <v>6.9610143755792601E-3</v>
      </c>
      <c r="AJ37" s="24">
        <f t="shared" si="109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10">AM18/AM9</f>
        <v>-2.4337062813849026E-2</v>
      </c>
      <c r="AN37" s="24">
        <f t="shared" si="110"/>
        <v>5.9694410173673787E-2</v>
      </c>
    </row>
    <row r="38" spans="2:40">
      <c r="B38" s="3" t="s">
        <v>70</v>
      </c>
      <c r="C38" s="24">
        <f t="shared" ref="C38:D38" si="111">C23/C9</f>
        <v>-3.6342809538685919E-2</v>
      </c>
      <c r="D38" s="24">
        <f t="shared" si="111"/>
        <v>-9.9243931555909312E-2</v>
      </c>
      <c r="E38" s="24">
        <f t="shared" ref="E38:G38" si="112">E23/E9</f>
        <v>-9.1434486327957032E-3</v>
      </c>
      <c r="F38" s="24">
        <f t="shared" ref="F38" si="113">F23/F9</f>
        <v>2.2384542884070799E-3</v>
      </c>
      <c r="G38" s="24">
        <f t="shared" si="112"/>
        <v>-5.0042511842584743E-2</v>
      </c>
      <c r="H38" s="24">
        <f>H23/H9</f>
        <v>6.6729527816059642E-3</v>
      </c>
      <c r="I38" s="24">
        <f t="shared" ref="I38:J38" si="114">I23/I9</f>
        <v>-6.4052398775093694E-2</v>
      </c>
      <c r="J38" s="24">
        <f t="shared" si="114"/>
        <v>-0.10033573141486815</v>
      </c>
      <c r="K38" s="24">
        <f t="shared" ref="K38" si="115">K23/K9</f>
        <v>-0.45850426001893357</v>
      </c>
      <c r="L38" s="24">
        <f t="shared" ref="L38" si="116">L23/L9</f>
        <v>-0.58190618019359619</v>
      </c>
      <c r="M38" s="24">
        <f>M23/M9</f>
        <v>-0.15750626070910759</v>
      </c>
      <c r="N38" s="24">
        <f t="shared" ref="N38" si="117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8">Q23/Q9</f>
        <v>-4.7698570086629734E-2</v>
      </c>
      <c r="R38" s="24">
        <f t="shared" si="118"/>
        <v>2.3053869207714925E-3</v>
      </c>
      <c r="S38" s="24">
        <f t="shared" ref="S38" si="119">S23/S9</f>
        <v>-5.1090031619237815E-2</v>
      </c>
      <c r="T38" s="24">
        <f>T23/T9</f>
        <v>7.2725488271665487E-2</v>
      </c>
      <c r="U38" s="24">
        <f t="shared" ref="U38:V38" si="120">U23/U9</f>
        <v>-4.4564047362755668E-2</v>
      </c>
      <c r="V38" s="24">
        <f t="shared" si="120"/>
        <v>1.1598714601325551E-2</v>
      </c>
      <c r="W38" s="24">
        <f t="shared" ref="W38:X38" si="121">W23/W9</f>
        <v>-0.10143714245849039</v>
      </c>
      <c r="X38" s="24">
        <f t="shared" si="121"/>
        <v>-2.0196548788980924E-2</v>
      </c>
      <c r="Y38" s="24">
        <f t="shared" ref="Y38:Z38" si="122">Y23/Y9</f>
        <v>5.0062285892245498E-2</v>
      </c>
      <c r="Z38" s="24">
        <f t="shared" si="122"/>
        <v>6.895853374512681E-2</v>
      </c>
      <c r="AA38" s="24">
        <f t="shared" ref="AA38:AB38" si="123">AA23/AA9</f>
        <v>3.6136515726076339E-2</v>
      </c>
      <c r="AB38" s="24">
        <f t="shared" si="123"/>
        <v>6.8598581180564985E-2</v>
      </c>
      <c r="AC38" s="24">
        <f t="shared" ref="AC38" si="124">AC23/AC9</f>
        <v>0.10736232569132589</v>
      </c>
      <c r="AE38" s="24">
        <f t="shared" ref="AE38:AF38" si="125">AE23/AE9</f>
        <v>5.5288767332400457E-2</v>
      </c>
      <c r="AF38" s="24">
        <f t="shared" si="125"/>
        <v>1.3629999493935688E-2</v>
      </c>
      <c r="AG38" s="24">
        <f t="shared" ref="AG38:AH38" si="126">AG23/AG9</f>
        <v>2.6988339364696447E-2</v>
      </c>
      <c r="AH38" s="24">
        <f t="shared" si="126"/>
        <v>4.5005394482215411E-2</v>
      </c>
      <c r="AI38" s="24">
        <f t="shared" ref="AI38:AJ38" si="127">AI23/AI9</f>
        <v>-3.3759933742186117E-2</v>
      </c>
      <c r="AJ38" s="24">
        <f t="shared" si="127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8">AM23/AM9</f>
        <v>-4.4819839661703845E-2</v>
      </c>
      <c r="AN38" s="24">
        <f t="shared" si="128"/>
        <v>3.1185346872924055E-2</v>
      </c>
    </row>
    <row r="39" spans="2:40">
      <c r="B39" s="3" t="s">
        <v>71</v>
      </c>
      <c r="C39" s="24">
        <f t="shared" ref="C39:D39" si="129">C22/C21</f>
        <v>0.35250463821892336</v>
      </c>
      <c r="D39" s="24">
        <f t="shared" si="129"/>
        <v>-0.80986937590711117</v>
      </c>
      <c r="E39" s="24">
        <f t="shared" ref="E39:G39" si="130">E22/E21</f>
        <v>2.3417721518987515</v>
      </c>
      <c r="F39" s="24">
        <f t="shared" ref="F39" si="131">F22/F21</f>
        <v>1.255033557046968</v>
      </c>
      <c r="G39" s="24">
        <f t="shared" si="130"/>
        <v>0.12711864406779658</v>
      </c>
      <c r="H39" s="24">
        <f>H22/H21</f>
        <v>2.4375000000000546</v>
      </c>
      <c r="I39" s="24">
        <f t="shared" ref="I39:J39" si="132">I22/I21</f>
        <v>-1.0974930362116948</v>
      </c>
      <c r="J39" s="24">
        <f t="shared" si="132"/>
        <v>-1.1633919338159242</v>
      </c>
      <c r="K39" s="24">
        <f t="shared" ref="K39:L39" si="133">K22/K21</f>
        <v>-1.6982358402971207</v>
      </c>
      <c r="L39" s="24">
        <f t="shared" si="133"/>
        <v>0.19887237314197853</v>
      </c>
      <c r="M39" s="24">
        <f>M22/M21</f>
        <v>0.19582772543741597</v>
      </c>
      <c r="N39" s="24">
        <f t="shared" ref="N39" si="13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35">Q22/Q21</f>
        <v>-0.82800000000000162</v>
      </c>
      <c r="R39" s="24">
        <f t="shared" si="135"/>
        <v>0.94800693240901301</v>
      </c>
      <c r="S39" s="24">
        <f t="shared" ref="S39" si="136">S22/S21</f>
        <v>0.62098765432098757</v>
      </c>
      <c r="T39" s="24">
        <f>T22/T21</f>
        <v>-0.49696969696969745</v>
      </c>
      <c r="U39" s="24">
        <f t="shared" ref="U39:V39" si="137">U22/U21</f>
        <v>0.10195227765726678</v>
      </c>
      <c r="V39" s="24">
        <f t="shared" si="137"/>
        <v>0.76760563380281721</v>
      </c>
      <c r="W39" s="24">
        <f t="shared" ref="W39:X39" si="138">W22/W21</f>
        <v>0.29554263565891453</v>
      </c>
      <c r="X39" s="24">
        <f t="shared" si="138"/>
        <v>-31.624999999998199</v>
      </c>
      <c r="Y39" s="24">
        <f t="shared" ref="Y39:Z39" si="139">Y22/Y21</f>
        <v>-0.12412587412587384</v>
      </c>
      <c r="Z39" s="24">
        <f t="shared" si="139"/>
        <v>0.18686567164179108</v>
      </c>
      <c r="AA39" s="24">
        <f t="shared" ref="AA39:AB39" si="140">AA22/AA21</f>
        <v>1.8181818181818153E-2</v>
      </c>
      <c r="AB39" s="24">
        <f t="shared" si="140"/>
        <v>7.9892280071813135E-2</v>
      </c>
      <c r="AC39" s="24">
        <f t="shared" ref="AC39" si="141">AC22/AC21</f>
        <v>0.25532786885245912</v>
      </c>
      <c r="AE39" s="24">
        <f t="shared" ref="AE39:AF39" si="142">AE22/AE21</f>
        <v>0.30998213931335583</v>
      </c>
      <c r="AF39" s="24">
        <f t="shared" si="142"/>
        <v>0.75966686496133218</v>
      </c>
      <c r="AG39" s="24">
        <f t="shared" ref="AG39:AH39" si="143">AG22/AG21</f>
        <v>-5.4682589566310433E-2</v>
      </c>
      <c r="AH39" s="24">
        <f t="shared" si="143"/>
        <v>8.8449531737773007E-2</v>
      </c>
      <c r="AI39" s="24">
        <f t="shared" ref="AI39:AJ39" si="144">AI22/AI21</f>
        <v>-0.25697503671071947</v>
      </c>
      <c r="AJ39" s="24">
        <f t="shared" si="144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45">AM22/AM21</f>
        <v>1.1175898931000964E-2</v>
      </c>
      <c r="AN39" s="24">
        <f t="shared" si="145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7" customFormat="1">
      <c r="B44" s="46" t="s">
        <v>84</v>
      </c>
      <c r="C44" s="37">
        <f t="shared" ref="C44" si="162">SUM(C45:C50)</f>
        <v>14</v>
      </c>
      <c r="D44" s="37">
        <f>SUM(D45:D50)</f>
        <v>28</v>
      </c>
      <c r="E44" s="37">
        <f>SUM(E45:E50)</f>
        <v>15</v>
      </c>
      <c r="F44" s="37">
        <f t="shared" ref="F44" si="163">SUM(F45:F50)</f>
        <v>33</v>
      </c>
      <c r="G44" s="37">
        <f t="shared" ref="G44" si="164">SUM(G45:G50)</f>
        <v>11</v>
      </c>
      <c r="H44" s="37">
        <f t="shared" ref="H44:T44" si="165">SUM(H45:H50)</f>
        <v>26</v>
      </c>
      <c r="I44" s="37">
        <f t="shared" si="165"/>
        <v>17</v>
      </c>
      <c r="J44" s="37">
        <f t="shared" si="165"/>
        <v>35</v>
      </c>
      <c r="K44" s="37">
        <f t="shared" si="165"/>
        <v>5</v>
      </c>
      <c r="L44" s="37">
        <f t="shared" si="165"/>
        <v>4</v>
      </c>
      <c r="M44" s="37">
        <f t="shared" si="165"/>
        <v>27</v>
      </c>
      <c r="N44" s="37">
        <f t="shared" si="165"/>
        <v>28</v>
      </c>
      <c r="O44" s="37">
        <f t="shared" si="165"/>
        <v>9</v>
      </c>
      <c r="P44" s="37">
        <f t="shared" si="165"/>
        <v>14</v>
      </c>
      <c r="Q44" s="37">
        <f t="shared" si="165"/>
        <v>9</v>
      </c>
      <c r="R44" s="37">
        <f t="shared" si="165"/>
        <v>16</v>
      </c>
      <c r="S44" s="37">
        <f t="shared" si="165"/>
        <v>6</v>
      </c>
      <c r="T44" s="37">
        <f t="shared" si="165"/>
        <v>11</v>
      </c>
      <c r="U44" s="37">
        <f t="shared" ref="U44:V44" si="166">SUM(U45:U50)</f>
        <v>10</v>
      </c>
      <c r="V44" s="37">
        <f t="shared" si="166"/>
        <v>30</v>
      </c>
      <c r="W44" s="37">
        <f t="shared" ref="W44:X44" si="167">SUM(W45:W50)</f>
        <v>7</v>
      </c>
      <c r="X44" s="37">
        <f t="shared" si="167"/>
        <v>17</v>
      </c>
      <c r="Y44" s="37">
        <f t="shared" ref="Y44:Z44" si="168">SUM(Y45:Y50)</f>
        <v>15</v>
      </c>
      <c r="Z44" s="37">
        <f t="shared" si="168"/>
        <v>25</v>
      </c>
      <c r="AA44" s="37">
        <f t="shared" ref="AA44:AB44" si="169">SUM(AA45:AA50)</f>
        <v>7</v>
      </c>
      <c r="AB44" s="37">
        <f t="shared" si="169"/>
        <v>19</v>
      </c>
      <c r="AC44" s="37">
        <f t="shared" ref="AC44" si="170">SUM(AC45:AC50)</f>
        <v>16</v>
      </c>
      <c r="AE44" s="37">
        <f t="shared" ref="AE44:AF44" si="171">SUM(AE45:AE50)</f>
        <v>92</v>
      </c>
      <c r="AF44" s="37">
        <f t="shared" si="171"/>
        <v>101</v>
      </c>
      <c r="AG44" s="37">
        <f t="shared" ref="AG44:AH44" si="172">SUM(AG45:AG50)</f>
        <v>108</v>
      </c>
      <c r="AH44" s="37">
        <f t="shared" si="172"/>
        <v>101</v>
      </c>
      <c r="AI44" s="37">
        <f t="shared" ref="AI44:AJ44" si="173">SUM(AI45:AI50)</f>
        <v>90</v>
      </c>
      <c r="AJ44" s="37">
        <f t="shared" si="173"/>
        <v>89</v>
      </c>
      <c r="AK44" s="37">
        <f t="shared" ref="AK44:AL44" si="174">SUM(AK45:AK50)</f>
        <v>44</v>
      </c>
      <c r="AL44" s="37">
        <f t="shared" si="174"/>
        <v>48</v>
      </c>
      <c r="AM44" s="37">
        <f t="shared" ref="AM44:AN44" si="175">SUM(AM45:AM50)</f>
        <v>57</v>
      </c>
      <c r="AN44" s="37">
        <f t="shared" si="175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76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C46" s="36">
        <v>4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76"/>
        <v>35</v>
      </c>
      <c r="AN46" s="36">
        <f t="shared" ref="AN46:AN50" si="177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2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76"/>
        <v>3</v>
      </c>
      <c r="AN47" s="36">
        <f t="shared" si="177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76"/>
        <v>0</v>
      </c>
      <c r="AN48" s="36">
        <f t="shared" si="177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C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76"/>
        <v>1</v>
      </c>
      <c r="AN49" s="36">
        <f t="shared" si="177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C50" s="36">
        <v>10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76"/>
        <v>18</v>
      </c>
      <c r="AN50" s="36">
        <f t="shared" si="177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8">C53+C54+C55</f>
        <v>11</v>
      </c>
      <c r="D52" s="37">
        <f>D53+D54+D55</f>
        <v>20</v>
      </c>
      <c r="E52" s="37">
        <f>E53+E54+E55</f>
        <v>24</v>
      </c>
      <c r="F52" s="37">
        <f t="shared" ref="F52" si="179">F53+F54+F55</f>
        <v>36</v>
      </c>
      <c r="G52" s="37">
        <f>G53+G54+G55</f>
        <v>11</v>
      </c>
      <c r="H52" s="37">
        <f>H53+H54+H55</f>
        <v>25</v>
      </c>
      <c r="I52" s="37">
        <f t="shared" ref="I52:J52" si="180">I53+I54+I55</f>
        <v>27</v>
      </c>
      <c r="J52" s="37">
        <f t="shared" si="180"/>
        <v>46</v>
      </c>
      <c r="K52" s="37">
        <f>K53+K54+K55</f>
        <v>9</v>
      </c>
      <c r="L52" s="37">
        <f>L53+L54+L55</f>
        <v>13</v>
      </c>
      <c r="M52" s="37">
        <f t="shared" ref="M52" si="181">M53+M54+M55</f>
        <v>21</v>
      </c>
      <c r="N52" s="37">
        <f t="shared" ref="N52:AC52" si="182">N53+N54+N55</f>
        <v>43</v>
      </c>
      <c r="O52" s="37">
        <f t="shared" si="182"/>
        <v>13</v>
      </c>
      <c r="P52" s="37">
        <f t="shared" si="182"/>
        <v>20</v>
      </c>
      <c r="Q52" s="37">
        <f t="shared" si="182"/>
        <v>21</v>
      </c>
      <c r="R52" s="37">
        <f t="shared" si="182"/>
        <v>39</v>
      </c>
      <c r="S52" s="37">
        <f t="shared" si="182"/>
        <v>20</v>
      </c>
      <c r="T52" s="37">
        <f t="shared" si="182"/>
        <v>21</v>
      </c>
      <c r="U52" s="37">
        <f t="shared" si="182"/>
        <v>23</v>
      </c>
      <c r="V52" s="37">
        <f t="shared" si="182"/>
        <v>50</v>
      </c>
      <c r="W52" s="37">
        <f t="shared" si="182"/>
        <v>8</v>
      </c>
      <c r="X52" s="37">
        <f t="shared" si="182"/>
        <v>30</v>
      </c>
      <c r="Y52" s="37">
        <f t="shared" si="182"/>
        <v>28</v>
      </c>
      <c r="Z52" s="37">
        <f t="shared" si="182"/>
        <v>49</v>
      </c>
      <c r="AA52" s="37">
        <f t="shared" si="182"/>
        <v>18</v>
      </c>
      <c r="AB52" s="37">
        <f t="shared" si="182"/>
        <v>27</v>
      </c>
      <c r="AC52" s="37">
        <f t="shared" si="182"/>
        <v>41</v>
      </c>
      <c r="AE52" s="37">
        <f t="shared" ref="AE52:AF52" si="183">AE53+AE54+AE55</f>
        <v>116</v>
      </c>
      <c r="AF52" s="37">
        <f t="shared" si="183"/>
        <v>120</v>
      </c>
      <c r="AG52" s="37">
        <f t="shared" ref="AG52:AH52" si="184">AG53+AG54+AG55</f>
        <v>117</v>
      </c>
      <c r="AH52" s="37">
        <f t="shared" si="184"/>
        <v>109</v>
      </c>
      <c r="AI52" s="37">
        <f t="shared" ref="AI52:AJ52" si="185">AI53+AI54+AI55</f>
        <v>88</v>
      </c>
      <c r="AJ52" s="37">
        <f t="shared" si="185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C53" s="36">
        <v>22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86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C54" s="36">
        <v>19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86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C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86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  <c r="AC57" s="36">
        <v>2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87">G43/C43-1</f>
        <v>-0.12</v>
      </c>
      <c r="H59" s="61">
        <f t="shared" si="187"/>
        <v>6.25E-2</v>
      </c>
      <c r="I59" s="61">
        <f t="shared" si="187"/>
        <v>0.12820512820512819</v>
      </c>
      <c r="J59" s="61">
        <f t="shared" si="187"/>
        <v>0.17391304347826098</v>
      </c>
      <c r="K59" s="61">
        <f t="shared" si="187"/>
        <v>-0.36363636363636365</v>
      </c>
      <c r="L59" s="61">
        <f t="shared" si="187"/>
        <v>-0.66666666666666674</v>
      </c>
      <c r="M59" s="61">
        <f t="shared" si="187"/>
        <v>9.0909090909090828E-2</v>
      </c>
      <c r="N59" s="61">
        <f t="shared" si="187"/>
        <v>-0.12345679012345678</v>
      </c>
      <c r="O59" s="61">
        <f t="shared" si="187"/>
        <v>0.5714285714285714</v>
      </c>
      <c r="P59" s="61">
        <f t="shared" si="187"/>
        <v>1</v>
      </c>
      <c r="Q59" s="61">
        <f t="shared" si="187"/>
        <v>-0.375</v>
      </c>
      <c r="R59" s="61">
        <f t="shared" si="187"/>
        <v>-0.22535211267605637</v>
      </c>
      <c r="S59" s="61">
        <f t="shared" si="187"/>
        <v>0.18181818181818188</v>
      </c>
      <c r="T59" s="61">
        <f>T43/P43-1</f>
        <v>-5.8823529411764719E-2</v>
      </c>
      <c r="U59" s="61">
        <f t="shared" ref="U59" si="188">U43/Q43-1</f>
        <v>0.10000000000000009</v>
      </c>
      <c r="V59" s="61">
        <f t="shared" ref="V59" si="189">V43/R43-1</f>
        <v>0.45454545454545459</v>
      </c>
      <c r="W59" s="61">
        <f t="shared" ref="W59" si="190">W43/S43-1</f>
        <v>-0.42307692307692313</v>
      </c>
      <c r="X59" s="61">
        <f t="shared" ref="X59" si="191">X43/T43-1</f>
        <v>0.46875</v>
      </c>
      <c r="Y59" s="61">
        <f t="shared" ref="Y59" si="192">Y43/U43-1</f>
        <v>0.30303030303030298</v>
      </c>
      <c r="Z59" s="61">
        <f t="shared" ref="Z59" si="193">Z43/V43-1</f>
        <v>-7.4999999999999956E-2</v>
      </c>
      <c r="AA59" s="61">
        <f t="shared" ref="AA59" si="194">AA43/W43-1</f>
        <v>0.66666666666666674</v>
      </c>
      <c r="AB59" s="61">
        <f t="shared" ref="AB59:AC59" si="195">AB43/X43-1</f>
        <v>0</v>
      </c>
      <c r="AC59" s="61">
        <f t="shared" si="195"/>
        <v>0.37209302325581395</v>
      </c>
      <c r="AE59" s="62" t="s">
        <v>186</v>
      </c>
      <c r="AF59" s="61">
        <f t="shared" ref="AF59" si="196">AF43/AE43-1</f>
        <v>6.25E-2</v>
      </c>
      <c r="AG59" s="61">
        <f t="shared" ref="AG59" si="197">AG43/AF43-1</f>
        <v>1.8099547511312153E-2</v>
      </c>
      <c r="AH59" s="61">
        <f t="shared" ref="AH59" si="198">AH43/AG43-1</f>
        <v>-6.6666666666666652E-2</v>
      </c>
      <c r="AI59" s="61">
        <f t="shared" ref="AI59" si="199">AI43/AH43-1</f>
        <v>-0.15238095238095239</v>
      </c>
      <c r="AJ59" s="61">
        <f t="shared" ref="AJ59:AK59" si="200">AJ43/AI43-1</f>
        <v>0.11235955056179781</v>
      </c>
      <c r="AK59" s="61">
        <f t="shared" si="200"/>
        <v>-0.34343434343434343</v>
      </c>
      <c r="AL59" s="61">
        <f>AL43/AK43-1</f>
        <v>8.4615384615384537E-2</v>
      </c>
      <c r="AM59" s="61">
        <f t="shared" ref="AM59" si="201">AM43/AL43-1</f>
        <v>0.2127659574468086</v>
      </c>
      <c r="AN59" s="61">
        <f t="shared" ref="AN59" si="202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203">D43/C43-1</f>
        <v>0.91999999999999993</v>
      </c>
      <c r="E60" s="60">
        <f t="shared" ref="E60" si="204">E43/D43-1</f>
        <v>-0.1875</v>
      </c>
      <c r="F60" s="60">
        <f t="shared" ref="F60:S60" si="205">F43/E43-1</f>
        <v>0.76923076923076916</v>
      </c>
      <c r="G60" s="60">
        <f t="shared" si="205"/>
        <v>-0.6811594202898551</v>
      </c>
      <c r="H60" s="60">
        <f t="shared" si="205"/>
        <v>1.3181818181818183</v>
      </c>
      <c r="I60" s="60">
        <f t="shared" si="205"/>
        <v>-0.13725490196078427</v>
      </c>
      <c r="J60" s="60">
        <f t="shared" si="205"/>
        <v>0.84090909090909083</v>
      </c>
      <c r="K60" s="60">
        <f t="shared" si="205"/>
        <v>-0.8271604938271605</v>
      </c>
      <c r="L60" s="60">
        <f t="shared" si="205"/>
        <v>0.21428571428571419</v>
      </c>
      <c r="M60" s="60">
        <f t="shared" si="205"/>
        <v>1.8235294117647061</v>
      </c>
      <c r="N60" s="60">
        <f t="shared" si="205"/>
        <v>0.47916666666666674</v>
      </c>
      <c r="O60" s="60">
        <f t="shared" si="205"/>
        <v>-0.6901408450704225</v>
      </c>
      <c r="P60" s="60">
        <f t="shared" si="205"/>
        <v>0.54545454545454541</v>
      </c>
      <c r="Q60" s="60">
        <f t="shared" si="205"/>
        <v>-0.11764705882352944</v>
      </c>
      <c r="R60" s="60">
        <f t="shared" si="205"/>
        <v>0.83333333333333326</v>
      </c>
      <c r="S60" s="60">
        <f t="shared" si="205"/>
        <v>-0.52727272727272734</v>
      </c>
      <c r="T60" s="60">
        <f>T43/S43-1</f>
        <v>0.23076923076923084</v>
      </c>
      <c r="U60" s="60">
        <f t="shared" ref="U60" si="206">U43/T43-1</f>
        <v>3.125E-2</v>
      </c>
      <c r="V60" s="60">
        <f t="shared" ref="V60" si="207">V43/U43-1</f>
        <v>1.4242424242424243</v>
      </c>
      <c r="W60" s="60">
        <f t="shared" ref="W60" si="208">W43/V43-1</f>
        <v>-0.8125</v>
      </c>
      <c r="X60" s="60">
        <f t="shared" ref="X60" si="209">X43/W43-1</f>
        <v>2.1333333333333333</v>
      </c>
      <c r="Y60" s="60">
        <f t="shared" ref="Y60" si="210">Y43/X43-1</f>
        <v>-8.5106382978723416E-2</v>
      </c>
      <c r="Z60" s="60">
        <f t="shared" ref="Z60" si="211">Z43/Y43-1</f>
        <v>0.72093023255813948</v>
      </c>
      <c r="AA60" s="60">
        <f t="shared" ref="AA60" si="212">AA43/Z43-1</f>
        <v>-0.66216216216216217</v>
      </c>
      <c r="AB60" s="60">
        <f t="shared" ref="AB60:AC60" si="213">AB43/AA43-1</f>
        <v>0.87999999999999989</v>
      </c>
      <c r="AC60" s="60">
        <f t="shared" si="213"/>
        <v>0.25531914893617014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C63" s="25">
        <v>831.5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14">F63</f>
        <v>1280.9000000000001</v>
      </c>
      <c r="AJ63" s="25">
        <f t="shared" ref="AJ63:AJ74" si="215">J63</f>
        <v>2307.6999999999998</v>
      </c>
      <c r="AK63" s="25">
        <f t="shared" ref="AK63:AK74" si="216">N63</f>
        <v>1883.1</v>
      </c>
      <c r="AL63" s="25">
        <f t="shared" ref="AL63:AL74" si="217">R63</f>
        <v>1818.3</v>
      </c>
      <c r="AM63" s="25">
        <f t="shared" ref="AM63:AM74" si="218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C64" s="25">
        <v>643.5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14"/>
        <v>1743.4</v>
      </c>
      <c r="AJ64" s="25">
        <f t="shared" si="215"/>
        <v>410.9</v>
      </c>
      <c r="AK64" s="25">
        <f t="shared" si="216"/>
        <v>817.5</v>
      </c>
      <c r="AL64" s="25">
        <f t="shared" si="217"/>
        <v>750.8</v>
      </c>
      <c r="AM64" s="25">
        <f t="shared" si="218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C65" s="11">
        <v>253.9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14"/>
        <v>318</v>
      </c>
      <c r="AJ65" s="11">
        <f t="shared" si="215"/>
        <v>294.2</v>
      </c>
      <c r="AK65" s="11">
        <f t="shared" si="216"/>
        <v>203.4</v>
      </c>
      <c r="AL65" s="11">
        <f t="shared" si="217"/>
        <v>189</v>
      </c>
      <c r="AM65" s="11">
        <f t="shared" si="218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C66" s="11">
        <v>105.6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14"/>
        <v>5.4</v>
      </c>
      <c r="AJ66" s="11">
        <f t="shared" si="215"/>
        <v>1.4</v>
      </c>
      <c r="AK66" s="11">
        <f t="shared" si="216"/>
        <v>8.3000000000000007</v>
      </c>
      <c r="AL66" s="11">
        <f t="shared" si="217"/>
        <v>0.1</v>
      </c>
      <c r="AM66" s="11">
        <f t="shared" si="218"/>
        <v>5.4</v>
      </c>
      <c r="AN66" s="11">
        <f t="shared" ref="AN66:AN69" si="219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C67" s="11">
        <v>13.8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14"/>
        <v>1.2</v>
      </c>
      <c r="AJ67" s="11">
        <f t="shared" si="215"/>
        <v>1.5</v>
      </c>
      <c r="AK67" s="11">
        <f t="shared" si="216"/>
        <v>8.5</v>
      </c>
      <c r="AL67" s="11">
        <f t="shared" si="217"/>
        <v>9.6</v>
      </c>
      <c r="AM67" s="11">
        <f t="shared" si="218"/>
        <v>50.8</v>
      </c>
      <c r="AN67" s="11">
        <f t="shared" si="219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14"/>
        <v>218.5</v>
      </c>
      <c r="AJ68" s="11">
        <f t="shared" si="215"/>
        <v>4</v>
      </c>
      <c r="AK68" s="11">
        <f t="shared" si="216"/>
        <v>0</v>
      </c>
      <c r="AL68" s="11">
        <f t="shared" si="217"/>
        <v>0</v>
      </c>
      <c r="AM68" s="11">
        <f t="shared" si="218"/>
        <v>0</v>
      </c>
      <c r="AN68" s="11">
        <f t="shared" si="219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C69" s="11">
        <v>743.8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14"/>
        <v>358</v>
      </c>
      <c r="AJ69" s="11">
        <f t="shared" si="215"/>
        <v>495.7</v>
      </c>
      <c r="AK69" s="11">
        <f t="shared" si="216"/>
        <v>461.8</v>
      </c>
      <c r="AL69" s="11">
        <f t="shared" si="217"/>
        <v>582.29999999999995</v>
      </c>
      <c r="AM69" s="11">
        <f t="shared" si="218"/>
        <v>505.4</v>
      </c>
      <c r="AN69" s="11">
        <f t="shared" si="219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C70" s="25">
        <v>3340.4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14"/>
        <v>2507</v>
      </c>
      <c r="AJ70" s="25">
        <f t="shared" si="215"/>
        <v>2384</v>
      </c>
      <c r="AK70" s="25">
        <f t="shared" si="216"/>
        <v>2437.9</v>
      </c>
      <c r="AL70" s="25">
        <f t="shared" si="217"/>
        <v>1986</v>
      </c>
      <c r="AM70" s="25">
        <f t="shared" si="218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C71" s="11">
        <v>138.30000000000001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14"/>
        <v>95.3</v>
      </c>
      <c r="AJ71" s="11">
        <f t="shared" si="215"/>
        <v>92.6</v>
      </c>
      <c r="AK71" s="11">
        <f t="shared" si="216"/>
        <v>114.1</v>
      </c>
      <c r="AL71" s="11">
        <f t="shared" si="217"/>
        <v>114.5</v>
      </c>
      <c r="AM71" s="11">
        <f t="shared" si="218"/>
        <v>105.5</v>
      </c>
      <c r="AN71" s="11">
        <f t="shared" ref="AN71:AN74" si="220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14"/>
        <v>339.9</v>
      </c>
      <c r="AJ72" s="11">
        <f t="shared" si="215"/>
        <v>0.2</v>
      </c>
      <c r="AK72" s="11">
        <f t="shared" si="216"/>
        <v>0.2</v>
      </c>
      <c r="AL72" s="11">
        <f t="shared" si="217"/>
        <v>0.6</v>
      </c>
      <c r="AM72" s="11">
        <f t="shared" si="218"/>
        <v>0</v>
      </c>
      <c r="AN72" s="11">
        <f t="shared" si="220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C73" s="11">
        <v>410.2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14"/>
        <v>203.5</v>
      </c>
      <c r="AJ73" s="11">
        <f t="shared" si="215"/>
        <v>199.4</v>
      </c>
      <c r="AK73" s="11">
        <f t="shared" si="216"/>
        <v>180.9</v>
      </c>
      <c r="AL73" s="11">
        <f t="shared" si="217"/>
        <v>193.7</v>
      </c>
      <c r="AM73" s="11">
        <f t="shared" si="218"/>
        <v>246.3</v>
      </c>
      <c r="AN73" s="11">
        <f t="shared" si="220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C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14"/>
        <v>0</v>
      </c>
      <c r="AJ74" s="11">
        <f t="shared" si="215"/>
        <v>0</v>
      </c>
      <c r="AK74" s="11">
        <f t="shared" si="216"/>
        <v>0</v>
      </c>
      <c r="AL74" s="11">
        <f t="shared" si="217"/>
        <v>230.9</v>
      </c>
      <c r="AM74" s="11">
        <f t="shared" si="218"/>
        <v>0</v>
      </c>
      <c r="AN74" s="11">
        <f t="shared" si="220"/>
        <v>0</v>
      </c>
    </row>
    <row r="75" spans="2:40">
      <c r="B75" s="3" t="s">
        <v>104</v>
      </c>
      <c r="C75" s="11">
        <f t="shared" ref="C75:AC75" si="221">SUM(C63:C74)</f>
        <v>7152.2</v>
      </c>
      <c r="D75" s="11">
        <f t="shared" si="221"/>
        <v>7091.7</v>
      </c>
      <c r="E75" s="11">
        <f t="shared" si="221"/>
        <v>7067.9</v>
      </c>
      <c r="F75" s="11">
        <f t="shared" si="221"/>
        <v>7071.0999999999995</v>
      </c>
      <c r="G75" s="11">
        <f t="shared" si="221"/>
        <v>7000.3</v>
      </c>
      <c r="H75" s="11">
        <f t="shared" si="221"/>
        <v>7009.2</v>
      </c>
      <c r="I75" s="11">
        <f t="shared" si="221"/>
        <v>6737.2</v>
      </c>
      <c r="J75" s="11">
        <f t="shared" si="221"/>
        <v>6191.5999999999995</v>
      </c>
      <c r="K75" s="11">
        <f t="shared" si="221"/>
        <v>6442.2</v>
      </c>
      <c r="L75" s="11">
        <f t="shared" si="221"/>
        <v>6081.4000000000005</v>
      </c>
      <c r="M75" s="11">
        <f t="shared" si="221"/>
        <v>6019.7999999999993</v>
      </c>
      <c r="N75" s="11">
        <f t="shared" si="221"/>
        <v>6115.7</v>
      </c>
      <c r="O75" s="11">
        <f t="shared" si="221"/>
        <v>5903</v>
      </c>
      <c r="P75" s="11">
        <f t="shared" si="221"/>
        <v>5929.3</v>
      </c>
      <c r="Q75" s="11">
        <f t="shared" si="221"/>
        <v>6019.7999999999993</v>
      </c>
      <c r="R75" s="11">
        <f t="shared" si="221"/>
        <v>5875.7999999999993</v>
      </c>
      <c r="S75" s="11">
        <f t="shared" si="221"/>
        <v>5536.6</v>
      </c>
      <c r="T75" s="11">
        <f t="shared" si="221"/>
        <v>5367.9000000000005</v>
      </c>
      <c r="U75" s="11">
        <f t="shared" si="221"/>
        <v>5581.5999999999995</v>
      </c>
      <c r="V75" s="11">
        <f t="shared" si="221"/>
        <v>5756.6000000000013</v>
      </c>
      <c r="W75" s="11">
        <f t="shared" si="221"/>
        <v>6025.0999999999995</v>
      </c>
      <c r="X75" s="11">
        <f t="shared" si="221"/>
        <v>6232.5</v>
      </c>
      <c r="Y75" s="11">
        <f t="shared" si="221"/>
        <v>5898.5</v>
      </c>
      <c r="Z75" s="11">
        <f t="shared" si="221"/>
        <v>6055.4</v>
      </c>
      <c r="AA75" s="11">
        <f t="shared" si="221"/>
        <v>5862.9000000000005</v>
      </c>
      <c r="AB75" s="11">
        <f t="shared" si="221"/>
        <v>5824.7999999999993</v>
      </c>
      <c r="AC75" s="11">
        <f t="shared" si="221"/>
        <v>6481</v>
      </c>
      <c r="AE75" s="11">
        <f t="shared" ref="AE75:AH75" si="222">SUM(AE63:AE74)</f>
        <v>5810.7</v>
      </c>
      <c r="AF75" s="11">
        <f t="shared" si="222"/>
        <v>6411.5999999999995</v>
      </c>
      <c r="AG75" s="11">
        <f t="shared" si="222"/>
        <v>6781.7</v>
      </c>
      <c r="AH75" s="11">
        <f t="shared" si="222"/>
        <v>7051.7</v>
      </c>
      <c r="AI75" s="11">
        <f t="shared" ref="AI75:AJ75" si="223">SUM(AI63:AI74)</f>
        <v>7071.0999999999995</v>
      </c>
      <c r="AJ75" s="11">
        <f t="shared" si="223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24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C76" s="25">
        <v>296.39999999999998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25">F76</f>
        <v>183.5</v>
      </c>
      <c r="AJ76" s="25">
        <f t="shared" ref="AJ76:AJ88" si="226">J76</f>
        <v>61.3</v>
      </c>
      <c r="AK76" s="25">
        <f t="shared" ref="AK76:AK88" si="227">N76</f>
        <v>51.7</v>
      </c>
      <c r="AL76" s="25">
        <f t="shared" ref="AL76:AL88" si="228">R76</f>
        <v>65.599999999999994</v>
      </c>
      <c r="AM76" s="25">
        <f t="shared" ref="AM76:AM88" si="229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C77" s="11">
        <v>2.2000000000000002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25"/>
        <v>0</v>
      </c>
      <c r="AJ77" s="11">
        <f t="shared" si="226"/>
        <v>0</v>
      </c>
      <c r="AK77" s="11">
        <f t="shared" si="227"/>
        <v>0</v>
      </c>
      <c r="AL77" s="11">
        <f t="shared" si="228"/>
        <v>0</v>
      </c>
      <c r="AM77" s="11">
        <f t="shared" si="229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C78" s="25">
        <v>0.6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25"/>
        <v>4.0999999999999996</v>
      </c>
      <c r="AJ78" s="25">
        <f t="shared" si="226"/>
        <v>0.7</v>
      </c>
      <c r="AK78" s="25">
        <f t="shared" si="227"/>
        <v>1.3</v>
      </c>
      <c r="AL78" s="25">
        <f t="shared" si="228"/>
        <v>0</v>
      </c>
      <c r="AM78" s="25">
        <f t="shared" si="229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25"/>
        <v>17.399999999999999</v>
      </c>
      <c r="AJ79" s="11">
        <f t="shared" si="226"/>
        <v>13.6</v>
      </c>
      <c r="AK79" s="11">
        <f t="shared" si="227"/>
        <v>0</v>
      </c>
      <c r="AL79" s="11">
        <f t="shared" si="228"/>
        <v>0</v>
      </c>
      <c r="AM79" s="11">
        <f t="shared" si="229"/>
        <v>0</v>
      </c>
      <c r="AN79" s="11">
        <f t="shared" ref="AN79:AN88" si="230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25"/>
        <v>9.8000000000000007</v>
      </c>
      <c r="AJ80" s="11">
        <f t="shared" si="226"/>
        <v>0.8</v>
      </c>
      <c r="AK80" s="11">
        <f t="shared" si="227"/>
        <v>1.5</v>
      </c>
      <c r="AL80" s="11">
        <f t="shared" si="228"/>
        <v>2.4</v>
      </c>
      <c r="AM80" s="11">
        <f t="shared" si="229"/>
        <v>0</v>
      </c>
      <c r="AN80" s="11">
        <f t="shared" si="230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C81" s="11">
        <v>28.2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25"/>
        <v>10.5</v>
      </c>
      <c r="AJ81" s="11">
        <f t="shared" si="226"/>
        <v>9.1999999999999993</v>
      </c>
      <c r="AK81" s="11">
        <f t="shared" si="227"/>
        <v>21.4</v>
      </c>
      <c r="AL81" s="11">
        <f t="shared" si="228"/>
        <v>22.4</v>
      </c>
      <c r="AM81" s="11">
        <f t="shared" si="229"/>
        <v>50.4</v>
      </c>
      <c r="AN81" s="11">
        <f t="shared" si="230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C82" s="11">
        <v>1.5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25"/>
        <v>0</v>
      </c>
      <c r="AJ82" s="11">
        <f t="shared" si="226"/>
        <v>0</v>
      </c>
      <c r="AK82" s="11">
        <f t="shared" si="227"/>
        <v>0</v>
      </c>
      <c r="AL82" s="11">
        <f t="shared" si="228"/>
        <v>0</v>
      </c>
      <c r="AM82" s="11">
        <f t="shared" si="229"/>
        <v>2.2999999999999998</v>
      </c>
      <c r="AN82" s="11">
        <f t="shared" si="230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C83" s="11">
        <v>132.5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25"/>
        <v>21.6</v>
      </c>
      <c r="AJ83" s="11">
        <f t="shared" si="226"/>
        <v>35</v>
      </c>
      <c r="AK83" s="11">
        <f t="shared" si="227"/>
        <v>104.6</v>
      </c>
      <c r="AL83" s="11">
        <f t="shared" si="228"/>
        <v>97.6</v>
      </c>
      <c r="AM83" s="11">
        <f t="shared" si="229"/>
        <v>48.1</v>
      </c>
      <c r="AN83" s="11">
        <f t="shared" si="230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C84" s="11">
        <v>205.9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25"/>
        <v>105.6</v>
      </c>
      <c r="AJ84" s="11">
        <f t="shared" si="226"/>
        <v>93.9</v>
      </c>
      <c r="AK84" s="11">
        <f t="shared" si="227"/>
        <v>120.7</v>
      </c>
      <c r="AL84" s="11">
        <f t="shared" si="228"/>
        <v>125.6</v>
      </c>
      <c r="AM84" s="11">
        <f t="shared" si="229"/>
        <v>135.19999999999999</v>
      </c>
      <c r="AN84" s="11">
        <f t="shared" si="230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C85" s="11">
        <v>46.1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25"/>
        <v>6.3</v>
      </c>
      <c r="AJ85" s="11">
        <f t="shared" si="226"/>
        <v>8.1</v>
      </c>
      <c r="AK85" s="11">
        <f t="shared" si="227"/>
        <v>5.2</v>
      </c>
      <c r="AL85" s="11">
        <f t="shared" si="228"/>
        <v>4.4000000000000004</v>
      </c>
      <c r="AM85" s="11">
        <f t="shared" si="229"/>
        <v>12.3</v>
      </c>
      <c r="AN85" s="11">
        <f t="shared" si="230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C86" s="11">
        <v>1905.1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25"/>
        <v>1964.7</v>
      </c>
      <c r="AJ86" s="11">
        <f t="shared" si="226"/>
        <v>2058.6</v>
      </c>
      <c r="AK86" s="11">
        <f t="shared" si="227"/>
        <v>1956</v>
      </c>
      <c r="AL86" s="11">
        <f t="shared" si="228"/>
        <v>1687.6</v>
      </c>
      <c r="AM86" s="11">
        <f t="shared" si="229"/>
        <v>1649.2</v>
      </c>
      <c r="AN86" s="11">
        <f t="shared" si="230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C87" s="11">
        <v>2466.9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25"/>
        <v>1898.8</v>
      </c>
      <c r="AJ87" s="11">
        <f t="shared" si="226"/>
        <v>2051.6999999999998</v>
      </c>
      <c r="AK87" s="11">
        <f t="shared" si="227"/>
        <v>2075.6</v>
      </c>
      <c r="AL87" s="11">
        <f t="shared" si="228"/>
        <v>2213.4</v>
      </c>
      <c r="AM87" s="11">
        <f t="shared" si="229"/>
        <v>2246.5</v>
      </c>
      <c r="AN87" s="11">
        <f t="shared" si="230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C88" s="11">
        <v>104.9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25"/>
        <v>0</v>
      </c>
      <c r="AJ88" s="11">
        <f t="shared" si="226"/>
        <v>48</v>
      </c>
      <c r="AK88" s="11">
        <f t="shared" si="227"/>
        <v>62.3</v>
      </c>
      <c r="AL88" s="11">
        <f t="shared" si="228"/>
        <v>60.2</v>
      </c>
      <c r="AM88" s="11">
        <f t="shared" si="229"/>
        <v>65.099999999999994</v>
      </c>
      <c r="AN88" s="11">
        <f t="shared" si="230"/>
        <v>88</v>
      </c>
    </row>
    <row r="89" spans="2:40">
      <c r="B89" s="3" t="s">
        <v>98</v>
      </c>
      <c r="C89" s="11">
        <f t="shared" ref="C89:AC89" si="231">SUM(C76:C88)+C75</f>
        <v>11995.099999999999</v>
      </c>
      <c r="D89" s="11">
        <f t="shared" si="231"/>
        <v>11811.099999999999</v>
      </c>
      <c r="E89" s="11">
        <f t="shared" si="231"/>
        <v>11794.5</v>
      </c>
      <c r="F89" s="11">
        <f t="shared" si="231"/>
        <v>11293.4</v>
      </c>
      <c r="G89" s="11">
        <f t="shared" si="231"/>
        <v>11185.6</v>
      </c>
      <c r="H89" s="11">
        <f t="shared" si="231"/>
        <v>11273.4</v>
      </c>
      <c r="I89" s="11">
        <f t="shared" si="231"/>
        <v>11062.5</v>
      </c>
      <c r="J89" s="11">
        <f t="shared" si="231"/>
        <v>10572.5</v>
      </c>
      <c r="K89" s="11">
        <f t="shared" si="231"/>
        <v>10856.099999999999</v>
      </c>
      <c r="L89" s="11">
        <f t="shared" si="231"/>
        <v>10325.400000000001</v>
      </c>
      <c r="M89" s="11">
        <f t="shared" si="231"/>
        <v>10382.700000000001</v>
      </c>
      <c r="N89" s="11">
        <f t="shared" si="231"/>
        <v>10516</v>
      </c>
      <c r="O89" s="11">
        <f t="shared" si="231"/>
        <v>10308.1</v>
      </c>
      <c r="P89" s="11">
        <f t="shared" si="231"/>
        <v>10341.299999999999</v>
      </c>
      <c r="Q89" s="11">
        <f t="shared" si="231"/>
        <v>10382.700000000001</v>
      </c>
      <c r="R89" s="11">
        <f t="shared" si="231"/>
        <v>10155</v>
      </c>
      <c r="S89" s="11">
        <f t="shared" si="231"/>
        <v>9868.4</v>
      </c>
      <c r="T89" s="11">
        <f t="shared" si="231"/>
        <v>9698.7999999999993</v>
      </c>
      <c r="U89" s="11">
        <f t="shared" si="231"/>
        <v>9932.4</v>
      </c>
      <c r="V89" s="11">
        <f t="shared" si="231"/>
        <v>10142.100000000002</v>
      </c>
      <c r="W89" s="11">
        <f t="shared" si="231"/>
        <v>10457.700000000001</v>
      </c>
      <c r="X89" s="11">
        <f t="shared" si="231"/>
        <v>10728.7</v>
      </c>
      <c r="Y89" s="11">
        <f t="shared" si="231"/>
        <v>10413.6</v>
      </c>
      <c r="Z89" s="11">
        <f t="shared" si="231"/>
        <v>10782.5</v>
      </c>
      <c r="AA89" s="11">
        <f t="shared" si="231"/>
        <v>10773.7</v>
      </c>
      <c r="AB89" s="11">
        <f t="shared" si="231"/>
        <v>10876.099999999999</v>
      </c>
      <c r="AC89" s="11">
        <f t="shared" si="231"/>
        <v>11671.3</v>
      </c>
      <c r="AE89" s="11">
        <f t="shared" ref="AE89:AH89" si="232">SUM(AE76:AE88)+AE75</f>
        <v>10411</v>
      </c>
      <c r="AF89" s="11">
        <f t="shared" si="232"/>
        <v>11669.5</v>
      </c>
      <c r="AG89" s="11">
        <f t="shared" si="232"/>
        <v>11664.599999999999</v>
      </c>
      <c r="AH89" s="11">
        <f t="shared" si="232"/>
        <v>11936.2</v>
      </c>
      <c r="AI89" s="11">
        <f t="shared" si="225"/>
        <v>11293.4</v>
      </c>
      <c r="AJ89" s="11">
        <f t="shared" ref="AJ89" si="233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34">SUM(AM76:AM88)+AM75</f>
        <v>10142.100000000002</v>
      </c>
      <c r="AN89" s="11">
        <f t="shared" si="234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C91" s="11">
        <v>1159.5999999999999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35">J91</f>
        <v>832.7</v>
      </c>
      <c r="AK91" s="11">
        <f t="shared" ref="AK91:AK105" si="236">N91</f>
        <v>502.3</v>
      </c>
      <c r="AL91" s="11">
        <f t="shared" ref="AL91:AL105" si="237">R91</f>
        <v>495.2</v>
      </c>
      <c r="AM91" s="11">
        <f t="shared" ref="AM91:AM105" si="238">V91</f>
        <v>739.5</v>
      </c>
      <c r="AN91" s="11">
        <f t="shared" ref="AN91:AN93" si="239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C92" s="11">
        <v>48.4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35"/>
        <v>0</v>
      </c>
      <c r="AK92" s="11">
        <f t="shared" si="236"/>
        <v>0</v>
      </c>
      <c r="AL92" s="11">
        <f t="shared" si="237"/>
        <v>14.8</v>
      </c>
      <c r="AM92" s="11">
        <f t="shared" si="238"/>
        <v>27.5</v>
      </c>
      <c r="AN92" s="11">
        <f t="shared" si="239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C93" s="11">
        <v>18.3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35"/>
        <v>8</v>
      </c>
      <c r="AK93" s="11">
        <f t="shared" si="236"/>
        <v>11.4</v>
      </c>
      <c r="AL93" s="11">
        <f t="shared" si="237"/>
        <v>11.5</v>
      </c>
      <c r="AM93" s="11">
        <f t="shared" si="238"/>
        <v>12</v>
      </c>
      <c r="AN93" s="11">
        <f t="shared" si="239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C94" s="25">
        <v>101.5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40">F94</f>
        <v>179.3</v>
      </c>
      <c r="AJ94" s="11">
        <f t="shared" si="235"/>
        <v>215</v>
      </c>
      <c r="AK94" s="25">
        <f t="shared" si="236"/>
        <v>375.5</v>
      </c>
      <c r="AL94" s="25">
        <f t="shared" si="237"/>
        <v>574.20000000000005</v>
      </c>
      <c r="AM94" s="25">
        <f t="shared" si="238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40"/>
        <v>324</v>
      </c>
      <c r="AJ95" s="11">
        <f t="shared" si="235"/>
        <v>4</v>
      </c>
      <c r="AK95" s="25">
        <f t="shared" si="236"/>
        <v>0</v>
      </c>
      <c r="AL95" s="25">
        <f t="shared" si="237"/>
        <v>0</v>
      </c>
      <c r="AM95" s="11">
        <f t="shared" si="238"/>
        <v>0</v>
      </c>
      <c r="AN95" s="11">
        <f t="shared" ref="AN95:AN97" si="241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C96" s="11">
        <v>411.9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40"/>
        <v>288.39999999999998</v>
      </c>
      <c r="AJ96" s="11">
        <f t="shared" si="235"/>
        <v>289.8</v>
      </c>
      <c r="AK96" s="11">
        <f t="shared" si="236"/>
        <v>249.9</v>
      </c>
      <c r="AL96" s="11">
        <f t="shared" si="237"/>
        <v>241.3</v>
      </c>
      <c r="AM96" s="11">
        <f t="shared" si="238"/>
        <v>319.89999999999998</v>
      </c>
      <c r="AN96" s="11">
        <f t="shared" si="241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C97" s="11">
        <v>2126.1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40"/>
        <v>1045.4000000000001</v>
      </c>
      <c r="AJ97" s="11">
        <f t="shared" si="235"/>
        <v>1171.7</v>
      </c>
      <c r="AK97" s="11">
        <f t="shared" si="236"/>
        <v>1033</v>
      </c>
      <c r="AL97" s="11">
        <f t="shared" si="237"/>
        <v>1204.5999999999999</v>
      </c>
      <c r="AM97" s="11">
        <f t="shared" si="238"/>
        <v>1469</v>
      </c>
      <c r="AN97" s="11">
        <f t="shared" si="241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C98" s="25">
        <v>29.3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40"/>
        <v>8.1</v>
      </c>
      <c r="AJ98" s="25">
        <f t="shared" si="235"/>
        <v>4.5</v>
      </c>
      <c r="AK98" s="25">
        <f t="shared" si="236"/>
        <v>1.2</v>
      </c>
      <c r="AL98" s="25">
        <f t="shared" si="237"/>
        <v>2.9</v>
      </c>
      <c r="AM98" s="25">
        <f t="shared" si="238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C99" s="11">
        <v>37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40"/>
        <v>68.400000000000006</v>
      </c>
      <c r="AJ99" s="11">
        <f t="shared" si="235"/>
        <v>63.8</v>
      </c>
      <c r="AK99" s="11">
        <f t="shared" si="236"/>
        <v>71.900000000000006</v>
      </c>
      <c r="AL99" s="11">
        <f t="shared" si="237"/>
        <v>40.4</v>
      </c>
      <c r="AM99" s="11">
        <f t="shared" si="238"/>
        <v>47.2</v>
      </c>
      <c r="AN99" s="11">
        <f t="shared" ref="AN99:AN105" si="242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C100" s="11">
        <v>115.7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40"/>
        <v>48</v>
      </c>
      <c r="AJ100" s="11">
        <f t="shared" si="235"/>
        <v>97.5</v>
      </c>
      <c r="AK100" s="11">
        <f t="shared" si="236"/>
        <v>40.700000000000003</v>
      </c>
      <c r="AL100" s="11">
        <f t="shared" si="237"/>
        <v>71.599999999999994</v>
      </c>
      <c r="AM100" s="11">
        <f t="shared" si="238"/>
        <v>107.2</v>
      </c>
      <c r="AN100" s="11">
        <f t="shared" si="242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40"/>
        <v>51</v>
      </c>
      <c r="AJ101" s="11">
        <f t="shared" si="235"/>
        <v>30.7</v>
      </c>
      <c r="AK101" s="11">
        <f t="shared" si="236"/>
        <v>42.6</v>
      </c>
      <c r="AL101" s="11">
        <f t="shared" si="237"/>
        <v>15.8</v>
      </c>
      <c r="AM101" s="11">
        <f t="shared" si="238"/>
        <v>0</v>
      </c>
      <c r="AN101" s="11">
        <f t="shared" si="242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C102" s="11">
        <v>10.1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40"/>
        <v>2</v>
      </c>
      <c r="AJ102" s="11">
        <f t="shared" si="235"/>
        <v>2</v>
      </c>
      <c r="AK102" s="11">
        <f t="shared" si="236"/>
        <v>0.5</v>
      </c>
      <c r="AL102" s="11">
        <f t="shared" si="237"/>
        <v>2.5</v>
      </c>
      <c r="AM102" s="11">
        <f t="shared" si="238"/>
        <v>2.6</v>
      </c>
      <c r="AN102" s="11">
        <f t="shared" si="242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C103" s="11">
        <v>99.6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40"/>
        <v>116.9</v>
      </c>
      <c r="AJ103" s="11">
        <f t="shared" si="235"/>
        <v>117.3</v>
      </c>
      <c r="AK103" s="11">
        <f t="shared" si="236"/>
        <v>98.5</v>
      </c>
      <c r="AL103" s="11">
        <f t="shared" si="237"/>
        <v>108.9</v>
      </c>
      <c r="AM103" s="11">
        <f t="shared" si="238"/>
        <v>126.4</v>
      </c>
      <c r="AN103" s="11">
        <f t="shared" si="242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40"/>
        <v>5</v>
      </c>
      <c r="AJ104" s="11">
        <f t="shared" si="235"/>
        <v>1.4</v>
      </c>
      <c r="AK104" s="11">
        <f t="shared" si="236"/>
        <v>1.2</v>
      </c>
      <c r="AL104" s="11">
        <f t="shared" si="237"/>
        <v>0</v>
      </c>
      <c r="AM104" s="11">
        <f t="shared" si="238"/>
        <v>0</v>
      </c>
      <c r="AN104" s="11">
        <f t="shared" si="242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C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40"/>
        <v>0</v>
      </c>
      <c r="AJ105" s="11">
        <f t="shared" si="235"/>
        <v>0</v>
      </c>
      <c r="AK105" s="11">
        <f t="shared" si="236"/>
        <v>0</v>
      </c>
      <c r="AL105" s="11">
        <f t="shared" si="237"/>
        <v>45.1</v>
      </c>
      <c r="AM105" s="11">
        <f t="shared" si="238"/>
        <v>0</v>
      </c>
      <c r="AN105" s="11">
        <f t="shared" si="242"/>
        <v>0</v>
      </c>
    </row>
    <row r="106" spans="2:40">
      <c r="B106" s="3" t="s">
        <v>115</v>
      </c>
      <c r="C106" s="11">
        <f t="shared" ref="C106:AC106" si="243">SUM(C91:C105)</f>
        <v>2938.9</v>
      </c>
      <c r="D106" s="11">
        <f t="shared" si="243"/>
        <v>2981.9999999999995</v>
      </c>
      <c r="E106" s="11">
        <f t="shared" si="243"/>
        <v>3321.4</v>
      </c>
      <c r="F106" s="11">
        <f t="shared" si="243"/>
        <v>3028.6000000000004</v>
      </c>
      <c r="G106" s="11">
        <f t="shared" si="243"/>
        <v>3116.7999999999997</v>
      </c>
      <c r="H106" s="11">
        <f t="shared" si="243"/>
        <v>3235.1000000000004</v>
      </c>
      <c r="I106" s="11">
        <f t="shared" si="243"/>
        <v>3200.8999999999996</v>
      </c>
      <c r="J106" s="11">
        <f t="shared" si="243"/>
        <v>2838.4</v>
      </c>
      <c r="K106" s="11">
        <f t="shared" si="243"/>
        <v>3364.2999999999993</v>
      </c>
      <c r="L106" s="11">
        <f t="shared" si="243"/>
        <v>2938</v>
      </c>
      <c r="M106" s="11">
        <f t="shared" si="243"/>
        <v>2953.6</v>
      </c>
      <c r="N106" s="11">
        <f t="shared" si="243"/>
        <v>2428.6999999999998</v>
      </c>
      <c r="O106" s="11">
        <f t="shared" si="243"/>
        <v>2410.1999999999998</v>
      </c>
      <c r="P106" s="11">
        <f t="shared" si="243"/>
        <v>2856.2400000000002</v>
      </c>
      <c r="Q106" s="11">
        <f t="shared" si="243"/>
        <v>2953.6</v>
      </c>
      <c r="R106" s="11">
        <f t="shared" si="243"/>
        <v>2828.8</v>
      </c>
      <c r="S106" s="11">
        <f t="shared" si="243"/>
        <v>2756.3</v>
      </c>
      <c r="T106" s="11">
        <f t="shared" si="243"/>
        <v>2640.1000000000004</v>
      </c>
      <c r="U106" s="11">
        <f t="shared" si="243"/>
        <v>3150.6</v>
      </c>
      <c r="V106" s="11">
        <f t="shared" si="243"/>
        <v>3217.2</v>
      </c>
      <c r="W106" s="11">
        <f t="shared" si="243"/>
        <v>3444.1000000000008</v>
      </c>
      <c r="X106" s="11">
        <f t="shared" si="243"/>
        <v>4104.5</v>
      </c>
      <c r="Y106" s="11">
        <f t="shared" si="243"/>
        <v>3577.1000000000004</v>
      </c>
      <c r="Z106" s="11">
        <f t="shared" si="243"/>
        <v>3665.5999999999995</v>
      </c>
      <c r="AA106" s="11">
        <f t="shared" si="243"/>
        <v>3870.6</v>
      </c>
      <c r="AB106" s="11">
        <f t="shared" si="243"/>
        <v>3878.1000000000004</v>
      </c>
      <c r="AC106" s="11">
        <f t="shared" si="243"/>
        <v>4157.5</v>
      </c>
      <c r="AE106" s="11">
        <f t="shared" ref="AE106:AH106" si="244">SUM(AE91:AE105)</f>
        <v>2552.9</v>
      </c>
      <c r="AF106" s="11">
        <f t="shared" si="244"/>
        <v>3080.4</v>
      </c>
      <c r="AG106" s="11">
        <f t="shared" si="244"/>
        <v>3189.4000000000005</v>
      </c>
      <c r="AH106" s="11">
        <f t="shared" si="244"/>
        <v>2792.1</v>
      </c>
      <c r="AI106" s="11">
        <f t="shared" si="240"/>
        <v>3028.6000000000004</v>
      </c>
      <c r="AJ106" s="11">
        <f t="shared" si="235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C107" s="11">
        <v>94.7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40"/>
        <v>0</v>
      </c>
      <c r="AJ107" s="11">
        <f t="shared" si="235"/>
        <v>39.9</v>
      </c>
      <c r="AK107" s="11">
        <f t="shared" ref="AK107:AK118" si="245">N107</f>
        <v>53.3</v>
      </c>
      <c r="AL107" s="11">
        <f t="shared" ref="AL107:AL118" si="246">R107</f>
        <v>52.3</v>
      </c>
      <c r="AM107" s="11">
        <f t="shared" ref="AM107:AM118" si="247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C108" s="25">
        <v>2544.5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40"/>
        <v>3468.4</v>
      </c>
      <c r="AJ108" s="25">
        <f t="shared" si="235"/>
        <v>3177.3</v>
      </c>
      <c r="AK108" s="25">
        <f t="shared" si="245"/>
        <v>4072.5</v>
      </c>
      <c r="AL108" s="25">
        <f t="shared" si="246"/>
        <v>3452.7</v>
      </c>
      <c r="AM108" s="25">
        <f t="shared" si="247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40"/>
        <v>17.399999999999999</v>
      </c>
      <c r="AJ109" s="25">
        <f t="shared" si="235"/>
        <v>13.6</v>
      </c>
      <c r="AK109" s="25">
        <f t="shared" si="245"/>
        <v>0</v>
      </c>
      <c r="AL109" s="25">
        <f t="shared" si="246"/>
        <v>0</v>
      </c>
      <c r="AM109" s="25">
        <f t="shared" si="247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C110" s="11">
        <v>139.5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40"/>
        <v>28.6</v>
      </c>
      <c r="AJ110" s="11">
        <f t="shared" si="235"/>
        <v>18</v>
      </c>
      <c r="AK110" s="11">
        <f t="shared" si="245"/>
        <v>42.3</v>
      </c>
      <c r="AL110" s="11">
        <f t="shared" si="246"/>
        <v>57.6</v>
      </c>
      <c r="AM110" s="11">
        <f t="shared" si="247"/>
        <v>51.1</v>
      </c>
      <c r="AN110" s="11">
        <f t="shared" ref="AN110:AN118" si="248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C111" s="11">
        <v>725.5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40"/>
        <v>198.2</v>
      </c>
      <c r="AJ111" s="11">
        <f t="shared" si="235"/>
        <v>257.8</v>
      </c>
      <c r="AK111" s="11">
        <f t="shared" si="245"/>
        <v>262.39999999999998</v>
      </c>
      <c r="AL111" s="11">
        <f t="shared" si="246"/>
        <v>308.7</v>
      </c>
      <c r="AM111" s="11">
        <f t="shared" si="247"/>
        <v>495</v>
      </c>
      <c r="AN111" s="11">
        <f t="shared" si="248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C112" s="11">
        <v>18.399999999999999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40"/>
        <v>0</v>
      </c>
      <c r="AJ112" s="11">
        <f t="shared" si="235"/>
        <v>0</v>
      </c>
      <c r="AK112" s="11">
        <f t="shared" si="245"/>
        <v>8.6999999999999993</v>
      </c>
      <c r="AL112" s="11">
        <f t="shared" si="246"/>
        <v>3</v>
      </c>
      <c r="AM112" s="11">
        <f t="shared" si="247"/>
        <v>40.1</v>
      </c>
      <c r="AN112" s="11">
        <f t="shared" si="248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C113" s="11">
        <v>13.1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40"/>
        <v>58.2</v>
      </c>
      <c r="AJ113" s="11">
        <f t="shared" si="235"/>
        <v>13.4</v>
      </c>
      <c r="AK113" s="11">
        <f t="shared" si="245"/>
        <v>11.8</v>
      </c>
      <c r="AL113" s="11">
        <f t="shared" si="246"/>
        <v>10</v>
      </c>
      <c r="AM113" s="11">
        <f t="shared" si="247"/>
        <v>13.2</v>
      </c>
      <c r="AN113" s="11">
        <f t="shared" si="248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C114" s="11">
        <v>3.6</v>
      </c>
      <c r="AE114" s="11"/>
      <c r="AF114" s="11"/>
      <c r="AG114" s="11"/>
      <c r="AH114" s="11"/>
      <c r="AI114" s="11">
        <f t="shared" si="240"/>
        <v>0</v>
      </c>
      <c r="AJ114" s="11">
        <f t="shared" si="235"/>
        <v>0</v>
      </c>
      <c r="AK114" s="11">
        <f t="shared" si="245"/>
        <v>0</v>
      </c>
      <c r="AL114" s="11">
        <f t="shared" si="246"/>
        <v>0</v>
      </c>
      <c r="AM114" s="11">
        <f t="shared" si="247"/>
        <v>4</v>
      </c>
      <c r="AN114" s="11">
        <f t="shared" si="248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C115" s="11">
        <v>330.7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40"/>
        <v>254</v>
      </c>
      <c r="AJ115" s="11">
        <f t="shared" si="235"/>
        <v>301</v>
      </c>
      <c r="AK115" s="11">
        <f t="shared" si="245"/>
        <v>474.7</v>
      </c>
      <c r="AL115" s="11">
        <f t="shared" si="246"/>
        <v>505.8</v>
      </c>
      <c r="AM115" s="11">
        <f t="shared" si="247"/>
        <v>370.6</v>
      </c>
      <c r="AN115" s="11">
        <f t="shared" si="248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40"/>
        <v>101.1</v>
      </c>
      <c r="AJ116" s="11">
        <f t="shared" si="235"/>
        <v>109.6</v>
      </c>
      <c r="AK116" s="11">
        <f t="shared" si="245"/>
        <v>82.6</v>
      </c>
      <c r="AL116" s="11">
        <f t="shared" si="246"/>
        <v>2.9</v>
      </c>
      <c r="AM116" s="11">
        <f t="shared" si="247"/>
        <v>0</v>
      </c>
      <c r="AN116" s="11">
        <f t="shared" si="248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C117" s="11">
        <v>14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40"/>
        <v>73.2</v>
      </c>
      <c r="AJ117" s="11">
        <f t="shared" si="235"/>
        <v>63.7</v>
      </c>
      <c r="AK117" s="11">
        <f t="shared" si="245"/>
        <v>57.3</v>
      </c>
      <c r="AL117" s="11">
        <f t="shared" si="246"/>
        <v>37.700000000000003</v>
      </c>
      <c r="AM117" s="11">
        <f t="shared" si="247"/>
        <v>22.6</v>
      </c>
      <c r="AN117" s="11">
        <f t="shared" si="248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C118" s="11">
        <v>214.1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40"/>
        <v>125.5</v>
      </c>
      <c r="AJ118" s="11">
        <f t="shared" si="235"/>
        <v>125.2</v>
      </c>
      <c r="AK118" s="11">
        <f t="shared" si="245"/>
        <v>114.2</v>
      </c>
      <c r="AL118" s="11">
        <f t="shared" si="246"/>
        <v>120.5</v>
      </c>
      <c r="AM118" s="11">
        <f t="shared" si="247"/>
        <v>150.19999999999999</v>
      </c>
      <c r="AN118" s="11">
        <f t="shared" si="248"/>
        <v>173.5</v>
      </c>
    </row>
    <row r="119" spans="2:40">
      <c r="B119" s="3" t="s">
        <v>118</v>
      </c>
      <c r="C119" s="11">
        <f t="shared" ref="C119:AC119" si="249">SUM(C107:C118)+C106</f>
        <v>7811.2000000000007</v>
      </c>
      <c r="D119" s="11">
        <f t="shared" si="249"/>
        <v>7821</v>
      </c>
      <c r="E119" s="11">
        <f t="shared" si="249"/>
        <v>7824.7999999999993</v>
      </c>
      <c r="F119" s="11">
        <f t="shared" si="249"/>
        <v>7353.2</v>
      </c>
      <c r="G119" s="11">
        <f t="shared" si="249"/>
        <v>7293.7999999999993</v>
      </c>
      <c r="H119" s="11">
        <f t="shared" si="249"/>
        <v>7363.3</v>
      </c>
      <c r="I119" s="11">
        <f t="shared" si="249"/>
        <v>7260.1999999999989</v>
      </c>
      <c r="J119" s="11">
        <f t="shared" si="249"/>
        <v>6957.9</v>
      </c>
      <c r="K119" s="11">
        <f t="shared" si="249"/>
        <v>7571.6999999999989</v>
      </c>
      <c r="L119" s="11">
        <f t="shared" si="249"/>
        <v>7345.1</v>
      </c>
      <c r="M119" s="11">
        <f t="shared" si="249"/>
        <v>7574.5</v>
      </c>
      <c r="N119" s="11">
        <f t="shared" si="249"/>
        <v>7608.5</v>
      </c>
      <c r="O119" s="11">
        <f t="shared" si="249"/>
        <v>7513.7</v>
      </c>
      <c r="P119" s="11">
        <f t="shared" si="249"/>
        <v>7455.6400000000012</v>
      </c>
      <c r="Q119" s="11">
        <f t="shared" si="249"/>
        <v>7574.5</v>
      </c>
      <c r="R119" s="11">
        <f t="shared" si="249"/>
        <v>7379.9999999999991</v>
      </c>
      <c r="S119" s="11">
        <f t="shared" si="249"/>
        <v>7111.5000000000009</v>
      </c>
      <c r="T119" s="11">
        <f t="shared" si="249"/>
        <v>6826.0999999999995</v>
      </c>
      <c r="U119" s="11">
        <f t="shared" si="249"/>
        <v>7221.2999999999993</v>
      </c>
      <c r="V119" s="11">
        <f t="shared" si="249"/>
        <v>7317.6999999999989</v>
      </c>
      <c r="W119" s="11">
        <f t="shared" si="249"/>
        <v>7685.7000000000007</v>
      </c>
      <c r="X119" s="11">
        <f t="shared" si="249"/>
        <v>7971.7000000000007</v>
      </c>
      <c r="Y119" s="11">
        <f t="shared" si="249"/>
        <v>7618.0000000000009</v>
      </c>
      <c r="Z119" s="11">
        <f t="shared" si="249"/>
        <v>7743.1999999999989</v>
      </c>
      <c r="AA119" s="11">
        <f t="shared" si="249"/>
        <v>7731.4</v>
      </c>
      <c r="AB119" s="11">
        <f t="shared" si="249"/>
        <v>7762.3000000000011</v>
      </c>
      <c r="AC119" s="11">
        <f t="shared" si="249"/>
        <v>8255.5999999999985</v>
      </c>
      <c r="AE119" s="11">
        <f t="shared" ref="AE119:AH119" si="250">SUM(AE107:AE118)+AE106</f>
        <v>6546.2</v>
      </c>
      <c r="AF119" s="11">
        <f t="shared" si="250"/>
        <v>7825.7999999999993</v>
      </c>
      <c r="AG119" s="11">
        <f t="shared" si="250"/>
        <v>7731.9000000000005</v>
      </c>
      <c r="AH119" s="11">
        <f t="shared" si="250"/>
        <v>7763.7000000000007</v>
      </c>
      <c r="AI119" s="11">
        <f t="shared" ref="AI119:AJ119" si="251">SUM(AI107:AI118)+AI106</f>
        <v>7353.2</v>
      </c>
      <c r="AJ119" s="11">
        <f t="shared" si="251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C121" s="3">
        <v>3415.7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52">C121+C119</f>
        <v>11995.1</v>
      </c>
      <c r="D122" s="11">
        <f t="shared" si="252"/>
        <v>11811.1</v>
      </c>
      <c r="E122" s="11">
        <f t="shared" ref="E122:K122" si="253">E121+E119</f>
        <v>11794.5</v>
      </c>
      <c r="F122" s="11">
        <f t="shared" si="253"/>
        <v>11293.3</v>
      </c>
      <c r="G122" s="11">
        <f t="shared" ref="G122" si="254">G121+G119</f>
        <v>11185.5</v>
      </c>
      <c r="H122" s="11">
        <f t="shared" si="253"/>
        <v>11273.4</v>
      </c>
      <c r="I122" s="11">
        <f t="shared" si="253"/>
        <v>11062.5</v>
      </c>
      <c r="J122" s="11">
        <f t="shared" si="253"/>
        <v>10572.5</v>
      </c>
      <c r="K122" s="11">
        <f t="shared" si="253"/>
        <v>10856.099999999999</v>
      </c>
      <c r="L122" s="11">
        <f t="shared" ref="L122:X122" si="255">L121+L119</f>
        <v>10325.400000000001</v>
      </c>
      <c r="M122" s="11">
        <f t="shared" si="255"/>
        <v>10382.700000000001</v>
      </c>
      <c r="N122" s="11">
        <f t="shared" si="255"/>
        <v>10516</v>
      </c>
      <c r="O122" s="11">
        <f t="shared" si="255"/>
        <v>10308.1</v>
      </c>
      <c r="P122" s="11">
        <f t="shared" si="255"/>
        <v>10341.34</v>
      </c>
      <c r="Q122" s="11">
        <f t="shared" si="255"/>
        <v>10382.700000000001</v>
      </c>
      <c r="R122" s="11">
        <f t="shared" si="255"/>
        <v>10155</v>
      </c>
      <c r="S122" s="11">
        <f t="shared" si="255"/>
        <v>9868.4000000000015</v>
      </c>
      <c r="T122" s="11">
        <f t="shared" si="255"/>
        <v>9698.7999999999993</v>
      </c>
      <c r="U122" s="11">
        <f t="shared" si="255"/>
        <v>9932.4</v>
      </c>
      <c r="V122" s="11">
        <f t="shared" si="255"/>
        <v>10142.099999999999</v>
      </c>
      <c r="W122" s="11">
        <f t="shared" si="255"/>
        <v>10457.700000000001</v>
      </c>
      <c r="X122" s="11">
        <f t="shared" si="255"/>
        <v>10728.7</v>
      </c>
      <c r="Y122" s="11">
        <f t="shared" ref="Y122:AC122" si="256">Y121+Y119</f>
        <v>10413.6</v>
      </c>
      <c r="Z122" s="11">
        <f t="shared" si="256"/>
        <v>10782.5</v>
      </c>
      <c r="AA122" s="11">
        <f t="shared" si="256"/>
        <v>10773.7</v>
      </c>
      <c r="AB122" s="11">
        <f t="shared" si="256"/>
        <v>10876.100000000002</v>
      </c>
      <c r="AC122" s="11">
        <f t="shared" si="256"/>
        <v>11671.3</v>
      </c>
      <c r="AE122" s="11">
        <f t="shared" ref="AE122:AH122" si="257">AE121+AE119</f>
        <v>10411</v>
      </c>
      <c r="AF122" s="11">
        <f t="shared" si="257"/>
        <v>11669.5</v>
      </c>
      <c r="AG122" s="11">
        <f t="shared" si="257"/>
        <v>11673.1</v>
      </c>
      <c r="AH122" s="11">
        <f t="shared" si="257"/>
        <v>11945.7</v>
      </c>
      <c r="AI122" s="11">
        <f t="shared" ref="AI122:AN122" si="258">AI121+AI119</f>
        <v>11293.3</v>
      </c>
      <c r="AJ122" s="11">
        <f t="shared" si="258"/>
        <v>10572.5</v>
      </c>
      <c r="AK122" s="11">
        <f t="shared" si="258"/>
        <v>10516</v>
      </c>
      <c r="AL122" s="11">
        <f t="shared" si="258"/>
        <v>10155</v>
      </c>
      <c r="AM122" s="11">
        <f t="shared" si="258"/>
        <v>10142.099999999999</v>
      </c>
      <c r="AN122" s="11">
        <f t="shared" si="258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9">C89-C119</f>
        <v>4183.8999999999978</v>
      </c>
      <c r="D124" s="11">
        <f t="shared" si="259"/>
        <v>3990.0999999999985</v>
      </c>
      <c r="E124" s="11">
        <f t="shared" ref="E124" si="260">E89-E119</f>
        <v>3969.7000000000007</v>
      </c>
      <c r="F124" s="11">
        <f t="shared" ref="F124:G124" si="261">F89-F119</f>
        <v>3940.2</v>
      </c>
      <c r="G124" s="11">
        <f t="shared" si="261"/>
        <v>3891.8000000000011</v>
      </c>
      <c r="H124" s="11">
        <f t="shared" ref="H124:I124" si="262">H89-H119</f>
        <v>3910.0999999999995</v>
      </c>
      <c r="I124" s="11">
        <f t="shared" si="262"/>
        <v>3802.3000000000011</v>
      </c>
      <c r="J124" s="11">
        <f t="shared" ref="J124:K124" si="263">J89-J119</f>
        <v>3614.6000000000004</v>
      </c>
      <c r="K124" s="11">
        <f t="shared" si="263"/>
        <v>3284.3999999999996</v>
      </c>
      <c r="L124" s="11">
        <f t="shared" ref="L124:O124" si="264">L89-L119</f>
        <v>2980.3000000000011</v>
      </c>
      <c r="M124" s="11">
        <f t="shared" ref="M124" si="265">M89-M119</f>
        <v>2808.2000000000007</v>
      </c>
      <c r="N124" s="11">
        <f t="shared" si="264"/>
        <v>2907.5</v>
      </c>
      <c r="O124" s="11">
        <f t="shared" si="264"/>
        <v>2794.4000000000005</v>
      </c>
      <c r="P124" s="11">
        <f t="shared" ref="P124:Q124" si="266">P89-P119</f>
        <v>2885.659999999998</v>
      </c>
      <c r="Q124" s="11">
        <f t="shared" si="266"/>
        <v>2808.2000000000007</v>
      </c>
      <c r="R124" s="11">
        <f t="shared" ref="R124" si="267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8">U89-U119</f>
        <v>2711.1000000000004</v>
      </c>
      <c r="V124" s="11">
        <f t="shared" si="268"/>
        <v>2824.4000000000033</v>
      </c>
      <c r="W124" s="11">
        <f t="shared" ref="W124:X124" si="269">W89-W119</f>
        <v>2772</v>
      </c>
      <c r="X124" s="11">
        <f t="shared" si="269"/>
        <v>2757</v>
      </c>
      <c r="Y124" s="11">
        <f t="shared" ref="Y124:Z124" si="270">Y89-Y119</f>
        <v>2795.5999999999995</v>
      </c>
      <c r="Z124" s="11">
        <f t="shared" si="270"/>
        <v>3039.3000000000011</v>
      </c>
      <c r="AA124" s="11">
        <f t="shared" ref="AA124:AB124" si="271">AA89-AA119</f>
        <v>3042.3000000000011</v>
      </c>
      <c r="AB124" s="11">
        <f t="shared" si="271"/>
        <v>3113.7999999999975</v>
      </c>
      <c r="AC124" s="11">
        <f t="shared" ref="AC124" si="272">AC89-AC119</f>
        <v>3415.7000000000007</v>
      </c>
      <c r="AE124" s="11">
        <f t="shared" ref="AE124:AF124" si="273">AE89-AE119</f>
        <v>3864.8</v>
      </c>
      <c r="AF124" s="11">
        <f t="shared" si="273"/>
        <v>3843.7000000000007</v>
      </c>
      <c r="AG124" s="11">
        <f t="shared" ref="AG124:AI124" si="274">AG89-AG119</f>
        <v>3932.699999999998</v>
      </c>
      <c r="AH124" s="11">
        <f t="shared" si="274"/>
        <v>4172.5</v>
      </c>
      <c r="AI124" s="11">
        <f t="shared" si="274"/>
        <v>3940.2</v>
      </c>
      <c r="AJ124" s="11">
        <f t="shared" ref="AJ124:AK124" si="275">AJ89-AJ119</f>
        <v>3614.6000000000004</v>
      </c>
      <c r="AK124" s="11">
        <f t="shared" si="275"/>
        <v>2907.5</v>
      </c>
      <c r="AL124" s="11">
        <f>AL89-AL119</f>
        <v>2775.0000000000009</v>
      </c>
      <c r="AM124" s="11">
        <f t="shared" ref="AM124:AN124" si="276">AM89-AM119</f>
        <v>2824.4000000000033</v>
      </c>
      <c r="AN124" s="11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95">C63+C64+C76+C78</f>
        <v>3435.7999999999997</v>
      </c>
      <c r="D127" s="49">
        <f t="shared" si="295"/>
        <v>3346.5</v>
      </c>
      <c r="E127" s="49">
        <f t="shared" ref="E127" si="296">E63+E64+E76+E78</f>
        <v>3147.6</v>
      </c>
      <c r="F127" s="49">
        <f t="shared" ref="F127:G127" si="297">F63+F64+F76+F78</f>
        <v>3211.9</v>
      </c>
      <c r="G127" s="49">
        <f t="shared" si="297"/>
        <v>2485.4999999999995</v>
      </c>
      <c r="H127" s="49">
        <f t="shared" ref="H127:I127" si="298">H63+H64+H76+H78</f>
        <v>2480.8999999999996</v>
      </c>
      <c r="I127" s="49">
        <f t="shared" si="298"/>
        <v>2177.2000000000003</v>
      </c>
      <c r="J127" s="49">
        <f t="shared" ref="J127:K127" si="299">J63+J64+J76+J78</f>
        <v>2780.6</v>
      </c>
      <c r="K127" s="49">
        <f t="shared" si="299"/>
        <v>2501.1</v>
      </c>
      <c r="L127" s="49">
        <f t="shared" ref="L127:O127" si="300">L63+L64+L76+L78</f>
        <v>1998.9</v>
      </c>
      <c r="M127" s="49">
        <f t="shared" ref="M127" si="301">M63+M64+M76+M78</f>
        <v>2503.6999999999998</v>
      </c>
      <c r="N127" s="49">
        <f t="shared" si="300"/>
        <v>2753.6</v>
      </c>
      <c r="O127" s="49">
        <f t="shared" si="300"/>
        <v>2463.4</v>
      </c>
      <c r="P127" s="49">
        <f t="shared" ref="P127:Q127" si="302">P63+P64+P76+P78</f>
        <v>2514.3000000000002</v>
      </c>
      <c r="Q127" s="49">
        <f t="shared" si="302"/>
        <v>2503.6999999999998</v>
      </c>
      <c r="R127" s="49">
        <f t="shared" ref="R127" si="303">R63+R64+R76+R78</f>
        <v>2634.7</v>
      </c>
      <c r="S127" s="49">
        <f t="shared" ref="S127" si="304">S63+S64+S76+S78</f>
        <v>2104.1999999999998</v>
      </c>
      <c r="T127" s="49">
        <f>T63+T64+T76+T78</f>
        <v>1968.2</v>
      </c>
      <c r="U127" s="49">
        <f t="shared" ref="U127:V127" si="305">U63+U64+U76+U78</f>
        <v>1863.1</v>
      </c>
      <c r="V127" s="49">
        <f t="shared" si="305"/>
        <v>2487</v>
      </c>
      <c r="W127" s="49">
        <f t="shared" ref="W127:X127" si="306">W63+W64+W76+W78</f>
        <v>2201.1</v>
      </c>
      <c r="X127" s="49">
        <f t="shared" si="306"/>
        <v>2297</v>
      </c>
      <c r="Y127" s="49">
        <f t="shared" ref="Y127:Z127" si="307">Y63+Y64+Y76+Y78</f>
        <v>1752.2</v>
      </c>
      <c r="Z127" s="49">
        <f t="shared" si="307"/>
        <v>2320.9</v>
      </c>
      <c r="AA127" s="49">
        <f t="shared" ref="AA127:AB127" si="308">AA63+AA64+AA76+AA78</f>
        <v>1758.5</v>
      </c>
      <c r="AB127" s="49">
        <f t="shared" si="308"/>
        <v>1507.1</v>
      </c>
      <c r="AC127" s="49">
        <f t="shared" ref="AC127" si="309">AC63+AC64+AC76+AC78</f>
        <v>1772</v>
      </c>
      <c r="AE127" s="49">
        <f t="shared" ref="AE127:AF127" si="310">AE63+AE64+AE76+AE78</f>
        <v>2482.1</v>
      </c>
      <c r="AF127" s="49">
        <f t="shared" si="310"/>
        <v>3546.8999999999996</v>
      </c>
      <c r="AG127" s="49">
        <f t="shared" ref="AG127:AI127" si="311">AG63+AG64+AG76+AG78</f>
        <v>3196.2999999999997</v>
      </c>
      <c r="AH127" s="49">
        <f t="shared" si="311"/>
        <v>3892.5</v>
      </c>
      <c r="AI127" s="49">
        <f t="shared" si="311"/>
        <v>3211.9</v>
      </c>
      <c r="AJ127" s="49">
        <f t="shared" ref="AJ127:AK127" si="312">AJ63+AJ64+AJ76+AJ78</f>
        <v>2780.6</v>
      </c>
      <c r="AK127" s="49">
        <f t="shared" si="312"/>
        <v>2753.6</v>
      </c>
      <c r="AL127" s="49">
        <f>AL63+AL64+AL76+AL78</f>
        <v>2634.7</v>
      </c>
      <c r="AM127" s="49">
        <f t="shared" ref="AM127:AN127" si="313">AM63+AM64+AM76+AM78</f>
        <v>2487</v>
      </c>
      <c r="AN127" s="49">
        <f t="shared" si="313"/>
        <v>2320.9</v>
      </c>
    </row>
    <row r="128" spans="2:40" s="36" customFormat="1">
      <c r="B128" s="36" t="s">
        <v>7</v>
      </c>
      <c r="C128" s="49">
        <f t="shared" ref="C128:D128" si="314">C94+C98+C108+C95+C109</f>
        <v>4559.1000000000004</v>
      </c>
      <c r="D128" s="49">
        <f t="shared" si="314"/>
        <v>4452.8</v>
      </c>
      <c r="E128" s="49">
        <f t="shared" ref="E128" si="315">E94+E98+E108+E95+E109</f>
        <v>4399.8</v>
      </c>
      <c r="F128" s="49">
        <f t="shared" ref="F128:G128" si="316">F94+F98+F108+F95+F109</f>
        <v>3997.2000000000003</v>
      </c>
      <c r="G128" s="49">
        <f t="shared" si="316"/>
        <v>3928.3</v>
      </c>
      <c r="H128" s="49">
        <f t="shared" ref="H128:I128" si="317">H94+H98+H108+H95+H109</f>
        <v>3879.5</v>
      </c>
      <c r="I128" s="49">
        <f t="shared" si="317"/>
        <v>3811.6</v>
      </c>
      <c r="J128" s="49">
        <f t="shared" ref="J128:K128" si="318">J94+J98+J108+J95+J109</f>
        <v>3414.4</v>
      </c>
      <c r="K128" s="49">
        <f t="shared" si="318"/>
        <v>3862.2</v>
      </c>
      <c r="L128" s="49">
        <f>L94+L98+L108+L95+L109</f>
        <v>3826.3999999999996</v>
      </c>
      <c r="M128" s="49">
        <f t="shared" ref="M128" si="319">M94+M98+M108+M95+M109</f>
        <v>4310.1000000000004</v>
      </c>
      <c r="N128" s="49">
        <f>N94+N98+N108+N95+N109</f>
        <v>4449.2</v>
      </c>
      <c r="O128" s="49">
        <f t="shared" ref="O128" si="320">O94+O98+O108+O95+O109</f>
        <v>4380</v>
      </c>
      <c r="P128" s="49">
        <f t="shared" ref="P128:T128" si="321">P94+P98+P108+P95+P109</f>
        <v>4334.0999999999995</v>
      </c>
      <c r="Q128" s="49">
        <f t="shared" si="321"/>
        <v>4310.1000000000004</v>
      </c>
      <c r="R128" s="49">
        <f t="shared" si="321"/>
        <v>4029.7999999999997</v>
      </c>
      <c r="S128" s="49">
        <f t="shared" si="321"/>
        <v>3559</v>
      </c>
      <c r="T128" s="49">
        <f t="shared" si="321"/>
        <v>3173.8999999999996</v>
      </c>
      <c r="U128" s="49">
        <f t="shared" ref="U128:V128" si="322">U94+U98+U108+U95+U109</f>
        <v>3236.3</v>
      </c>
      <c r="V128" s="49">
        <f t="shared" si="322"/>
        <v>3260.6</v>
      </c>
      <c r="W128" s="49">
        <f t="shared" ref="W128:X128" si="323">W94+W98+W108+W95+W109</f>
        <v>3399</v>
      </c>
      <c r="X128" s="49">
        <f t="shared" si="323"/>
        <v>3584.8999999999996</v>
      </c>
      <c r="Y128" s="49">
        <f t="shared" ref="Y128:Z128" si="324">Y94+Y98+Y108+Y95+Y109</f>
        <v>2951.9</v>
      </c>
      <c r="Z128" s="49">
        <f t="shared" si="324"/>
        <v>2972.1000000000004</v>
      </c>
      <c r="AA128" s="49">
        <f t="shared" ref="AA128:AB128" si="325">AA94+AA98+AA108+AA95+AA109</f>
        <v>2686.1000000000004</v>
      </c>
      <c r="AB128" s="49">
        <f t="shared" si="325"/>
        <v>2714.8</v>
      </c>
      <c r="AC128" s="49">
        <f t="shared" ref="AC128" si="326">AC94+AC98+AC108+AC95+AC109</f>
        <v>2675.3</v>
      </c>
      <c r="AE128" s="49">
        <f t="shared" ref="AE128:AF128" si="327">AE94+AE98+AE108+AE95+AE109</f>
        <v>2923.5</v>
      </c>
      <c r="AF128" s="49">
        <f t="shared" si="327"/>
        <v>3927.5999999999995</v>
      </c>
      <c r="AG128" s="49">
        <f t="shared" ref="AG128:AH128" si="328">AG94+AG98+AG108+AG95+AG109</f>
        <v>4142.2000000000007</v>
      </c>
      <c r="AH128" s="49">
        <f t="shared" si="328"/>
        <v>4571.4000000000005</v>
      </c>
      <c r="AI128" s="49">
        <f t="shared" ref="AI128:AJ128" si="329">AI94+AI98+AI108+AI95+AI109</f>
        <v>3997.2000000000003</v>
      </c>
      <c r="AJ128" s="49">
        <f t="shared" si="329"/>
        <v>3414.4</v>
      </c>
      <c r="AK128" s="49">
        <f t="shared" ref="AK128:AL128" si="330">AK94+AK98+AK108+AK95+AK109</f>
        <v>4449.2</v>
      </c>
      <c r="AL128" s="49">
        <f t="shared" si="330"/>
        <v>4029.7999999999997</v>
      </c>
      <c r="AM128" s="49">
        <f t="shared" ref="AM128:AN128" si="331">AM94+AM98+AM108+AM95+AM109</f>
        <v>3260.6</v>
      </c>
      <c r="AN128" s="49">
        <f t="shared" si="331"/>
        <v>2972.1000000000004</v>
      </c>
    </row>
    <row r="129" spans="2:40">
      <c r="B129" s="3" t="s">
        <v>8</v>
      </c>
      <c r="C129" s="11">
        <f t="shared" ref="C129:D129" si="332">C127-C128</f>
        <v>-1123.3000000000006</v>
      </c>
      <c r="D129" s="11">
        <f t="shared" si="332"/>
        <v>-1106.3000000000002</v>
      </c>
      <c r="E129" s="11">
        <f t="shared" ref="E129" si="333">E127-E128</f>
        <v>-1252.2000000000003</v>
      </c>
      <c r="F129" s="11">
        <f t="shared" ref="F129:G129" si="334">F127-F128</f>
        <v>-785.30000000000018</v>
      </c>
      <c r="G129" s="11">
        <f t="shared" si="334"/>
        <v>-1442.8000000000006</v>
      </c>
      <c r="H129" s="11">
        <f t="shared" ref="H129:I129" si="335">H127-H128</f>
        <v>-1398.6000000000004</v>
      </c>
      <c r="I129" s="11">
        <f t="shared" si="335"/>
        <v>-1634.3999999999996</v>
      </c>
      <c r="J129" s="11">
        <f t="shared" ref="J129:K129" si="336">J127-J128</f>
        <v>-633.80000000000018</v>
      </c>
      <c r="K129" s="11">
        <f t="shared" si="336"/>
        <v>-1361.1</v>
      </c>
      <c r="L129" s="11">
        <f t="shared" ref="L129:M129" si="337">L127-L128</f>
        <v>-1827.4999999999995</v>
      </c>
      <c r="M129" s="11">
        <f t="shared" si="337"/>
        <v>-1806.4000000000005</v>
      </c>
      <c r="N129" s="11">
        <f t="shared" ref="N129:R129" si="338">N127-N128</f>
        <v>-1695.6</v>
      </c>
      <c r="O129" s="11">
        <f t="shared" ref="O129" si="339">O127-O128</f>
        <v>-1916.6</v>
      </c>
      <c r="P129" s="11">
        <f t="shared" si="338"/>
        <v>-1819.7999999999993</v>
      </c>
      <c r="Q129" s="11">
        <f t="shared" si="338"/>
        <v>-1806.4000000000005</v>
      </c>
      <c r="R129" s="11">
        <f t="shared" si="338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40">U127-U128</f>
        <v>-1373.2000000000003</v>
      </c>
      <c r="V129" s="11">
        <f t="shared" si="340"/>
        <v>-773.59999999999991</v>
      </c>
      <c r="W129" s="11">
        <f t="shared" ref="W129:X129" si="341">W127-W128</f>
        <v>-1197.9000000000001</v>
      </c>
      <c r="X129" s="11">
        <f t="shared" si="341"/>
        <v>-1287.8999999999996</v>
      </c>
      <c r="Y129" s="11">
        <f t="shared" ref="Y129:Z129" si="342">Y127-Y128</f>
        <v>-1199.7</v>
      </c>
      <c r="Z129" s="11">
        <f t="shared" si="342"/>
        <v>-651.20000000000027</v>
      </c>
      <c r="AA129" s="11">
        <f t="shared" ref="AA129:AB129" si="343">AA127-AA128</f>
        <v>-927.60000000000036</v>
      </c>
      <c r="AB129" s="11">
        <f t="shared" si="343"/>
        <v>-1207.7000000000003</v>
      </c>
      <c r="AC129" s="11">
        <f t="shared" ref="AC129" si="344">AC127-AC128</f>
        <v>-903.30000000000018</v>
      </c>
      <c r="AE129" s="11">
        <f t="shared" ref="AE129:AF129" si="345">AE127-AE128</f>
        <v>-441.40000000000009</v>
      </c>
      <c r="AF129" s="11">
        <f t="shared" si="345"/>
        <v>-380.69999999999982</v>
      </c>
      <c r="AG129" s="11">
        <f t="shared" ref="AG129:AI129" si="346">AG127-AG128</f>
        <v>-945.900000000001</v>
      </c>
      <c r="AH129" s="11">
        <f t="shared" si="346"/>
        <v>-678.90000000000055</v>
      </c>
      <c r="AI129" s="11">
        <f t="shared" si="346"/>
        <v>-785.30000000000018</v>
      </c>
      <c r="AJ129" s="11">
        <f t="shared" ref="AJ129:AK129" si="347">AJ127-AJ128</f>
        <v>-633.80000000000018</v>
      </c>
      <c r="AK129" s="11">
        <f t="shared" si="347"/>
        <v>-1695.6</v>
      </c>
      <c r="AL129" s="11">
        <f>AL127-AL128</f>
        <v>-1395.1</v>
      </c>
      <c r="AM129" s="11">
        <f t="shared" ref="AM129:AN129" si="348">AM127-AM128</f>
        <v>-773.59999999999991</v>
      </c>
      <c r="AN129" s="11">
        <f t="shared" si="348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49">G70/C70-1</f>
        <v>0.20714400903080143</v>
      </c>
      <c r="H131" s="31">
        <f t="shared" ref="H131" si="350">H70/D70-1</f>
        <v>0.18512820512820527</v>
      </c>
      <c r="I131" s="31">
        <f t="shared" ref="I131" si="351">I70/E70-1</f>
        <v>0.10459366489895361</v>
      </c>
      <c r="J131" s="31">
        <f t="shared" ref="J131:L131" si="352">J70/F70-1</f>
        <v>-4.9062624650977216E-2</v>
      </c>
      <c r="K131" s="31">
        <f t="shared" ref="K131" si="353">K70/G70-1</f>
        <v>-2.3011154899472142E-2</v>
      </c>
      <c r="L131" s="31">
        <f t="shared" si="352"/>
        <v>4.1440601804080712E-2</v>
      </c>
      <c r="M131" s="31">
        <f t="shared" ref="M131" si="354">M70/I70-1</f>
        <v>-0.25227884646576049</v>
      </c>
      <c r="N131" s="31">
        <f t="shared" ref="N131" si="355">N70/J70-1</f>
        <v>2.2609060402684511E-2</v>
      </c>
      <c r="O131" s="31">
        <f t="shared" ref="O131" si="356">O70/K70-1</f>
        <v>-0.15109561412504702</v>
      </c>
      <c r="P131" s="31">
        <f t="shared" ref="P131:S131" si="357">P70/L70-1</f>
        <v>-0.26009971874200977</v>
      </c>
      <c r="Q131" s="31">
        <f t="shared" si="357"/>
        <v>0</v>
      </c>
      <c r="R131" s="31">
        <f t="shared" si="357"/>
        <v>-0.18536445301283899</v>
      </c>
      <c r="S131" s="31">
        <f t="shared" si="357"/>
        <v>-0.10490073692264323</v>
      </c>
      <c r="T131" s="31">
        <f>T70/P70-1</f>
        <v>3.36501079913607E-2</v>
      </c>
      <c r="U131" s="31">
        <f t="shared" ref="U131" si="358">U70/Q70-1</f>
        <v>0.16208242950108454</v>
      </c>
      <c r="V131" s="31">
        <f t="shared" ref="V131" si="359">V70/R70-1</f>
        <v>0.17270896273917424</v>
      </c>
      <c r="W131" s="31">
        <f t="shared" ref="W131" si="360">W70/S70-1</f>
        <v>0.26120208745726115</v>
      </c>
      <c r="X131" s="31">
        <f t="shared" ref="X131" si="361">X70/T70-1</f>
        <v>0.20727986961427547</v>
      </c>
      <c r="Y131" s="31">
        <f t="shared" ref="Y131" si="362">Y70/U70-1</f>
        <v>0.13981184200701868</v>
      </c>
      <c r="Z131" s="31">
        <f t="shared" ref="Z131" si="363">Z70/V70-1</f>
        <v>0.13181623014169164</v>
      </c>
      <c r="AA131" s="31">
        <f t="shared" ref="AA131" si="364">AA70/W70-1</f>
        <v>0.11318399086823128</v>
      </c>
      <c r="AB131" s="31">
        <f t="shared" ref="AB131" si="365">AB70/X70-1</f>
        <v>0.12357644778289312</v>
      </c>
      <c r="AC131" s="31">
        <f t="shared" ref="AC131" si="366">AC70/Y70-1</f>
        <v>9.4101077593266025E-2</v>
      </c>
      <c r="AE131" s="13" t="s">
        <v>186</v>
      </c>
      <c r="AF131" s="31">
        <f t="shared" ref="AF131" si="367">AF70/AE70-1</f>
        <v>-3.7708393963331033E-2</v>
      </c>
      <c r="AG131" s="31">
        <f t="shared" ref="AG131" si="368">AG70/AF70-1</f>
        <v>7.8544888965696114E-2</v>
      </c>
      <c r="AH131" s="31">
        <f t="shared" ref="AH131" si="369">AH70/AG70-1</f>
        <v>-0.13928056401217759</v>
      </c>
      <c r="AI131" s="31">
        <f t="shared" ref="AI131" si="370">AI70/AH70-1</f>
        <v>0.16675198957509196</v>
      </c>
      <c r="AJ131" s="31">
        <f t="shared" ref="AJ131" si="371">AJ70/AI70-1</f>
        <v>-4.9062624650977216E-2</v>
      </c>
      <c r="AK131" s="31">
        <f t="shared" ref="AK131" si="372">AK70/AJ70-1</f>
        <v>2.2609060402684511E-2</v>
      </c>
      <c r="AL131" s="31">
        <f>AL70/AK70-1</f>
        <v>-0.18536445301283899</v>
      </c>
      <c r="AM131" s="31">
        <f t="shared" ref="AM131" si="373">AM70/AL70-1</f>
        <v>0.17270896273917424</v>
      </c>
      <c r="AN131" s="31">
        <f t="shared" ref="AN131" si="374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75">D70/C70-1</f>
        <v>2.2012578616352085E-2</v>
      </c>
      <c r="E132" s="24">
        <f t="shared" ref="E132" si="376">E70/D70-1</f>
        <v>0.10090729783037489</v>
      </c>
      <c r="F132" s="24">
        <f t="shared" ref="F132" si="377">F70/E70-1</f>
        <v>-0.10169127132005162</v>
      </c>
      <c r="G132" s="24">
        <f t="shared" ref="G132" si="378">G70/F70-1</f>
        <v>0.19433585959313904</v>
      </c>
      <c r="H132" s="24">
        <f t="shared" ref="H132" si="379">H70/G70-1</f>
        <v>3.3731881637835137E-3</v>
      </c>
      <c r="I132" s="24">
        <f t="shared" ref="I132" si="380">I70/H70-1</f>
        <v>2.6095929168192145E-2</v>
      </c>
      <c r="J132" s="24">
        <f t="shared" ref="J132" si="381">J70/I70-1</f>
        <v>-0.22665196094332885</v>
      </c>
      <c r="K132" s="24">
        <f t="shared" ref="K132:P132" si="382">K70/J70-1</f>
        <v>0.22705536912751678</v>
      </c>
      <c r="L132" s="24">
        <f t="shared" si="382"/>
        <v>6.9565514648070259E-2</v>
      </c>
      <c r="M132" s="24">
        <f t="shared" si="382"/>
        <v>-0.26329583226796216</v>
      </c>
      <c r="N132" s="24">
        <f t="shared" si="382"/>
        <v>5.7657266811279806E-2</v>
      </c>
      <c r="O132" s="24">
        <f t="shared" si="382"/>
        <v>1.862258501169034E-2</v>
      </c>
      <c r="P132" s="24">
        <f t="shared" si="382"/>
        <v>-6.7772721781500511E-2</v>
      </c>
      <c r="Q132" s="24">
        <f>Q70/P70-1</f>
        <v>-4.3196544276458138E-3</v>
      </c>
      <c r="R132" s="24">
        <f t="shared" ref="R132:S132" si="383">R70/Q70-1</f>
        <v>-0.13839479392624732</v>
      </c>
      <c r="S132" s="24">
        <f t="shared" si="383"/>
        <v>0.11923464249748239</v>
      </c>
      <c r="T132" s="24">
        <f>T70/S70-1</f>
        <v>7.6525103473096934E-2</v>
      </c>
      <c r="U132" s="24">
        <f t="shared" ref="U132" si="384">U70/T70-1</f>
        <v>0.1193948765096744</v>
      </c>
      <c r="V132" s="24">
        <f t="shared" ref="V132" si="385">V70/U70-1</f>
        <v>-0.13051594116329424</v>
      </c>
      <c r="W132" s="24">
        <f t="shared" ref="W132" si="386">W70/V70-1</f>
        <v>0.20369257191927881</v>
      </c>
      <c r="X132" s="24">
        <f t="shared" ref="X132" si="387">X70/W70-1</f>
        <v>3.0498680174074311E-2</v>
      </c>
      <c r="Y132" s="24">
        <f t="shared" ref="Y132" si="388">Y70/X70-1</f>
        <v>5.6838242929834859E-2</v>
      </c>
      <c r="Z132" s="24">
        <f t="shared" ref="Z132" si="389">Z70/Y70-1</f>
        <v>-0.1366152435229766</v>
      </c>
      <c r="AA132" s="24">
        <f t="shared" ref="AA132" si="390">AA70/Z70-1</f>
        <v>0.18387708649468881</v>
      </c>
      <c r="AB132" s="24">
        <f t="shared" ref="AB132" si="391">AB70/AA70-1</f>
        <v>4.0119204024738231E-2</v>
      </c>
      <c r="AC132" s="24">
        <f t="shared" ref="AC132" si="392">AC70/AB70-1</f>
        <v>2.9113651067500523E-2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93">G70/SUM(D9:G9)</f>
        <v>0.60651852452042865</v>
      </c>
      <c r="H134" s="24">
        <f t="shared" ref="H134" si="394">H70/SUM(E9:H9)</f>
        <v>0.59386427879578574</v>
      </c>
      <c r="I134" s="24">
        <f t="shared" ref="I134" si="395">I70/SUM(F9:I9)</f>
        <v>0.60740463430012614</v>
      </c>
      <c r="J134" s="24">
        <f t="shared" ref="J134" si="396">J70/SUM(G9:J9)</f>
        <v>0.43642221652692853</v>
      </c>
      <c r="K134" s="24">
        <f t="shared" ref="K134" si="397">K70/SUM(H9:K9)</f>
        <v>0.55475906013540421</v>
      </c>
      <c r="L134" s="24">
        <f t="shared" ref="L134" si="398">L70/SUM(I9:L9)</f>
        <v>0.70602039895297419</v>
      </c>
      <c r="M134" s="24">
        <f t="shared" ref="M134" si="399">M70/SUM(J9:M9)</f>
        <v>0.57414003537001523</v>
      </c>
      <c r="N134" s="24">
        <f t="shared" ref="N134" si="400">N70/SUM(K9:N9)</f>
        <v>0.64646919996817898</v>
      </c>
      <c r="O134" s="24">
        <f t="shared" ref="O134" si="401">O70/SUM(L9:O9)</f>
        <v>0.62954418698980885</v>
      </c>
      <c r="P134" s="24">
        <f t="shared" ref="P134:S134" si="402">P70/SUM(M9:P9)</f>
        <v>0.51014786575288118</v>
      </c>
      <c r="Q134" s="24">
        <f t="shared" si="402"/>
        <v>0.48656407658370798</v>
      </c>
      <c r="R134" s="24">
        <f t="shared" si="402"/>
        <v>0.47317259125131039</v>
      </c>
      <c r="S134" s="24">
        <f t="shared" si="402"/>
        <v>0.55698105642978857</v>
      </c>
      <c r="T134" s="24">
        <f>T70/SUM(Q9:T9)</f>
        <v>0.61685399051350787</v>
      </c>
      <c r="U134" s="24">
        <f t="shared" ref="U134" si="403">U70/SUM(R9:U9)</f>
        <v>0.69572218903405103</v>
      </c>
      <c r="V134" s="24">
        <f t="shared" ref="V134" si="404">V70/SUM(S9:V9)</f>
        <v>0.51295040084574051</v>
      </c>
      <c r="W134" s="24">
        <f t="shared" ref="W134:X134" si="405">W70/SUM(T9:W9)</f>
        <v>0.60207894849877586</v>
      </c>
      <c r="X134" s="24">
        <f t="shared" si="405"/>
        <v>0.58603132099967548</v>
      </c>
      <c r="Y134" s="24">
        <f t="shared" ref="Y134:Z134" si="406">Y70/SUM(V9:Y9)</f>
        <v>0.5776915799432355</v>
      </c>
      <c r="Z134" s="24">
        <f t="shared" si="406"/>
        <v>0.5003321628547025</v>
      </c>
      <c r="AA134" s="24">
        <f t="shared" ref="AA134:AC134" si="407">AA70/SUM(X9:AA9)</f>
        <v>0.57277365832170912</v>
      </c>
      <c r="AB134" s="24">
        <f t="shared" si="407"/>
        <v>0.57446507265100955</v>
      </c>
      <c r="AC134" s="24">
        <f t="shared" si="407"/>
        <v>0.55137579849132601</v>
      </c>
      <c r="AE134" s="24">
        <f t="shared" ref="AE134:AH134" si="408">AE70/AE9</f>
        <v>0.38247360386719248</v>
      </c>
      <c r="AF134" s="24">
        <f t="shared" si="408"/>
        <v>0.39044550530524108</v>
      </c>
      <c r="AG134" s="24">
        <f t="shared" si="408"/>
        <v>0.40151186168073988</v>
      </c>
      <c r="AH134" s="24">
        <f t="shared" si="408"/>
        <v>0.36797218844724533</v>
      </c>
      <c r="AI134" s="24">
        <f t="shared" ref="AI134:AK134" si="409">AI70/AI9</f>
        <v>0.49437005777839121</v>
      </c>
      <c r="AJ134" s="24">
        <f t="shared" si="409"/>
        <v>0.43642221652692853</v>
      </c>
      <c r="AK134" s="24">
        <f t="shared" si="409"/>
        <v>0.64646919996817909</v>
      </c>
      <c r="AL134" s="24">
        <f>AL70/AL9</f>
        <v>0.47317259125131039</v>
      </c>
      <c r="AM134" s="24">
        <f t="shared" ref="AM134:AN134" si="410">AM70/AM9</f>
        <v>0.51295040084574051</v>
      </c>
      <c r="AN134" s="24">
        <f t="shared" si="410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411">C136*C27</f>
        <v>19065.8</v>
      </c>
      <c r="D137" s="11">
        <f t="shared" si="411"/>
        <v>18264.149999999998</v>
      </c>
      <c r="E137" s="11">
        <f t="shared" si="411"/>
        <v>14375.142</v>
      </c>
      <c r="F137" s="11">
        <f t="shared" si="411"/>
        <v>16245.633</v>
      </c>
      <c r="G137" s="11">
        <f t="shared" si="411"/>
        <v>13985.657000000003</v>
      </c>
      <c r="H137" s="11">
        <f t="shared" ref="H137:I137" si="412">H136*H27</f>
        <v>14877.875999999998</v>
      </c>
      <c r="I137" s="11">
        <f t="shared" si="412"/>
        <v>12692.55</v>
      </c>
      <c r="J137" s="11">
        <f t="shared" ref="J137:K137" si="413">J136*J27</f>
        <v>14342.690999999999</v>
      </c>
      <c r="K137" s="11">
        <f t="shared" si="413"/>
        <v>5314.6419999999998</v>
      </c>
      <c r="L137" s="11">
        <f t="shared" ref="L137" si="414">L136*L27</f>
        <v>4402.4760000000006</v>
      </c>
      <c r="M137" s="11">
        <f t="shared" ref="M137:T137" si="415">M136*M27</f>
        <v>3246.6420000000003</v>
      </c>
      <c r="N137" s="11">
        <f t="shared" si="415"/>
        <v>5013.5219999999999</v>
      </c>
      <c r="O137" s="11">
        <f t="shared" si="415"/>
        <v>7320.6</v>
      </c>
      <c r="P137" s="11">
        <f t="shared" si="415"/>
        <v>11124.871999999999</v>
      </c>
      <c r="Q137" s="11">
        <f t="shared" si="415"/>
        <v>12491.599999999999</v>
      </c>
      <c r="R137" s="11">
        <f t="shared" si="415"/>
        <v>10212.330000000002</v>
      </c>
      <c r="S137" s="11">
        <f t="shared" si="415"/>
        <v>9263.3060000000005</v>
      </c>
      <c r="T137" s="11">
        <f t="shared" si="415"/>
        <v>6449.7879999999996</v>
      </c>
      <c r="U137" s="11">
        <f t="shared" ref="U137:V137" si="416">U136*U27</f>
        <v>6317.5599999999995</v>
      </c>
      <c r="V137" s="11">
        <f t="shared" si="416"/>
        <v>8030.2710000000006</v>
      </c>
      <c r="W137" s="11">
        <f t="shared" ref="W137:X137" si="417">W136*W27</f>
        <v>12025.402000000002</v>
      </c>
      <c r="X137" s="11">
        <f t="shared" si="417"/>
        <v>11356.916000000001</v>
      </c>
      <c r="Y137" s="11">
        <f t="shared" ref="Y137:Z137" si="418">Y136*Y27</f>
        <v>10078.712000000001</v>
      </c>
      <c r="Z137" s="11">
        <f t="shared" si="418"/>
        <v>13553.37</v>
      </c>
      <c r="AA137" s="11">
        <f t="shared" ref="AA137:AB137" si="419">AA136*AA27</f>
        <v>19569.744000000002</v>
      </c>
      <c r="AB137" s="11">
        <f t="shared" si="419"/>
        <v>19128.984</v>
      </c>
      <c r="AC137" s="11">
        <f t="shared" ref="AC137" si="420">AC136*AC27</f>
        <v>25982.802</v>
      </c>
      <c r="AE137" s="11">
        <f t="shared" ref="AE137:AF137" si="421">AE136*AE27</f>
        <v>27044.182000000001</v>
      </c>
      <c r="AF137" s="11">
        <f t="shared" si="421"/>
        <v>21570.108</v>
      </c>
      <c r="AG137" s="11">
        <f t="shared" ref="AG137:AI137" si="422">AG136*AG27</f>
        <v>14160.300000000001</v>
      </c>
      <c r="AH137" s="11">
        <f t="shared" si="422"/>
        <v>17571.798999999999</v>
      </c>
      <c r="AI137" s="11">
        <f t="shared" si="422"/>
        <v>16245.633</v>
      </c>
      <c r="AJ137" s="11">
        <f t="shared" ref="AJ137:AK137" si="423">AJ136*AJ27</f>
        <v>14342.690999999999</v>
      </c>
      <c r="AK137" s="11">
        <f t="shared" si="423"/>
        <v>5013.5219999999999</v>
      </c>
      <c r="AL137" s="11">
        <f>AL136*AL27</f>
        <v>10212.330000000002</v>
      </c>
      <c r="AM137" s="11">
        <f t="shared" ref="AM137:AN137" si="424">AM136*AM27</f>
        <v>8029.1779999999999</v>
      </c>
      <c r="AN137" s="11">
        <f t="shared" si="424"/>
        <v>13553.37</v>
      </c>
    </row>
    <row r="138" spans="2:40" s="11" customFormat="1">
      <c r="B138" s="11" t="s">
        <v>9</v>
      </c>
      <c r="C138" s="11">
        <f t="shared" ref="C138:G138" si="425">C137-C129</f>
        <v>20189.099999999999</v>
      </c>
      <c r="D138" s="11">
        <f t="shared" si="425"/>
        <v>19370.449999999997</v>
      </c>
      <c r="E138" s="11">
        <f t="shared" si="425"/>
        <v>15627.342000000001</v>
      </c>
      <c r="F138" s="11">
        <f t="shared" si="425"/>
        <v>17030.933000000001</v>
      </c>
      <c r="G138" s="11">
        <f t="shared" si="425"/>
        <v>15428.457000000004</v>
      </c>
      <c r="H138" s="11">
        <f t="shared" ref="H138:I138" si="426">H137-H129</f>
        <v>16276.475999999999</v>
      </c>
      <c r="I138" s="11">
        <f t="shared" si="426"/>
        <v>14326.949999999999</v>
      </c>
      <c r="J138" s="11">
        <f t="shared" ref="J138:K138" si="427">J137-J129</f>
        <v>14976.490999999998</v>
      </c>
      <c r="K138" s="11">
        <f t="shared" si="427"/>
        <v>6675.7420000000002</v>
      </c>
      <c r="L138" s="11">
        <f t="shared" ref="L138" si="428">L137-L129</f>
        <v>6229.9760000000006</v>
      </c>
      <c r="M138" s="11">
        <f t="shared" ref="M138:T138" si="429">M137-M129</f>
        <v>5053.0420000000013</v>
      </c>
      <c r="N138" s="11">
        <f t="shared" si="429"/>
        <v>6709.1219999999994</v>
      </c>
      <c r="O138" s="11">
        <f t="shared" si="429"/>
        <v>9237.2000000000007</v>
      </c>
      <c r="P138" s="11">
        <f t="shared" si="429"/>
        <v>12944.671999999999</v>
      </c>
      <c r="Q138" s="11">
        <f t="shared" si="429"/>
        <v>14298</v>
      </c>
      <c r="R138" s="11">
        <f t="shared" si="429"/>
        <v>11607.430000000002</v>
      </c>
      <c r="S138" s="11">
        <f t="shared" si="429"/>
        <v>10718.106</v>
      </c>
      <c r="T138" s="11">
        <f t="shared" si="429"/>
        <v>7655.4879999999994</v>
      </c>
      <c r="U138" s="11">
        <f t="shared" ref="U138:V138" si="430">U137-U129</f>
        <v>7690.76</v>
      </c>
      <c r="V138" s="11">
        <f t="shared" si="430"/>
        <v>8803.871000000001</v>
      </c>
      <c r="W138" s="11">
        <f t="shared" ref="W138:X138" si="431">W137-W129</f>
        <v>13223.302000000001</v>
      </c>
      <c r="X138" s="11">
        <f t="shared" si="431"/>
        <v>12644.816000000001</v>
      </c>
      <c r="Y138" s="11">
        <f t="shared" ref="Y138:Z138" si="432">Y137-Y129</f>
        <v>11278.412000000002</v>
      </c>
      <c r="Z138" s="11">
        <f t="shared" si="432"/>
        <v>14204.570000000002</v>
      </c>
      <c r="AA138" s="11">
        <f t="shared" ref="AA138:AB138" si="433">AA137-AA129</f>
        <v>20497.344000000005</v>
      </c>
      <c r="AB138" s="11">
        <f t="shared" si="433"/>
        <v>20336.684000000001</v>
      </c>
      <c r="AC138" s="11">
        <f t="shared" ref="AC138" si="434">AC137-AC129</f>
        <v>26886.101999999999</v>
      </c>
      <c r="AE138" s="11">
        <f t="shared" ref="AE138:AF138" si="435">AE137-AE129</f>
        <v>27485.582000000002</v>
      </c>
      <c r="AF138" s="11">
        <f t="shared" si="435"/>
        <v>21950.808000000001</v>
      </c>
      <c r="AG138" s="11">
        <f t="shared" ref="AG138:AI138" si="436">AG137-AG129</f>
        <v>15106.200000000003</v>
      </c>
      <c r="AH138" s="11">
        <f t="shared" si="436"/>
        <v>18250.699000000001</v>
      </c>
      <c r="AI138" s="11">
        <f t="shared" si="436"/>
        <v>17030.933000000001</v>
      </c>
      <c r="AJ138" s="11">
        <f t="shared" ref="AJ138:AK138" si="437">AJ137-AJ129</f>
        <v>14976.490999999998</v>
      </c>
      <c r="AK138" s="11">
        <f t="shared" si="437"/>
        <v>6709.1219999999994</v>
      </c>
      <c r="AL138" s="11">
        <f>AL137-AL129</f>
        <v>11607.430000000002</v>
      </c>
      <c r="AM138" s="11">
        <f t="shared" ref="AM138:AN138" si="438">AM137-AM129</f>
        <v>8802.7780000000002</v>
      </c>
      <c r="AN138" s="11">
        <f t="shared" si="438"/>
        <v>14204.570000000002</v>
      </c>
    </row>
    <row r="140" spans="2:40">
      <c r="B140" s="3" t="s">
        <v>26</v>
      </c>
      <c r="C140" s="54">
        <f t="shared" ref="C140:G140" si="439">C136/C125</f>
        <v>4.5569444776404806</v>
      </c>
      <c r="D140" s="54">
        <f t="shared" si="439"/>
        <v>4.5773664820430584</v>
      </c>
      <c r="E140" s="54">
        <f t="shared" si="439"/>
        <v>3.6212162128120506</v>
      </c>
      <c r="F140" s="54">
        <f t="shared" si="439"/>
        <v>4.1230478148317342</v>
      </c>
      <c r="G140" s="54">
        <f t="shared" si="439"/>
        <v>3.5936217174572174</v>
      </c>
      <c r="H140" s="54">
        <f t="shared" ref="H140:I140" si="440">H136/H125</f>
        <v>3.8049860617375519</v>
      </c>
      <c r="I140" s="54">
        <f t="shared" si="440"/>
        <v>3.3381242931909623</v>
      </c>
      <c r="J140" s="54">
        <f t="shared" ref="J140:K140" si="441">J136/J125</f>
        <v>3.9679884357881914</v>
      </c>
      <c r="K140" s="54">
        <f t="shared" si="441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42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43">U136/U125</f>
        <v>2.3302570912175868</v>
      </c>
      <c r="V140" s="54">
        <f t="shared" si="443"/>
        <v>2.8431776660529637</v>
      </c>
      <c r="W140" s="54">
        <f t="shared" ref="W140:X140" si="444">W136/W125</f>
        <v>4.3381681096681097</v>
      </c>
      <c r="X140" s="54">
        <f t="shared" si="444"/>
        <v>4.119302140007254</v>
      </c>
      <c r="Y140" s="54">
        <f t="shared" ref="Y140:Z140" si="445">Y136/Y125</f>
        <v>3.6052053226498795</v>
      </c>
      <c r="Z140" s="54">
        <f t="shared" si="445"/>
        <v>4.4593722238673363</v>
      </c>
      <c r="AA140" s="54">
        <f t="shared" ref="AA140:AB140" si="446">AA136/AA125</f>
        <v>6.4325490582782745</v>
      </c>
      <c r="AB140" s="54">
        <f t="shared" si="446"/>
        <v>6.143292440105343</v>
      </c>
      <c r="AC140" s="54">
        <f t="shared" ref="AC140" si="447">AC136/AC125</f>
        <v>7.6068747255320996</v>
      </c>
      <c r="AE140" s="54">
        <f t="shared" ref="AE140:AF140" si="448">AE136/AE125</f>
        <v>6.9975631339267226</v>
      </c>
      <c r="AF140" s="54">
        <f t="shared" si="448"/>
        <v>5.6118084137679833</v>
      </c>
      <c r="AG140" s="54">
        <f t="shared" ref="AG140:AH140" si="449">AG136/AG125</f>
        <v>3.6006560378366026</v>
      </c>
      <c r="AH140" s="54">
        <f t="shared" si="449"/>
        <v>4.2113358897543431</v>
      </c>
      <c r="AI140" s="54">
        <f t="shared" ref="AI140:AJ140" si="450">AI136/AI125</f>
        <v>4.1230478148317342</v>
      </c>
      <c r="AJ140" s="54">
        <f t="shared" si="450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51">AM136/AM125</f>
        <v>2.8427906812066248</v>
      </c>
      <c r="AN140" s="54">
        <f t="shared" si="451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52">H136/SUM(E9:H9)</f>
        <v>3.9969163256834486E-3</v>
      </c>
      <c r="I141" s="68">
        <f t="shared" ref="I141" si="453">I136/SUM(F9:I9)</f>
        <v>3.3988808322824725E-3</v>
      </c>
      <c r="J141" s="68">
        <f t="shared" ref="J141" si="454">J136/SUM(G9:J9)</f>
        <v>3.5678980705158708E-3</v>
      </c>
      <c r="K141" s="68">
        <f t="shared" ref="K141" si="455">K136/SUM(H9:K9)</f>
        <v>1.3692135555934837E-3</v>
      </c>
      <c r="L141" s="68">
        <f t="shared" ref="L141" si="456">L136/SUM(I9:L9)</f>
        <v>1.3493997653217802E-3</v>
      </c>
      <c r="M141" s="68">
        <f t="shared" ref="M141" si="457">M136/SUM(J9:M9)</f>
        <v>1.0984631479313523E-3</v>
      </c>
      <c r="N141" s="68">
        <f t="shared" ref="N141" si="458">N136/SUM(K9:N9)</f>
        <v>1.8058391450770329E-3</v>
      </c>
      <c r="O141" s="68">
        <f t="shared" ref="O141" si="459">O136/SUM(L9:O9)</f>
        <v>2.5249708462201492E-3</v>
      </c>
      <c r="P141" s="68">
        <f t="shared" ref="P141:S141" si="460">P136/SUM(M9:P9)</f>
        <v>3.3363450053989726E-3</v>
      </c>
      <c r="Q141" s="68">
        <f t="shared" si="460"/>
        <v>3.5885419964958943E-3</v>
      </c>
      <c r="R141" s="68">
        <f t="shared" si="460"/>
        <v>3.3117316306108839E-3</v>
      </c>
      <c r="S141" s="68">
        <f t="shared" si="460"/>
        <v>3.1597674651698908E-3</v>
      </c>
      <c r="T141" s="68">
        <f>T136/SUM(Q9:T9)</f>
        <v>2.2633532687151986E-3</v>
      </c>
      <c r="U141" s="68">
        <f t="shared" ref="U141" si="461">U136/SUM(R9:U9)</f>
        <v>2.2337082153710292E-3</v>
      </c>
      <c r="V141" s="68">
        <f t="shared" ref="V141" si="462">V136/SUM(S9:V9)</f>
        <v>2.4072768919037972E-3</v>
      </c>
      <c r="W141" s="68">
        <f t="shared" ref="W141" si="463">W136/SUM(T9:W9)</f>
        <v>3.515742450925648E-3</v>
      </c>
      <c r="X141" s="68">
        <f t="shared" ref="X141" si="464">X136/SUM(U9:X9)</f>
        <v>3.136157091853295E-3</v>
      </c>
      <c r="Y141" s="68">
        <f t="shared" ref="Y141" si="465">Y136/SUM(V9:Y9)</f>
        <v>2.5960264900662254E-3</v>
      </c>
      <c r="Z141" s="68">
        <f t="shared" ref="Z141" si="466">Z136/SUM(W9:Z9)</f>
        <v>3.5019455252918285E-3</v>
      </c>
      <c r="AA141" s="68">
        <f t="shared" ref="AA141" si="467">AA136/SUM(X9:AA9)</f>
        <v>4.8895088466338749E-3</v>
      </c>
      <c r="AB141" s="68">
        <f t="shared" ref="AB141:AC141" si="468">AB136/SUM(Y9:AB9)</f>
        <v>4.6086048528396709E-3</v>
      </c>
      <c r="AC141" s="68">
        <f t="shared" si="468"/>
        <v>5.8382714622914021E-3</v>
      </c>
      <c r="AE141" s="54">
        <f t="shared" ref="AE141:AF141" si="469">AE137/AE9</f>
        <v>4.3003724080905741</v>
      </c>
      <c r="AF141" s="54">
        <f t="shared" si="469"/>
        <v>3.6386208059918017</v>
      </c>
      <c r="AG141" s="54">
        <f t="shared" ref="AG141:AI141" si="470">AG137/AG9</f>
        <v>2.2774909529553682</v>
      </c>
      <c r="AH141" s="54">
        <f t="shared" si="470"/>
        <v>3.0092303872039454</v>
      </c>
      <c r="AI141" s="54">
        <f t="shared" si="470"/>
        <v>3.2035718088777578</v>
      </c>
      <c r="AJ141" s="54">
        <f t="shared" ref="AJ141:AK141" si="471">AJ137/AJ9</f>
        <v>2.6256161900926296</v>
      </c>
      <c r="AK141" s="54">
        <f t="shared" si="471"/>
        <v>1.3294587786057119</v>
      </c>
      <c r="AL141" s="54">
        <f>AL137/AL9</f>
        <v>2.4331292290098165</v>
      </c>
      <c r="AM141" s="54">
        <f t="shared" ref="AM141:AN141" si="472">AM137/AM9</f>
        <v>1.7683856047925295</v>
      </c>
      <c r="AN141" s="54">
        <f t="shared" si="472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73">H136/SUM(E26:H26)</f>
        <v>-328.9104111728746</v>
      </c>
      <c r="I142" s="54">
        <f t="shared" ref="I142" si="474">I136/SUM(F26:I26)</f>
        <v>-115.49206732790152</v>
      </c>
      <c r="J142" s="54">
        <f t="shared" ref="J142" si="475">J136/SUM(G26:J26)</f>
        <v>-44.49814940755099</v>
      </c>
      <c r="K142" s="54">
        <f t="shared" ref="K142" si="476">K136/SUM(H26:K26)</f>
        <v>-9.2931914725575346</v>
      </c>
      <c r="L142" s="54">
        <f t="shared" ref="L142" si="477">L136/SUM(I26:L26)</f>
        <v>-4.921897835209367</v>
      </c>
      <c r="M142" s="54">
        <f t="shared" ref="M142" si="478">M136/SUM(J26:M26)</f>
        <v>-3.4596705334508839</v>
      </c>
      <c r="N142" s="54">
        <f t="shared" ref="N142" si="479">N136/SUM(K26:N26)</f>
        <v>-6.8505742659676452</v>
      </c>
      <c r="O142" s="54">
        <f t="shared" ref="O142" si="480">O136/SUM(L26:O26)</f>
        <v>-13.844238952468716</v>
      </c>
      <c r="P142" s="54">
        <f t="shared" ref="P142:S142" si="481">P136/SUM(M26:P26)</f>
        <v>-88.265429889576552</v>
      </c>
      <c r="Q142" s="54">
        <f t="shared" si="481"/>
        <v>-249.48613055071797</v>
      </c>
      <c r="R142" s="54">
        <f t="shared" si="481"/>
        <v>-228.62115367889854</v>
      </c>
      <c r="S142" s="54">
        <f t="shared" si="481"/>
        <v>697.1161832155442</v>
      </c>
      <c r="T142" s="54">
        <f>T136/SUM(Q26:T26)</f>
        <v>-16621.554193892349</v>
      </c>
      <c r="U142" s="54">
        <f t="shared" ref="U142" si="482">U136/SUM(R26:U26)</f>
        <v>438.72815292259435</v>
      </c>
      <c r="V142" s="54">
        <f t="shared" ref="V142" si="483">V136/SUM(S26:V26)</f>
        <v>228.12184764773781</v>
      </c>
      <c r="W142" s="54">
        <f t="shared" ref="W142" si="484">W136/SUM(T26:W26)</f>
        <v>-3080.9740653922145</v>
      </c>
      <c r="X142" s="54">
        <f t="shared" ref="X142" si="485">X136/SUM(U26:X26)</f>
        <v>-117.19866564823911</v>
      </c>
      <c r="Y142" s="54">
        <f t="shared" ref="Y142" si="486">Y136/SUM(V26:Y26)</f>
        <v>-1767.2287179242439</v>
      </c>
      <c r="Z142" s="54">
        <f t="shared" ref="Z142" si="487">Z136/SUM(W26:Z26)</f>
        <v>82.642499999999998</v>
      </c>
      <c r="AA142" s="54">
        <f t="shared" ref="AA142" si="488">AA136/SUM(X26:AA26)</f>
        <v>74.268478178368113</v>
      </c>
      <c r="AB142" s="54">
        <f t="shared" ref="AB142:AC142" si="489">AB136/SUM(Y26:AB26)</f>
        <v>50.115231857479699</v>
      </c>
      <c r="AC142" s="54">
        <f t="shared" si="489"/>
        <v>52.017621621621622</v>
      </c>
      <c r="AE142" s="54">
        <f t="shared" ref="AE142:AF142" si="490">AE136/AE26</f>
        <v>80.801260830594572</v>
      </c>
      <c r="AF142" s="54">
        <f t="shared" si="490"/>
        <v>311.70676300578032</v>
      </c>
      <c r="AG142" s="54">
        <f t="shared" ref="AG142:AH142" si="491">AG136/AG26</f>
        <v>85.25165562913908</v>
      </c>
      <c r="AH142" s="54">
        <f t="shared" si="491"/>
        <v>71.19853727714748</v>
      </c>
      <c r="AI142" s="54">
        <f t="shared" ref="AI142:AJ142" si="492">AI136/AI26</f>
        <v>-91.165168350168358</v>
      </c>
      <c r="AJ142" s="54">
        <f t="shared" si="492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93">AM136/AM26</f>
        <v>-43.307324703344115</v>
      </c>
      <c r="AN142" s="54">
        <f t="shared" si="493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94">D15:D15/D9</f>
        <v>8.0382013529645847E-3</v>
      </c>
      <c r="E144" s="24">
        <f t="shared" si="494"/>
        <v>7.5045285948417148E-3</v>
      </c>
      <c r="F144" s="24">
        <f t="shared" si="494"/>
        <v>1.0308671065032988E-2</v>
      </c>
      <c r="G144" s="24">
        <f t="shared" si="494"/>
        <v>1.1296003886797037E-2</v>
      </c>
      <c r="H144" s="24">
        <f t="shared" si="494"/>
        <v>8.5587872633640389E-3</v>
      </c>
      <c r="I144" s="24">
        <f t="shared" si="494"/>
        <v>9.8673018033344686E-3</v>
      </c>
      <c r="J144" s="24">
        <f t="shared" si="494"/>
        <v>8.057553956834532E-3</v>
      </c>
      <c r="K144" s="24">
        <f t="shared" si="494"/>
        <v>9.1511517828968131E-3</v>
      </c>
      <c r="L144" s="24">
        <f t="shared" si="494"/>
        <v>1.1913626209977662E-2</v>
      </c>
      <c r="M144" s="24">
        <f t="shared" si="494"/>
        <v>9.3581125609595358E-3</v>
      </c>
      <c r="N144" s="24">
        <f t="shared" si="494"/>
        <v>5.7021831215379598E-3</v>
      </c>
      <c r="O144" s="24">
        <f t="shared" si="494"/>
        <v>1.0405053883314754E-2</v>
      </c>
      <c r="P144" s="24">
        <f t="shared" si="494"/>
        <v>8.2264484741264941E-3</v>
      </c>
      <c r="Q144" s="24">
        <f t="shared" si="494"/>
        <v>1.0750443586264482E-2</v>
      </c>
      <c r="R144" s="24">
        <f t="shared" si="494"/>
        <v>1.1526934603857682E-2</v>
      </c>
      <c r="S144" s="24">
        <f t="shared" si="494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95">W15:W15/W9</f>
        <v>4.4370029300962753E-2</v>
      </c>
      <c r="X144" s="24">
        <f t="shared" si="495"/>
        <v>1.8416776290335064E-2</v>
      </c>
      <c r="Y144" s="24">
        <f t="shared" ref="Y144:AC144" si="496">Y15:Y15/Y9</f>
        <v>1.3235752102148862E-2</v>
      </c>
      <c r="Z144" s="24">
        <f t="shared" si="496"/>
        <v>8.961571565996659E-3</v>
      </c>
      <c r="AA144" s="24">
        <f t="shared" si="496"/>
        <v>1.3495427169306268E-2</v>
      </c>
      <c r="AB144" s="24">
        <f t="shared" si="496"/>
        <v>1.0239593093294069E-2</v>
      </c>
      <c r="AC144" s="24">
        <f t="shared" si="496"/>
        <v>5.6724178681162845E-3</v>
      </c>
      <c r="AE144" s="24">
        <f t="shared" ref="AE144:AI144" si="497">AE15:AE15/AE9</f>
        <v>7.4895051520162828E-3</v>
      </c>
      <c r="AF144" s="24">
        <f t="shared" si="497"/>
        <v>7.0342942932811528E-3</v>
      </c>
      <c r="AG144" s="24">
        <f t="shared" si="497"/>
        <v>7.6558102131081629E-3</v>
      </c>
      <c r="AH144" s="24">
        <f t="shared" si="497"/>
        <v>8.4256674601407705E-3</v>
      </c>
      <c r="AI144" s="24">
        <f t="shared" si="497"/>
        <v>9.0907298219321253E-3</v>
      </c>
      <c r="AJ144" s="24">
        <f t="shared" ref="AJ144:AM144" si="498">AJ15:AJ15/AJ9</f>
        <v>9.043312708234174E-3</v>
      </c>
      <c r="AK144" s="24">
        <f t="shared" si="498"/>
        <v>7.9022036010713056E-3</v>
      </c>
      <c r="AL144" s="24">
        <f t="shared" si="498"/>
        <v>1.0244925188220719E-2</v>
      </c>
      <c r="AM144" s="24">
        <f t="shared" si="498"/>
        <v>2.422694035767774E-2</v>
      </c>
      <c r="AN144" s="24">
        <f t="shared" ref="AN144" si="499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500">SUM(C23:F23)</f>
        <v>-166.40000000000032</v>
      </c>
      <c r="G146" s="25">
        <f t="shared" si="500"/>
        <v>-172.70000000000024</v>
      </c>
      <c r="H146" s="25">
        <f t="shared" si="500"/>
        <v>-38.800000000000068</v>
      </c>
      <c r="I146" s="25">
        <f t="shared" si="500"/>
        <v>-103.50000000000016</v>
      </c>
      <c r="J146" s="25">
        <f t="shared" si="500"/>
        <v>-316.50000000000011</v>
      </c>
      <c r="K146" s="25">
        <f t="shared" si="500"/>
        <v>-565.90000000000009</v>
      </c>
      <c r="L146" s="25">
        <f t="shared" si="500"/>
        <v>-887.70000000000027</v>
      </c>
      <c r="M146" s="25">
        <f t="shared" si="500"/>
        <v>-931.90000000000009</v>
      </c>
      <c r="N146" s="25">
        <f t="shared" si="500"/>
        <v>-728.19999999999993</v>
      </c>
      <c r="O146" s="25">
        <f t="shared" si="500"/>
        <v>-527.5999999999998</v>
      </c>
      <c r="P146" s="25">
        <f t="shared" si="500"/>
        <v>-125.79999999999983</v>
      </c>
      <c r="Q146" s="25">
        <f t="shared" si="500"/>
        <v>-51.999999999999829</v>
      </c>
      <c r="R146" s="25">
        <f t="shared" si="500"/>
        <v>-43.5</v>
      </c>
      <c r="S146" s="25">
        <f t="shared" si="500"/>
        <v>15.800000000000026</v>
      </c>
      <c r="T146" s="25">
        <f>SUM(Q23:T23)</f>
        <v>0.69999999999996021</v>
      </c>
      <c r="U146" s="25">
        <f t="shared" ref="U146" si="501">SUM(R23:U23)</f>
        <v>4.9999999999998934</v>
      </c>
      <c r="V146" s="25">
        <f t="shared" ref="V146" si="502">SUM(S23:V23)</f>
        <v>25.099999999999916</v>
      </c>
      <c r="W146" s="25">
        <f t="shared" ref="W146" si="503">SUM(T23:W23)</f>
        <v>-16.900000000000141</v>
      </c>
      <c r="X146" s="25">
        <f t="shared" ref="X146" si="504">SUM(U23:X23)</f>
        <v>-117.10000000000016</v>
      </c>
      <c r="Y146" s="25">
        <f t="shared" ref="Y146" si="505">SUM(V23:Y23)</f>
        <v>-11.40000000000002</v>
      </c>
      <c r="Z146" s="25">
        <f t="shared" ref="Z146" si="506">SUM(W23:Z23)</f>
        <v>101.69999999999997</v>
      </c>
      <c r="AA146" s="25">
        <f t="shared" ref="AA146" si="507">SUM(X23:AA23)</f>
        <v>206.80000000000007</v>
      </c>
      <c r="AB146" s="25">
        <f t="shared" ref="AB146" si="508">SUM(Y23:AB23)</f>
        <v>335.40000000000038</v>
      </c>
      <c r="AC146" s="25">
        <f t="shared" ref="AC146" si="509">SUM(Z23:AC23)</f>
        <v>452.80000000000018</v>
      </c>
      <c r="AE146" s="25">
        <f t="shared" ref="AE146:AK146" si="510">AE23</f>
        <v>347.7</v>
      </c>
      <c r="AF146" s="25">
        <f t="shared" si="510"/>
        <v>80.800000000000153</v>
      </c>
      <c r="AG146" s="25">
        <f t="shared" si="510"/>
        <v>167.80000000000015</v>
      </c>
      <c r="AH146" s="25">
        <f t="shared" si="510"/>
        <v>262.80000000000047</v>
      </c>
      <c r="AI146" s="25">
        <f t="shared" si="510"/>
        <v>-171.20000000000002</v>
      </c>
      <c r="AJ146" s="25">
        <f t="shared" si="510"/>
        <v>-316.5</v>
      </c>
      <c r="AK146" s="25">
        <f t="shared" si="510"/>
        <v>-728.30000000000007</v>
      </c>
      <c r="AL146" s="25">
        <f>AL23</f>
        <v>-43.500000000000142</v>
      </c>
      <c r="AM146" s="25">
        <f t="shared" ref="AM146:AN146" si="511">AM23</f>
        <v>-203.50000000000011</v>
      </c>
      <c r="AN146" s="25">
        <f t="shared" si="511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512">SUM(C23:F23)/F121</f>
        <v>-4.223243064896838E-2</v>
      </c>
      <c r="G147" s="24">
        <f t="shared" si="512"/>
        <v>-4.4376493563224366E-2</v>
      </c>
      <c r="H147" s="24">
        <f t="shared" si="512"/>
        <v>-9.9230198716145548E-3</v>
      </c>
      <c r="I147" s="24">
        <f t="shared" si="512"/>
        <v>-2.72203666202036E-2</v>
      </c>
      <c r="J147" s="24">
        <f t="shared" si="512"/>
        <v>-8.7561555912134159E-2</v>
      </c>
      <c r="K147" s="24">
        <f t="shared" si="512"/>
        <v>-0.1722993545244185</v>
      </c>
      <c r="L147" s="24">
        <f t="shared" si="512"/>
        <v>-0.29785592054491167</v>
      </c>
      <c r="M147" s="24">
        <f t="shared" si="512"/>
        <v>-0.3318495833630084</v>
      </c>
      <c r="N147" s="24">
        <f t="shared" si="512"/>
        <v>-0.25045571797076521</v>
      </c>
      <c r="O147" s="24">
        <f t="shared" si="512"/>
        <v>-0.18880618379616368</v>
      </c>
      <c r="P147" s="24">
        <f t="shared" si="512"/>
        <v>-4.3594275219184193E-2</v>
      </c>
      <c r="Q147" s="24">
        <f t="shared" si="512"/>
        <v>-1.8517199629655947E-2</v>
      </c>
      <c r="R147" s="24">
        <f t="shared" si="512"/>
        <v>-1.5675675675675675E-2</v>
      </c>
      <c r="S147" s="24">
        <f t="shared" si="512"/>
        <v>5.7310747578802369E-3</v>
      </c>
      <c r="T147" s="24">
        <f>SUM(Q23:T23)/T121</f>
        <v>2.4367319942909468E-4</v>
      </c>
      <c r="U147" s="24">
        <f t="shared" ref="U147" si="513">SUM(R23:U23)/U121</f>
        <v>1.8442698535649344E-3</v>
      </c>
      <c r="V147" s="24">
        <f t="shared" ref="V147" si="514">SUM(S23:V23)/V121</f>
        <v>8.8868432233394409E-3</v>
      </c>
      <c r="W147" s="24">
        <f t="shared" ref="W147" si="515">SUM(T23:W23)/W121</f>
        <v>-6.0966810966811471E-3</v>
      </c>
      <c r="X147" s="24">
        <f t="shared" ref="X147" si="516">SUM(U23:X23)/X121</f>
        <v>-4.2473703300689218E-2</v>
      </c>
      <c r="Y147" s="24">
        <f t="shared" ref="Y147" si="517">SUM(V23:Y23)/Y121</f>
        <v>-4.0778366003720208E-3</v>
      </c>
      <c r="Z147" s="24">
        <f t="shared" ref="Z147" si="518">SUM(W23:Z23)/Z121</f>
        <v>3.3461652354160487E-2</v>
      </c>
      <c r="AA147" s="24">
        <f t="shared" ref="AA147" si="519">SUM(X23:AA23)/AA121</f>
        <v>6.7974887420701458E-2</v>
      </c>
      <c r="AB147" s="24">
        <f t="shared" ref="AB147" si="520">SUM(Y23:AB23)/AB121</f>
        <v>0.10771404714496768</v>
      </c>
      <c r="AC147" s="24">
        <f t="shared" ref="AC147" si="521">SUM(Z23:AC23)/AC121</f>
        <v>0.13256433527534625</v>
      </c>
      <c r="AE147" s="24">
        <f t="shared" ref="AE147:AK147" si="522">AE23/AE121</f>
        <v>8.996584558062512E-2</v>
      </c>
      <c r="AF147" s="24">
        <f t="shared" si="522"/>
        <v>2.1021411660639529E-2</v>
      </c>
      <c r="AG147" s="24">
        <f t="shared" si="522"/>
        <v>4.2575865218715155E-2</v>
      </c>
      <c r="AH147" s="24">
        <f t="shared" si="522"/>
        <v>6.2840746054519475E-2</v>
      </c>
      <c r="AI147" s="24">
        <f t="shared" si="522"/>
        <v>-4.3450673840765466E-2</v>
      </c>
      <c r="AJ147" s="24">
        <f t="shared" si="522"/>
        <v>-8.7561555912134131E-2</v>
      </c>
      <c r="AK147" s="24">
        <f t="shared" si="522"/>
        <v>-0.25049011177987962</v>
      </c>
      <c r="AL147" s="24">
        <f>AL23/AL121</f>
        <v>-1.5675675675675727E-2</v>
      </c>
      <c r="AM147" s="24">
        <f t="shared" ref="AM147:AN147" si="523">AM23/AM121</f>
        <v>-7.2050701033847933E-2</v>
      </c>
      <c r="AN147" s="24">
        <f t="shared" si="52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24">F146/F89</f>
        <v>-1.473426957337917E-2</v>
      </c>
      <c r="G148" s="24">
        <f t="shared" si="524"/>
        <v>-1.5439493634673172E-2</v>
      </c>
      <c r="H148" s="24">
        <f t="shared" si="524"/>
        <v>-3.4417300903010688E-3</v>
      </c>
      <c r="I148" s="24">
        <f t="shared" si="524"/>
        <v>-9.355932203389844E-3</v>
      </c>
      <c r="J148" s="24">
        <f t="shared" si="524"/>
        <v>-2.9936155119413582E-2</v>
      </c>
      <c r="K148" s="24">
        <f t="shared" si="524"/>
        <v>-5.2127375392636413E-2</v>
      </c>
      <c r="L148" s="24">
        <f t="shared" si="524"/>
        <v>-8.5972456272880485E-2</v>
      </c>
      <c r="M148" s="24">
        <f t="shared" si="524"/>
        <v>-8.9755073343157368E-2</v>
      </c>
      <c r="N148" s="24">
        <f t="shared" si="524"/>
        <v>-6.9246861924686182E-2</v>
      </c>
      <c r="O148" s="24">
        <f t="shared" si="524"/>
        <v>-5.1183050222640428E-2</v>
      </c>
      <c r="P148" s="24">
        <f t="shared" si="524"/>
        <v>-1.2164814868536822E-2</v>
      </c>
      <c r="Q148" s="24">
        <f t="shared" si="524"/>
        <v>-5.0083311662669468E-3</v>
      </c>
      <c r="R148" s="24">
        <f t="shared" si="524"/>
        <v>-4.2836041358936486E-3</v>
      </c>
      <c r="S148" s="24">
        <f t="shared" si="524"/>
        <v>1.6010700822828448E-3</v>
      </c>
      <c r="T148" s="24">
        <f>T146/T89</f>
        <v>7.2173877180678044E-5</v>
      </c>
      <c r="U148" s="24">
        <f t="shared" ref="U148:V148" si="525">U146/U89</f>
        <v>5.0340300430911896E-4</v>
      </c>
      <c r="V148" s="24">
        <f t="shared" si="525"/>
        <v>2.4748326283511217E-3</v>
      </c>
      <c r="W148" s="24">
        <f t="shared" ref="W148:X148" si="526">W146/W89</f>
        <v>-1.6160341184008088E-3</v>
      </c>
      <c r="X148" s="24">
        <f t="shared" si="526"/>
        <v>-1.0914649491550715E-2</v>
      </c>
      <c r="Y148" s="24">
        <f t="shared" ref="Y148:Z148" si="527">Y146/Y89</f>
        <v>-1.0947222862410712E-3</v>
      </c>
      <c r="Z148" s="24">
        <f t="shared" si="527"/>
        <v>9.4319499188499859E-3</v>
      </c>
      <c r="AA148" s="24">
        <f t="shared" ref="AA148:AB148" si="528">AA146/AA89</f>
        <v>1.9194891262983009E-2</v>
      </c>
      <c r="AB148" s="24">
        <f t="shared" si="528"/>
        <v>3.0838260038065154E-2</v>
      </c>
      <c r="AC148" s="24">
        <f t="shared" ref="AC148" si="529">AC146/AC89</f>
        <v>3.8796021008799378E-2</v>
      </c>
      <c r="AE148" s="24">
        <f t="shared" ref="AE148:AK148" si="530">AE146/AE89</f>
        <v>3.3397368168283544E-2</v>
      </c>
      <c r="AF148" s="24">
        <f t="shared" si="530"/>
        <v>6.9240327349072497E-3</v>
      </c>
      <c r="AG148" s="24">
        <f t="shared" si="530"/>
        <v>1.4385405414673471E-2</v>
      </c>
      <c r="AH148" s="24">
        <f t="shared" si="530"/>
        <v>2.2017057354937121E-2</v>
      </c>
      <c r="AI148" s="24">
        <f t="shared" si="530"/>
        <v>-1.5159296580303542E-2</v>
      </c>
      <c r="AJ148" s="24">
        <f t="shared" si="530"/>
        <v>-2.9936155119413572E-2</v>
      </c>
      <c r="AK148" s="24">
        <f t="shared" si="530"/>
        <v>-6.9256371243818948E-2</v>
      </c>
      <c r="AL148" s="24">
        <f>AL146/AL89</f>
        <v>-4.2836041358936625E-3</v>
      </c>
      <c r="AM148" s="24">
        <f t="shared" ref="AM148:AN148" si="531">AM146/AM89</f>
        <v>-2.0064878082448414E-2</v>
      </c>
      <c r="AN148" s="24">
        <f t="shared" si="531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32">F146/(F124-F87)</f>
        <v>-8.1512687371411943E-2</v>
      </c>
      <c r="G149" s="24">
        <f t="shared" si="532"/>
        <v>-8.8970171552212735E-2</v>
      </c>
      <c r="H149" s="24">
        <f t="shared" si="532"/>
        <v>-2.0297133291483617E-2</v>
      </c>
      <c r="I149" s="24">
        <f t="shared" si="532"/>
        <v>-5.8800136348142303E-2</v>
      </c>
      <c r="J149" s="24">
        <f t="shared" si="532"/>
        <v>-0.20250815791157464</v>
      </c>
      <c r="K149" s="24">
        <f t="shared" si="532"/>
        <v>-0.46602981141398353</v>
      </c>
      <c r="L149" s="24">
        <f t="shared" si="532"/>
        <v>-0.88074213711677685</v>
      </c>
      <c r="M149" s="24">
        <f t="shared" si="532"/>
        <v>-1.3460927343637141</v>
      </c>
      <c r="N149" s="24">
        <f t="shared" si="532"/>
        <v>-0.87534559442240634</v>
      </c>
      <c r="O149" s="24">
        <f t="shared" si="532"/>
        <v>-0.73779890924346181</v>
      </c>
      <c r="P149" s="24">
        <f t="shared" si="532"/>
        <v>-0.15965277425250027</v>
      </c>
      <c r="Q149" s="24">
        <f t="shared" si="532"/>
        <v>-7.5111945688285109E-2</v>
      </c>
      <c r="R149" s="24">
        <f t="shared" si="532"/>
        <v>-7.7457264957264849E-2</v>
      </c>
      <c r="S149" s="24">
        <f t="shared" si="532"/>
        <v>2.9845107669059432E-2</v>
      </c>
      <c r="T149" s="24">
        <f>T146/(T124-T87)</f>
        <v>1.0913626442157166E-3</v>
      </c>
      <c r="U149" s="24">
        <f t="shared" ref="U149:V149" si="533">U146/(U124-U87)</f>
        <v>1.0636034886194192E-2</v>
      </c>
      <c r="V149" s="24">
        <f t="shared" si="533"/>
        <v>4.3433119916940259E-2</v>
      </c>
      <c r="W149" s="24">
        <f t="shared" ref="W149:X149" si="534">W146/(W124-W87)</f>
        <v>-3.3007812500000275E-2</v>
      </c>
      <c r="X149" s="24">
        <f t="shared" si="534"/>
        <v>-0.24741178956264551</v>
      </c>
      <c r="Y149" s="24">
        <f t="shared" ref="Y149:Z149" si="535">Y146/(Y124-Y87)</f>
        <v>-2.3194303153611456E-2</v>
      </c>
      <c r="Z149" s="24">
        <f t="shared" si="535"/>
        <v>0.14358322744599719</v>
      </c>
      <c r="AA149" s="24">
        <f t="shared" ref="AA149:AB149" si="536">AA146/(AA124-AA87)</f>
        <v>0.31295399515738459</v>
      </c>
      <c r="AB149" s="24">
        <f t="shared" si="536"/>
        <v>0.49214966984593062</v>
      </c>
      <c r="AC149" s="24">
        <f t="shared" ref="AC149" si="537">AC146/(AC124-AC87)</f>
        <v>0.47723440134907236</v>
      </c>
      <c r="AE149" s="24">
        <f t="shared" ref="AE149:AK149" si="538">AE146/(AE124-AE87)</f>
        <v>0.1335304735204885</v>
      </c>
      <c r="AF149" s="24">
        <f t="shared" si="538"/>
        <v>3.3137841939055952E-2</v>
      </c>
      <c r="AG149" s="24">
        <f t="shared" si="538"/>
        <v>7.398262863189467E-2</v>
      </c>
      <c r="AH149" s="24">
        <f t="shared" si="538"/>
        <v>0.11475481420025348</v>
      </c>
      <c r="AI149" s="24">
        <f t="shared" si="538"/>
        <v>-8.3864014891740973E-2</v>
      </c>
      <c r="AJ149" s="24">
        <f t="shared" si="538"/>
        <v>-0.20250815791157456</v>
      </c>
      <c r="AK149" s="24">
        <f t="shared" si="538"/>
        <v>-0.87546580117802619</v>
      </c>
      <c r="AL149" s="24">
        <f>AL146/(AL124-AL87)</f>
        <v>-7.7457264957265098E-2</v>
      </c>
      <c r="AM149" s="24">
        <f t="shared" ref="AM149:AN149" si="539">AM146/(AM124-AM87)</f>
        <v>-0.35213704793216638</v>
      </c>
      <c r="AN149" s="24">
        <f t="shared" si="539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40">F146/(F65+F69+F71+F70+F72+F72+F79+F80+F81+F82+F83+F84+F85+F86+F88)</f>
        <v>-2.7305546439120493E-2</v>
      </c>
      <c r="G150" s="24">
        <f t="shared" si="540"/>
        <v>-2.5833956619296966E-2</v>
      </c>
      <c r="H150" s="24">
        <f t="shared" si="540"/>
        <v>-5.7692593638945591E-3</v>
      </c>
      <c r="I150" s="24">
        <f t="shared" si="540"/>
        <v>-1.5152846099789202E-2</v>
      </c>
      <c r="J150" s="24">
        <f t="shared" si="540"/>
        <v>-5.7190871144359542E-2</v>
      </c>
      <c r="K150" s="24">
        <f t="shared" si="540"/>
        <v>-9.3356649124832977E-2</v>
      </c>
      <c r="L150" s="24">
        <f t="shared" si="540"/>
        <v>-0.14483129935391248</v>
      </c>
      <c r="M150" s="24">
        <f t="shared" si="540"/>
        <v>-0.16481262048352582</v>
      </c>
      <c r="N150" s="24">
        <f t="shared" si="540"/>
        <v>-0.13265808026524328</v>
      </c>
      <c r="O150" s="24">
        <f t="shared" si="540"/>
        <v>-9.4657145932756787E-2</v>
      </c>
      <c r="P150" s="24">
        <f t="shared" si="540"/>
        <v>-2.2775414139585379E-2</v>
      </c>
      <c r="Q150" s="24">
        <f t="shared" si="540"/>
        <v>-9.196540685849677E-3</v>
      </c>
      <c r="R150" s="24">
        <f t="shared" si="540"/>
        <v>-8.9263728145776901E-3</v>
      </c>
      <c r="S150" s="24">
        <f t="shared" si="540"/>
        <v>3.1154490781820023E-3</v>
      </c>
      <c r="T150" s="24">
        <f>T146/(T65+T69+T71+T70+T72+T72+T79+T80+T81+T82+T83+T84+T85+T86+T88)</f>
        <v>1.3257073595696376E-4</v>
      </c>
      <c r="U150" s="24">
        <f t="shared" ref="U150:V150" si="541">U146/(U65+U69+U71+U70+U72+U72+U79+U80+U81+U82+U83+U84+U85+U86+U88)</f>
        <v>8.9210840901384435E-4</v>
      </c>
      <c r="V150" s="24">
        <f t="shared" si="541"/>
        <v>4.9163630665569622E-3</v>
      </c>
      <c r="W150" s="24">
        <f t="shared" ref="W150:X150" si="542">W146/(W65+W69+W71+W70+W72+W72+W79+W80+W81+W82+W83+W84+W85+W86+W88)</f>
        <v>-2.9760332470460042E-3</v>
      </c>
      <c r="X150" s="24">
        <f t="shared" si="542"/>
        <v>-1.9888245384602349E-2</v>
      </c>
      <c r="Y150" s="24">
        <f t="shared" ref="Y150:Z150" si="543">Y146/(Y65+Y69+Y71+Y70+Y72+Y72+Y79+Y80+Y81+Y82+Y83+Y84+Y85+Y86+Y88)</f>
        <v>-1.868086849651785E-3</v>
      </c>
      <c r="Z150" s="24">
        <f t="shared" si="543"/>
        <v>1.7566587211109957E-2</v>
      </c>
      <c r="AA150" s="24">
        <f t="shared" ref="AA150:AB150" si="544">AA146/(AA65+AA69+AA71+AA70+AA72+AA72+AA79+AA80+AA81+AA82+AA83+AA84+AA85+AA86+AA88)</f>
        <v>3.2665697858090613E-2</v>
      </c>
      <c r="AB150" s="24">
        <f t="shared" si="544"/>
        <v>5.0556208736547051E-2</v>
      </c>
      <c r="AC150" s="24">
        <f t="shared" ref="AC150" si="545">AC146/(AC65+AC69+AC71+AC70+AC72+AC72+AC79+AC80+AC81+AC82+AC83+AC84+AC85+AC86+AC88)</f>
        <v>6.5617482537750377E-2</v>
      </c>
      <c r="AE150" s="24">
        <f t="shared" ref="AE150:AK150" si="546">AE146/(AE65+AE69+AE71+AE70+AE72+AE72+AE79+AE80+AE81+AE82+AE83+AE84+AE85+AE86+AE88)</f>
        <v>5.3721242834850053E-2</v>
      </c>
      <c r="AF150" s="24">
        <f t="shared" si="546"/>
        <v>1.2784001012594165E-2</v>
      </c>
      <c r="AG150" s="24">
        <f t="shared" si="546"/>
        <v>2.6713364642203318E-2</v>
      </c>
      <c r="AH150" s="24">
        <f t="shared" si="546"/>
        <v>4.6196846379665028E-2</v>
      </c>
      <c r="AI150" s="24">
        <f t="shared" si="546"/>
        <v>-2.8093206432556611E-2</v>
      </c>
      <c r="AJ150" s="24">
        <f t="shared" si="546"/>
        <v>-5.7190871144359522E-2</v>
      </c>
      <c r="AK150" s="24">
        <f t="shared" si="546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47">AM146/(AM65+AM69+AM71+AM70+AM72+AM72+AM79+AM80+AM81+AM82+AM83+AM84+AM85+AM86+AM88)</f>
        <v>-3.9859756336428111E-2</v>
      </c>
      <c r="AN150" s="24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B1" s="23" t="s">
        <v>328</v>
      </c>
      <c r="AD1" s="74">
        <v>2014</v>
      </c>
      <c r="AE1" s="74">
        <v>2015</v>
      </c>
      <c r="AF1" s="74">
        <v>2016</v>
      </c>
      <c r="AG1" s="74">
        <v>2017</v>
      </c>
      <c r="AH1" s="74">
        <v>2018</v>
      </c>
      <c r="AI1" s="74">
        <f>AH1+1</f>
        <v>2019</v>
      </c>
      <c r="AJ1" s="74">
        <f t="shared" ref="AJ1:AO1" si="0">AI1+1</f>
        <v>2020</v>
      </c>
      <c r="AK1" s="74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9" customFormat="1">
      <c r="A2" s="87"/>
      <c r="B2" s="88"/>
      <c r="C2" s="88"/>
      <c r="D2" s="88"/>
    </row>
    <row r="3" spans="1:41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B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B3" s="71">
        <f t="shared" si="14"/>
        <v>2017</v>
      </c>
      <c r="AD3" s="71">
        <f t="shared" ref="AD3:AH3" si="15">SUM(AD4:AD10)</f>
        <v>1549</v>
      </c>
      <c r="AE3" s="71">
        <f t="shared" si="15"/>
        <v>1704</v>
      </c>
      <c r="AF3" s="71">
        <f t="shared" si="15"/>
        <v>1749</v>
      </c>
      <c r="AG3" s="71">
        <f t="shared" si="15"/>
        <v>1835</v>
      </c>
      <c r="AH3" s="71">
        <f t="shared" si="15"/>
        <v>1858</v>
      </c>
      <c r="AI3" s="71">
        <f t="shared" ref="AI3" si="16">SUM(AI4:AI10)</f>
        <v>1917</v>
      </c>
      <c r="AJ3" s="71">
        <f t="shared" ref="AJ3" si="17">SUM(AJ4:AJ10)</f>
        <v>1904</v>
      </c>
      <c r="AK3" s="71">
        <f t="shared" ref="AK3" si="18">SUM(AK4:AK10)</f>
        <v>1996</v>
      </c>
    </row>
    <row r="4" spans="1:41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B4" s="72">
        <v>0</v>
      </c>
      <c r="AD4" s="72">
        <v>193</v>
      </c>
      <c r="AE4" s="72">
        <v>193</v>
      </c>
      <c r="AF4" s="72">
        <v>193</v>
      </c>
      <c r="AG4" s="72">
        <v>191</v>
      </c>
      <c r="AH4" s="72">
        <v>191</v>
      </c>
      <c r="AI4" s="72">
        <v>191</v>
      </c>
      <c r="AJ4" s="72">
        <v>191</v>
      </c>
      <c r="AK4" s="72">
        <v>191</v>
      </c>
    </row>
    <row r="5" spans="1:41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B5" s="72">
        <v>943</v>
      </c>
      <c r="AD5" s="72">
        <v>421</v>
      </c>
      <c r="AE5" s="72">
        <v>500</v>
      </c>
      <c r="AF5" s="72">
        <v>525</v>
      </c>
      <c r="AG5" s="72">
        <v>603</v>
      </c>
      <c r="AH5" s="72">
        <v>771</v>
      </c>
      <c r="AI5" s="72">
        <v>815</v>
      </c>
      <c r="AJ5" s="72">
        <v>798</v>
      </c>
      <c r="AK5" s="72">
        <v>840</v>
      </c>
    </row>
    <row r="6" spans="1:41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B6" s="72">
        <f>+AA6</f>
        <v>568</v>
      </c>
      <c r="AD6" s="72">
        <v>580</v>
      </c>
      <c r="AE6" s="72">
        <v>578</v>
      </c>
      <c r="AF6" s="72">
        <v>590</v>
      </c>
      <c r="AG6" s="72">
        <v>592</v>
      </c>
      <c r="AH6" s="72">
        <v>566</v>
      </c>
      <c r="AI6" s="72">
        <v>568</v>
      </c>
      <c r="AJ6" s="72">
        <v>568</v>
      </c>
      <c r="AK6" s="72">
        <v>568</v>
      </c>
    </row>
    <row r="7" spans="1:41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B7" s="72">
        <f>+AA7</f>
        <v>172</v>
      </c>
      <c r="AD7" s="72">
        <v>145</v>
      </c>
      <c r="AE7" s="72">
        <v>166</v>
      </c>
      <c r="AF7" s="72">
        <v>166</v>
      </c>
      <c r="AG7" s="72">
        <v>169</v>
      </c>
      <c r="AH7" s="72">
        <v>172</v>
      </c>
      <c r="AI7" s="72">
        <v>172</v>
      </c>
      <c r="AJ7" s="72">
        <v>172</v>
      </c>
      <c r="AK7" s="72">
        <v>172</v>
      </c>
    </row>
    <row r="8" spans="1:41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B8" s="72">
        <v>0</v>
      </c>
      <c r="AD8" s="72">
        <v>100</v>
      </c>
      <c r="AE8" s="72">
        <v>100</v>
      </c>
      <c r="AF8" s="72">
        <v>100</v>
      </c>
      <c r="AG8" s="72">
        <v>100</v>
      </c>
      <c r="AH8" s="72">
        <v>0</v>
      </c>
      <c r="AI8" s="72">
        <v>0</v>
      </c>
      <c r="AJ8" s="72">
        <v>0</v>
      </c>
      <c r="AK8" s="72">
        <v>0</v>
      </c>
    </row>
    <row r="9" spans="1:41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B9" s="72">
        <v>52</v>
      </c>
      <c r="AD9" s="72">
        <v>60</v>
      </c>
      <c r="AE9" s="72">
        <v>77</v>
      </c>
      <c r="AF9" s="72">
        <v>85</v>
      </c>
      <c r="AG9" s="72">
        <v>74</v>
      </c>
      <c r="AH9" s="72">
        <v>47</v>
      </c>
      <c r="AI9" s="72">
        <v>27</v>
      </c>
      <c r="AJ9" s="72">
        <v>22</v>
      </c>
      <c r="AK9" s="72">
        <v>22</v>
      </c>
    </row>
    <row r="10" spans="1:41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B10" s="72">
        <v>282</v>
      </c>
      <c r="AD10" s="72">
        <v>50</v>
      </c>
      <c r="AE10" s="72">
        <v>90</v>
      </c>
      <c r="AF10" s="72">
        <v>90</v>
      </c>
      <c r="AG10" s="72">
        <v>106</v>
      </c>
      <c r="AH10" s="72">
        <v>111</v>
      </c>
      <c r="AI10" s="72">
        <v>144</v>
      </c>
      <c r="AJ10" s="72">
        <v>153</v>
      </c>
      <c r="AK10" s="72">
        <v>203</v>
      </c>
    </row>
    <row r="11" spans="1:41" s="72" customFormat="1"/>
    <row r="12" spans="1:41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B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B12" s="71">
        <f t="shared" si="21"/>
        <v>1839</v>
      </c>
      <c r="AD12" s="71">
        <f t="shared" ref="AD12:AK12" si="22">SUM(AD13:AD19)</f>
        <v>1090</v>
      </c>
      <c r="AE12" s="71">
        <f t="shared" si="22"/>
        <v>1181</v>
      </c>
      <c r="AF12" s="71">
        <f t="shared" si="22"/>
        <v>1299</v>
      </c>
      <c r="AG12" s="71">
        <f t="shared" si="22"/>
        <v>1400</v>
      </c>
      <c r="AH12" s="71">
        <f t="shared" si="22"/>
        <v>1490</v>
      </c>
      <c r="AI12" s="71">
        <f t="shared" si="22"/>
        <v>1579</v>
      </c>
      <c r="AJ12" s="71">
        <f t="shared" si="22"/>
        <v>1623</v>
      </c>
      <c r="AK12" s="71">
        <f t="shared" si="22"/>
        <v>1671</v>
      </c>
    </row>
    <row r="13" spans="1:41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B13" s="72">
        <f>+AA13</f>
        <v>191</v>
      </c>
      <c r="AD13" s="72">
        <v>188</v>
      </c>
      <c r="AE13" s="72">
        <v>190</v>
      </c>
      <c r="AF13" s="72">
        <v>190</v>
      </c>
      <c r="AG13" s="72">
        <v>190</v>
      </c>
      <c r="AH13" s="72">
        <v>191</v>
      </c>
      <c r="AI13" s="72">
        <v>191</v>
      </c>
      <c r="AJ13" s="72">
        <v>191</v>
      </c>
      <c r="AK13" s="72">
        <v>191</v>
      </c>
    </row>
    <row r="14" spans="1:41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B14" s="72">
        <f>+AA14+4</f>
        <v>775</v>
      </c>
      <c r="AD14" s="72">
        <v>249</v>
      </c>
      <c r="AE14" s="72">
        <v>331</v>
      </c>
      <c r="AF14" s="72">
        <v>421</v>
      </c>
      <c r="AG14" s="72">
        <v>500</v>
      </c>
      <c r="AH14" s="72">
        <v>567</v>
      </c>
      <c r="AI14" s="72">
        <v>634</v>
      </c>
      <c r="AJ14" s="72">
        <v>666</v>
      </c>
      <c r="AK14" s="72">
        <v>693</v>
      </c>
    </row>
    <row r="15" spans="1:41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B15" s="72">
        <f>+AA15</f>
        <v>571</v>
      </c>
      <c r="AD15" s="72">
        <v>515</v>
      </c>
      <c r="AE15" s="72">
        <v>523</v>
      </c>
      <c r="AF15" s="72">
        <v>534</v>
      </c>
      <c r="AG15" s="72">
        <v>546</v>
      </c>
      <c r="AH15" s="72">
        <v>559</v>
      </c>
      <c r="AI15" s="72">
        <v>564</v>
      </c>
      <c r="AJ15" s="72">
        <v>565</v>
      </c>
      <c r="AK15" s="72">
        <v>565</v>
      </c>
    </row>
    <row r="16" spans="1:41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B16" s="72">
        <f>+AA16</f>
        <v>172</v>
      </c>
      <c r="AD16" s="72">
        <v>138</v>
      </c>
      <c r="AE16" s="72">
        <v>137</v>
      </c>
      <c r="AF16" s="72">
        <v>154</v>
      </c>
      <c r="AG16" s="72">
        <v>164</v>
      </c>
      <c r="AH16" s="72">
        <v>169</v>
      </c>
      <c r="AI16" s="72">
        <v>172</v>
      </c>
      <c r="AJ16" s="72">
        <v>172</v>
      </c>
      <c r="AK16" s="72">
        <v>172</v>
      </c>
    </row>
    <row r="17" spans="1:37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B17" s="72">
        <f>+AA17</f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</row>
    <row r="18" spans="1:37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B18" s="72">
        <f>+AA18+2</f>
        <v>25</v>
      </c>
      <c r="AD18" s="72">
        <v>0</v>
      </c>
      <c r="AE18" s="72">
        <v>0</v>
      </c>
      <c r="AF18" s="72">
        <v>0</v>
      </c>
      <c r="AG18" s="72">
        <v>0</v>
      </c>
      <c r="AH18" s="72">
        <v>4</v>
      </c>
      <c r="AI18" s="72">
        <v>11</v>
      </c>
      <c r="AJ18" s="72">
        <v>15</v>
      </c>
      <c r="AK18" s="72">
        <v>17</v>
      </c>
    </row>
    <row r="19" spans="1:37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B19" s="72">
        <f>+AA19+10</f>
        <v>105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7</v>
      </c>
      <c r="AJ19" s="72">
        <v>14</v>
      </c>
      <c r="AK19" s="72">
        <v>33</v>
      </c>
    </row>
    <row r="20" spans="1:37" s="72" customFormat="1">
      <c r="A20" s="73"/>
    </row>
    <row r="21" spans="1:37" s="71" customFormat="1">
      <c r="A21" s="71" t="s">
        <v>207</v>
      </c>
      <c r="B21" s="71">
        <f t="shared" ref="B21:AB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B21" s="71">
        <f t="shared" si="24"/>
        <v>374</v>
      </c>
      <c r="AD21" s="71">
        <f t="shared" ref="AD21:AK21" si="25">SUM(AD22:AD28)</f>
        <v>459</v>
      </c>
      <c r="AE21" s="71">
        <f t="shared" si="25"/>
        <v>513</v>
      </c>
      <c r="AF21" s="71">
        <f t="shared" si="25"/>
        <v>450</v>
      </c>
      <c r="AG21" s="71">
        <f t="shared" si="25"/>
        <v>435</v>
      </c>
      <c r="AH21" s="71">
        <f t="shared" si="25"/>
        <v>368</v>
      </c>
      <c r="AI21" s="71">
        <f t="shared" si="25"/>
        <v>338</v>
      </c>
      <c r="AJ21" s="71">
        <f t="shared" si="25"/>
        <v>281</v>
      </c>
      <c r="AK21" s="71">
        <f t="shared" si="25"/>
        <v>325</v>
      </c>
    </row>
    <row r="22" spans="1:37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D22" s="72">
        <v>5</v>
      </c>
      <c r="AE22" s="72">
        <v>3</v>
      </c>
      <c r="AF22" s="72">
        <v>3</v>
      </c>
      <c r="AG22" s="72">
        <v>1</v>
      </c>
      <c r="AH22" s="72">
        <v>0</v>
      </c>
      <c r="AI22" s="72">
        <v>0</v>
      </c>
      <c r="AJ22" s="72">
        <v>0</v>
      </c>
      <c r="AK22" s="72">
        <v>0</v>
      </c>
    </row>
    <row r="23" spans="1:37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B23" s="72">
        <v>175</v>
      </c>
      <c r="AD23" s="72">
        <v>172</v>
      </c>
      <c r="AE23" s="72">
        <v>169</v>
      </c>
      <c r="AF23" s="72">
        <v>104</v>
      </c>
      <c r="AG23" s="72">
        <v>103</v>
      </c>
      <c r="AH23" s="72">
        <v>204</v>
      </c>
      <c r="AI23" s="72">
        <v>181</v>
      </c>
      <c r="AJ23" s="72">
        <v>132</v>
      </c>
      <c r="AK23" s="72">
        <v>147</v>
      </c>
    </row>
    <row r="24" spans="1:37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D24" s="72">
        <v>65</v>
      </c>
      <c r="AE24" s="72">
        <v>55</v>
      </c>
      <c r="AF24" s="72">
        <v>56</v>
      </c>
      <c r="AG24" s="72">
        <v>46</v>
      </c>
      <c r="AH24" s="72">
        <v>7</v>
      </c>
      <c r="AI24" s="72">
        <v>4</v>
      </c>
      <c r="AJ24" s="72">
        <v>3</v>
      </c>
      <c r="AK24" s="72">
        <v>3</v>
      </c>
    </row>
    <row r="25" spans="1:37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D25" s="72">
        <v>7</v>
      </c>
      <c r="AE25" s="72">
        <v>19</v>
      </c>
      <c r="AF25" s="72">
        <v>12</v>
      </c>
      <c r="AG25" s="72">
        <v>5</v>
      </c>
      <c r="AH25" s="72">
        <v>3</v>
      </c>
      <c r="AI25" s="72">
        <v>0</v>
      </c>
      <c r="AJ25" s="72">
        <v>0</v>
      </c>
      <c r="AK25" s="72">
        <v>0</v>
      </c>
    </row>
    <row r="26" spans="1:37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D26" s="72">
        <v>100</v>
      </c>
      <c r="AE26" s="72">
        <v>100</v>
      </c>
      <c r="AF26" s="72">
        <v>100</v>
      </c>
      <c r="AG26" s="72">
        <v>100</v>
      </c>
      <c r="AH26" s="72">
        <v>0</v>
      </c>
      <c r="AI26" s="72">
        <v>0</v>
      </c>
      <c r="AJ26" s="72">
        <v>0</v>
      </c>
      <c r="AK26" s="72">
        <v>0</v>
      </c>
    </row>
    <row r="27" spans="1:37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B27" s="72">
        <v>27</v>
      </c>
      <c r="AD27" s="72">
        <v>60</v>
      </c>
      <c r="AE27" s="72">
        <v>77</v>
      </c>
      <c r="AF27" s="72">
        <v>85</v>
      </c>
      <c r="AG27" s="72">
        <v>74</v>
      </c>
      <c r="AH27" s="72">
        <v>43</v>
      </c>
      <c r="AI27" s="72">
        <v>16</v>
      </c>
      <c r="AJ27" s="72">
        <v>7</v>
      </c>
      <c r="AK27" s="72">
        <v>5</v>
      </c>
    </row>
    <row r="28" spans="1:37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B28" s="72">
        <v>172</v>
      </c>
      <c r="AD28" s="72">
        <v>50</v>
      </c>
      <c r="AE28" s="72">
        <v>90</v>
      </c>
      <c r="AF28" s="72">
        <v>90</v>
      </c>
      <c r="AG28" s="72">
        <v>106</v>
      </c>
      <c r="AH28" s="72">
        <v>111</v>
      </c>
      <c r="AI28" s="72">
        <v>137</v>
      </c>
      <c r="AJ28" s="72">
        <v>139</v>
      </c>
      <c r="AK28" s="72">
        <v>170</v>
      </c>
    </row>
    <row r="31" spans="1:37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B31" s="31">
        <f t="shared" ref="AB31" si="40">AB3/X3-1</f>
        <v>-1.9922254616132173E-2</v>
      </c>
      <c r="AD31" s="59" t="s">
        <v>186</v>
      </c>
      <c r="AE31" s="31">
        <f t="shared" ref="AE31" si="41">AE3/AD3-1</f>
        <v>0.1000645577792123</v>
      </c>
      <c r="AF31" s="31">
        <f t="shared" ref="AF31" si="42">AF3/AE3-1</f>
        <v>2.6408450704225261E-2</v>
      </c>
      <c r="AG31" s="31">
        <f t="shared" ref="AG31:AH31" si="43">AG3/AF3-1</f>
        <v>4.9170954831332159E-2</v>
      </c>
      <c r="AH31" s="31">
        <f t="shared" si="43"/>
        <v>1.2534059945504161E-2</v>
      </c>
      <c r="AI31" s="31">
        <f>AI3/AH3-1</f>
        <v>3.1754574811625469E-2</v>
      </c>
      <c r="AJ31" s="31">
        <f>AJ3/AI3-1</f>
        <v>-6.7814293166406081E-3</v>
      </c>
      <c r="AK31" s="31">
        <f>AK3/AJ3-1</f>
        <v>4.8319327731092487E-2</v>
      </c>
    </row>
    <row r="32" spans="1:37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4">F3-B3</f>
        <v>25</v>
      </c>
      <c r="G32" s="75">
        <f t="shared" ref="G32" si="45">G3-C3</f>
        <v>88</v>
      </c>
      <c r="H32" s="75">
        <f t="shared" ref="H32" si="46">H3-D3</f>
        <v>181</v>
      </c>
      <c r="I32" s="75">
        <f t="shared" ref="I32:L32" si="47">I3-E3</f>
        <v>59</v>
      </c>
      <c r="J32" s="75">
        <f t="shared" si="47"/>
        <v>42</v>
      </c>
      <c r="K32" s="75">
        <f t="shared" si="47"/>
        <v>12</v>
      </c>
      <c r="L32" s="75">
        <f t="shared" si="47"/>
        <v>13</v>
      </c>
      <c r="M32" s="75">
        <f>M3-I3</f>
        <v>-13</v>
      </c>
      <c r="N32" s="75">
        <f t="shared" ref="N32" si="48">N3-J3</f>
        <v>2</v>
      </c>
      <c r="O32" s="75">
        <f t="shared" ref="O32" si="49">O3-K3</f>
        <v>50</v>
      </c>
      <c r="P32" s="75">
        <f t="shared" ref="P32" si="50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1">U3-Q3</f>
        <v>23</v>
      </c>
      <c r="V32" s="75">
        <f t="shared" ref="V32" si="52">V3-R3</f>
        <v>24</v>
      </c>
      <c r="W32" s="75">
        <f t="shared" ref="W32" si="53">W3-S3</f>
        <v>23</v>
      </c>
      <c r="X32" s="75">
        <f t="shared" ref="X32" si="54">X3-T3</f>
        <v>63</v>
      </c>
      <c r="Y32" s="75">
        <f t="shared" ref="Y32" si="55">Y3-U3</f>
        <v>71</v>
      </c>
      <c r="Z32" s="75">
        <f t="shared" ref="Z32" si="56">Z3-V3</f>
        <v>164</v>
      </c>
      <c r="AA32" s="75">
        <f t="shared" ref="AA32" si="57">AA3-W3</f>
        <v>177</v>
      </c>
      <c r="AB32" s="75">
        <f t="shared" ref="AB32" si="58">AB3-X3</f>
        <v>-41</v>
      </c>
      <c r="AD32" s="59" t="s">
        <v>186</v>
      </c>
      <c r="AE32" s="75">
        <f t="shared" ref="AE32" si="59">AE3-AD3</f>
        <v>155</v>
      </c>
      <c r="AF32" s="75">
        <f t="shared" ref="AF32" si="60">AF3-AE3</f>
        <v>45</v>
      </c>
      <c r="AG32" s="75">
        <f t="shared" ref="AG32:AH32" si="61">AG3-AF3</f>
        <v>86</v>
      </c>
      <c r="AH32" s="75">
        <f t="shared" si="61"/>
        <v>23</v>
      </c>
      <c r="AI32" s="75">
        <f>AI3-AH3</f>
        <v>59</v>
      </c>
      <c r="AJ32" s="75">
        <f>AJ3-AI3</f>
        <v>-13</v>
      </c>
      <c r="AK32" s="75">
        <f>AK3-AJ3</f>
        <v>92</v>
      </c>
    </row>
    <row r="33" spans="1:37" ht="12.75" customHeight="1">
      <c r="A33" s="3" t="s">
        <v>210</v>
      </c>
      <c r="B33" s="90" t="s">
        <v>186</v>
      </c>
      <c r="C33" s="24">
        <f t="shared" ref="C33" si="62">C3/B3-1</f>
        <v>-1.7983651226158082E-2</v>
      </c>
      <c r="D33" s="24">
        <f t="shared" ref="D33" si="63">D3/C3-1</f>
        <v>-5.2164261931187617E-2</v>
      </c>
      <c r="E33" s="24">
        <f t="shared" ref="E33" si="64">E3/D3-1</f>
        <v>8.7822014051522235E-2</v>
      </c>
      <c r="F33" s="24">
        <f t="shared" ref="F33" si="65">F3/E3-1</f>
        <v>1.0764262648008671E-3</v>
      </c>
      <c r="G33" s="24">
        <f t="shared" ref="G33" si="66">G3/F3-1</f>
        <v>1.6129032258064502E-2</v>
      </c>
      <c r="H33" s="24">
        <f t="shared" ref="H33" si="67">H3/G3-1</f>
        <v>-5.2910052910049021E-4</v>
      </c>
      <c r="I33" s="24">
        <f t="shared" ref="I33" si="68">I3/H3-1</f>
        <v>1.4822657490735747E-2</v>
      </c>
      <c r="J33" s="24">
        <f t="shared" ref="J33" si="69">J3/I3-1</f>
        <v>-7.8247261345852914E-3</v>
      </c>
      <c r="K33" s="24">
        <f t="shared" ref="K33" si="70">K3/J3-1</f>
        <v>0</v>
      </c>
      <c r="L33" s="24">
        <f t="shared" ref="L33" si="71">L3/K3-1</f>
        <v>0</v>
      </c>
      <c r="M33" s="24">
        <f t="shared" ref="M33" si="72">M3/L3-1</f>
        <v>1.051524710830698E-3</v>
      </c>
      <c r="N33" s="24">
        <f t="shared" ref="N33" si="73">N3/M3-1</f>
        <v>0</v>
      </c>
      <c r="O33" s="24">
        <f t="shared" ref="O33" si="74">O3/N3-1</f>
        <v>2.5210084033613356E-2</v>
      </c>
      <c r="P33" s="24">
        <f t="shared" ref="P33:T33" si="75">P3/O3-1</f>
        <v>8.1967213114753079E-3</v>
      </c>
      <c r="Q33" s="24">
        <f t="shared" si="75"/>
        <v>1.4227642276422703E-2</v>
      </c>
      <c r="R33" s="24">
        <f t="shared" si="75"/>
        <v>-2.0040080160320661E-3</v>
      </c>
      <c r="S33" s="24">
        <f t="shared" si="75"/>
        <v>4.0160642570281624E-3</v>
      </c>
      <c r="T33" s="24">
        <f t="shared" si="75"/>
        <v>-2.4999999999999467E-3</v>
      </c>
      <c r="U33" s="24">
        <f t="shared" ref="U33" si="76">U3/T3-1</f>
        <v>1.2030075187969835E-2</v>
      </c>
      <c r="V33" s="24">
        <f t="shared" ref="V33" si="77">V3/U3-1</f>
        <v>-1.4858841010401136E-3</v>
      </c>
      <c r="W33" s="24">
        <f t="shared" ref="W33" si="78">W3/V3-1</f>
        <v>3.4722222222223209E-3</v>
      </c>
      <c r="X33" s="24">
        <f t="shared" ref="X33" si="79">X3/W3-1</f>
        <v>1.730103806228378E-2</v>
      </c>
      <c r="Y33" s="24">
        <f t="shared" ref="Y33" si="80">Y3/X3-1</f>
        <v>1.554907677356665E-2</v>
      </c>
      <c r="Z33" s="24">
        <f t="shared" ref="Z33" si="81">Z3/Y3-1</f>
        <v>4.3062200956937691E-2</v>
      </c>
      <c r="AA33" s="24">
        <f t="shared" ref="AA33" si="82">AA3/Z3-1</f>
        <v>9.1743119266054496E-3</v>
      </c>
      <c r="AB33" s="24">
        <f t="shared" ref="AB33" si="83">AB3/AA3-1</f>
        <v>-8.3181818181818135E-2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  <c r="AK33" s="59" t="s">
        <v>186</v>
      </c>
    </row>
    <row r="34" spans="1:37" s="76" customFormat="1" ht="12.75" customHeight="1">
      <c r="A34" s="80" t="s">
        <v>210</v>
      </c>
      <c r="B34" s="90" t="s">
        <v>186</v>
      </c>
      <c r="C34" s="75">
        <f t="shared" ref="C34" si="84">C3-B3</f>
        <v>-33</v>
      </c>
      <c r="D34" s="75">
        <f t="shared" ref="D34" si="85">D3-C3</f>
        <v>-94</v>
      </c>
      <c r="E34" s="75">
        <f t="shared" ref="E34" si="86">E3-D3</f>
        <v>150</v>
      </c>
      <c r="F34" s="75">
        <f t="shared" ref="F34" si="87">F3-E3</f>
        <v>2</v>
      </c>
      <c r="G34" s="75">
        <f t="shared" ref="G34" si="88">G3-F3</f>
        <v>30</v>
      </c>
      <c r="H34" s="75">
        <f t="shared" ref="H34" si="89">H3-G3</f>
        <v>-1</v>
      </c>
      <c r="I34" s="75">
        <f t="shared" ref="I34" si="90">I3-H3</f>
        <v>28</v>
      </c>
      <c r="J34" s="75">
        <f t="shared" ref="J34" si="91">J3-I3</f>
        <v>-15</v>
      </c>
      <c r="K34" s="75">
        <f t="shared" ref="K34" si="92">K3-J3</f>
        <v>0</v>
      </c>
      <c r="L34" s="75">
        <f t="shared" ref="L34" si="93">L3-K3</f>
        <v>0</v>
      </c>
      <c r="M34" s="75">
        <f t="shared" ref="M34" si="94">M3-L3</f>
        <v>2</v>
      </c>
      <c r="N34" s="75">
        <f t="shared" ref="N34" si="95">N3-M3</f>
        <v>0</v>
      </c>
      <c r="O34" s="75">
        <f t="shared" ref="O34" si="96">O3-N3</f>
        <v>48</v>
      </c>
      <c r="P34" s="75">
        <f t="shared" ref="P34:T34" si="97">P3-O3</f>
        <v>16</v>
      </c>
      <c r="Q34" s="75">
        <f t="shared" si="97"/>
        <v>28</v>
      </c>
      <c r="R34" s="75">
        <f t="shared" si="97"/>
        <v>-4</v>
      </c>
      <c r="S34" s="75">
        <f t="shared" si="97"/>
        <v>8</v>
      </c>
      <c r="T34" s="75">
        <f t="shared" si="97"/>
        <v>-5</v>
      </c>
      <c r="U34" s="75">
        <f t="shared" ref="U34" si="98">U3-T3</f>
        <v>24</v>
      </c>
      <c r="V34" s="75">
        <f t="shared" ref="V34" si="99">V3-U3</f>
        <v>-3</v>
      </c>
      <c r="W34" s="75">
        <f t="shared" ref="W34" si="100">W3-V3</f>
        <v>7</v>
      </c>
      <c r="X34" s="75">
        <f t="shared" ref="X34" si="101">X3-W3</f>
        <v>35</v>
      </c>
      <c r="Y34" s="75">
        <f t="shared" ref="Y34" si="102">Y3-X3</f>
        <v>32</v>
      </c>
      <c r="Z34" s="75">
        <f t="shared" ref="Z34" si="103">Z3-Y3</f>
        <v>90</v>
      </c>
      <c r="AA34" s="75">
        <f t="shared" ref="AA34" si="104">AA3-Z3</f>
        <v>20</v>
      </c>
      <c r="AB34" s="75">
        <f t="shared" ref="AB34" si="105">AB3-AA3</f>
        <v>-183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  <c r="AK34" s="59" t="s">
        <v>186</v>
      </c>
    </row>
    <row r="35" spans="1:37" ht="12.75" customHeight="1">
      <c r="AK35" s="24"/>
    </row>
    <row r="36" spans="1:37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6">F12/B12-1</f>
        <v>6.1527581329561487E-2</v>
      </c>
      <c r="G36" s="31">
        <f t="shared" ref="G36" si="107">G12/C12-1</f>
        <v>5.8945908460471541E-2</v>
      </c>
      <c r="H36" s="31">
        <f t="shared" ref="H36" si="108">H12/D12-1</f>
        <v>5.9711736444749475E-2</v>
      </c>
      <c r="I36" s="31">
        <f t="shared" ref="I36:L36" si="109">I12/E12-1</f>
        <v>5.9731543624160999E-2</v>
      </c>
      <c r="J36" s="31">
        <f t="shared" si="109"/>
        <v>5.5296469020652994E-2</v>
      </c>
      <c r="K36" s="31">
        <f t="shared" si="109"/>
        <v>3.9947609692206898E-2</v>
      </c>
      <c r="L36" s="31">
        <f t="shared" si="109"/>
        <v>3.303108808290145E-2</v>
      </c>
      <c r="M36" s="31">
        <f>M12/I12-1</f>
        <v>2.7865737808739688E-2</v>
      </c>
      <c r="N36" s="31">
        <f t="shared" ref="N36" si="110">N12/J12-1</f>
        <v>3.0303030303030276E-2</v>
      </c>
      <c r="O36" s="31">
        <f t="shared" ref="O36" si="111">O12/K12-1</f>
        <v>3.6523929471032668E-2</v>
      </c>
      <c r="P36" s="31">
        <f t="shared" ref="P36" si="11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13">U12/Q12-1</f>
        <v>3.4111310592459532E-2</v>
      </c>
      <c r="V36" s="31">
        <f t="shared" ref="V36" si="114">V12/R12-1</f>
        <v>3.4585569469290478E-2</v>
      </c>
      <c r="W36" s="31">
        <f t="shared" ref="W36" si="115">W12/S12-1</f>
        <v>3.7914691943127909E-2</v>
      </c>
      <c r="X36" s="31">
        <f t="shared" ref="X36" si="116">X12/T12-1</f>
        <v>4.0636042402826922E-2</v>
      </c>
      <c r="Y36" s="31">
        <f t="shared" ref="Y36" si="117">Y12/U12-1</f>
        <v>3.993055555555558E-2</v>
      </c>
      <c r="Z36" s="31">
        <f t="shared" ref="Z36" si="118">Z12/V12-1</f>
        <v>3.9769452449567755E-2</v>
      </c>
      <c r="AA36" s="31">
        <f t="shared" ref="AA36" si="119">AA12/W12-1</f>
        <v>4.0525114155251174E-2</v>
      </c>
      <c r="AB36" s="31">
        <f t="shared" ref="AB36" si="120">AB12/X12-1</f>
        <v>4.0747028862478718E-2</v>
      </c>
      <c r="AD36" s="59" t="s">
        <v>186</v>
      </c>
      <c r="AE36" s="31">
        <f t="shared" ref="AE36" si="121">AE12/AD12-1</f>
        <v>8.3486238532110013E-2</v>
      </c>
      <c r="AF36" s="31">
        <f t="shared" ref="AF36" si="122">AF12/AE12-1</f>
        <v>9.9915325994919479E-2</v>
      </c>
      <c r="AG36" s="31">
        <f t="shared" ref="AG36:AH36" si="123">AG12/AF12-1</f>
        <v>7.7752117013087041E-2</v>
      </c>
      <c r="AH36" s="31">
        <f t="shared" si="123"/>
        <v>6.4285714285714279E-2</v>
      </c>
      <c r="AI36" s="31">
        <f>AI12/AH12-1</f>
        <v>5.9731543624160999E-2</v>
      </c>
      <c r="AJ36" s="31">
        <f>AJ12/AI12-1</f>
        <v>2.7865737808739688E-2</v>
      </c>
      <c r="AK36" s="31">
        <f>AK12/AJ12-1</f>
        <v>2.9574861367837268E-2</v>
      </c>
    </row>
    <row r="37" spans="1:37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24">F12-B12</f>
        <v>87</v>
      </c>
      <c r="G37" s="75">
        <f t="shared" ref="G37" si="125">G12-C12</f>
        <v>85</v>
      </c>
      <c r="H37" s="75">
        <f t="shared" ref="H37" si="126">H12-D12</f>
        <v>87</v>
      </c>
      <c r="I37" s="75">
        <f t="shared" ref="I37:L37" si="127">I12-E12</f>
        <v>89</v>
      </c>
      <c r="J37" s="75">
        <f t="shared" si="127"/>
        <v>83</v>
      </c>
      <c r="K37" s="75">
        <f t="shared" si="127"/>
        <v>61</v>
      </c>
      <c r="L37" s="75">
        <f t="shared" si="127"/>
        <v>51</v>
      </c>
      <c r="M37" s="75">
        <f>M12-I12</f>
        <v>44</v>
      </c>
      <c r="N37" s="75">
        <f t="shared" ref="N37" si="128">N12-J12</f>
        <v>48</v>
      </c>
      <c r="O37" s="75">
        <f t="shared" ref="O37" si="129">O12-K12</f>
        <v>58</v>
      </c>
      <c r="P37" s="75">
        <f t="shared" ref="P37" si="130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31">U12-Q12</f>
        <v>57</v>
      </c>
      <c r="V37" s="75">
        <f t="shared" ref="V37" si="132">V12-R12</f>
        <v>58</v>
      </c>
      <c r="W37" s="75">
        <f t="shared" ref="W37" si="133">W12-S12</f>
        <v>64</v>
      </c>
      <c r="X37" s="75">
        <f t="shared" ref="X37" si="134">X12-T12</f>
        <v>69</v>
      </c>
      <c r="Y37" s="75">
        <f t="shared" ref="Y37" si="135">Y12-U12</f>
        <v>69</v>
      </c>
      <c r="Z37" s="75">
        <f t="shared" ref="Z37" si="136">Z12-V12</f>
        <v>69</v>
      </c>
      <c r="AA37" s="75">
        <f t="shared" ref="AA37" si="137">AA12-W12</f>
        <v>71</v>
      </c>
      <c r="AB37" s="75">
        <f t="shared" ref="AB37" si="138">AB12-X12</f>
        <v>72</v>
      </c>
      <c r="AD37" s="59" t="s">
        <v>186</v>
      </c>
      <c r="AE37" s="75">
        <f t="shared" ref="AE37" si="139">AE12-AD12</f>
        <v>91</v>
      </c>
      <c r="AF37" s="75">
        <f t="shared" ref="AF37" si="140">AF12-AE12</f>
        <v>118</v>
      </c>
      <c r="AG37" s="75">
        <f t="shared" ref="AG37:AH37" si="141">AG12-AF12</f>
        <v>101</v>
      </c>
      <c r="AH37" s="75">
        <f t="shared" si="141"/>
        <v>90</v>
      </c>
      <c r="AI37" s="75">
        <f>AI12-AH12</f>
        <v>89</v>
      </c>
      <c r="AJ37" s="75">
        <f>AJ12-AI12</f>
        <v>44</v>
      </c>
      <c r="AK37" s="75">
        <f>AK12-AJ12</f>
        <v>48</v>
      </c>
    </row>
    <row r="38" spans="1:37" ht="12.75" customHeight="1">
      <c r="A38" s="3" t="s">
        <v>203</v>
      </c>
      <c r="B38" s="90" t="s">
        <v>186</v>
      </c>
      <c r="C38" s="24">
        <f t="shared" ref="C38" si="142">C12/B12-1</f>
        <v>1.980198019801982E-2</v>
      </c>
      <c r="D38" s="24">
        <f t="shared" ref="D38" si="143">D12/C12-1</f>
        <v>1.0402219140083213E-2</v>
      </c>
      <c r="E38" s="24">
        <f t="shared" ref="E38" si="144">E12/D12-1</f>
        <v>2.2649279341111939E-2</v>
      </c>
      <c r="F38" s="24">
        <f t="shared" ref="F38" si="145">F12/E12-1</f>
        <v>7.382550335570448E-3</v>
      </c>
      <c r="G38" s="24">
        <f t="shared" ref="G38" si="146">G12/F12-1</f>
        <v>1.7321785476348994E-2</v>
      </c>
      <c r="H38" s="24">
        <f t="shared" ref="H38" si="147">H12/G12-1</f>
        <v>1.1132940406024971E-2</v>
      </c>
      <c r="I38" s="24">
        <f t="shared" ref="I38" si="148">I12/H12-1</f>
        <v>2.26683937823835E-2</v>
      </c>
      <c r="J38" s="24">
        <f t="shared" ref="J38" si="149">J12/I12-1</f>
        <v>3.1665611146294292E-3</v>
      </c>
      <c r="K38" s="24">
        <f t="shared" ref="K38" si="150">K12/J12-1</f>
        <v>2.525252525252597E-3</v>
      </c>
      <c r="L38" s="24">
        <f t="shared" ref="L38" si="151">L12/K12-1</f>
        <v>4.4080604534004753E-3</v>
      </c>
      <c r="M38" s="24">
        <f t="shared" ref="M38" si="152">M12/L12-1</f>
        <v>1.7554858934169193E-2</v>
      </c>
      <c r="N38" s="24">
        <f t="shared" ref="N38" si="153">N12/M12-1</f>
        <v>5.5452865064695711E-3</v>
      </c>
      <c r="O38" s="24">
        <f t="shared" ref="O38" si="154">O12/N12-1</f>
        <v>8.5784313725489891E-3</v>
      </c>
      <c r="P38" s="24">
        <f t="shared" ref="P38:T38" si="155">P12/O12-1</f>
        <v>5.4678007290400732E-3</v>
      </c>
      <c r="Q38" s="24">
        <f t="shared" si="155"/>
        <v>9.6676737160121817E-3</v>
      </c>
      <c r="R38" s="24">
        <f t="shared" si="155"/>
        <v>3.5906642728904536E-3</v>
      </c>
      <c r="S38" s="24">
        <f t="shared" si="155"/>
        <v>6.5593321407275695E-3</v>
      </c>
      <c r="T38" s="24">
        <f t="shared" si="155"/>
        <v>5.924170616113722E-3</v>
      </c>
      <c r="U38" s="24">
        <f t="shared" ref="U38" si="156">U12/T12-1</f>
        <v>1.7667844522968101E-2</v>
      </c>
      <c r="V38" s="24">
        <f t="shared" ref="V38" si="157">V12/U12-1</f>
        <v>4.050925925925819E-3</v>
      </c>
      <c r="W38" s="24">
        <f t="shared" ref="W38" si="158">W12/V12-1</f>
        <v>9.7982708933717078E-3</v>
      </c>
      <c r="X38" s="24">
        <f t="shared" ref="X38" si="159">X12/W12-1</f>
        <v>8.5616438356164171E-3</v>
      </c>
      <c r="Y38" s="24">
        <f t="shared" ref="Y38" si="160">Y12/X12-1</f>
        <v>1.6977928692699429E-2</v>
      </c>
      <c r="Z38" s="24">
        <f t="shared" ref="Z38" si="161">Z12/Y12-1</f>
        <v>3.8953811908737368E-3</v>
      </c>
      <c r="AA38" s="24">
        <f t="shared" ref="AA38" si="162">AA12/Z12-1</f>
        <v>1.0532150776053184E-2</v>
      </c>
      <c r="AB38" s="24">
        <f t="shared" ref="AB38" si="163">AB12/AA12-1</f>
        <v>8.7767416346682392E-3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  <c r="AK38" s="59" t="s">
        <v>186</v>
      </c>
    </row>
    <row r="39" spans="1:37" s="77" customFormat="1" ht="12.75" customHeight="1">
      <c r="A39" s="81" t="s">
        <v>203</v>
      </c>
      <c r="B39" s="90" t="s">
        <v>186</v>
      </c>
      <c r="C39" s="75">
        <f t="shared" ref="C39" si="164">C12-B12</f>
        <v>28</v>
      </c>
      <c r="D39" s="75">
        <f t="shared" ref="D39" si="165">D12-C12</f>
        <v>15</v>
      </c>
      <c r="E39" s="75">
        <f t="shared" ref="E39" si="166">E12-D12</f>
        <v>33</v>
      </c>
      <c r="F39" s="75">
        <f t="shared" ref="F39" si="167">F12-E12</f>
        <v>11</v>
      </c>
      <c r="G39" s="75">
        <f t="shared" ref="G39" si="168">G12-F12</f>
        <v>26</v>
      </c>
      <c r="H39" s="75">
        <f t="shared" ref="H39" si="169">H12-G12</f>
        <v>17</v>
      </c>
      <c r="I39" s="75">
        <f t="shared" ref="I39" si="170">I12-H12</f>
        <v>35</v>
      </c>
      <c r="J39" s="75">
        <f t="shared" ref="J39" si="171">J12-I12</f>
        <v>5</v>
      </c>
      <c r="K39" s="75">
        <f t="shared" ref="K39" si="172">K12-J12</f>
        <v>4</v>
      </c>
      <c r="L39" s="75">
        <f t="shared" ref="L39" si="173">L12-K12</f>
        <v>7</v>
      </c>
      <c r="M39" s="75">
        <f t="shared" ref="M39" si="174">M12-L12</f>
        <v>28</v>
      </c>
      <c r="N39" s="75">
        <f t="shared" ref="N39" si="175">N12-M12</f>
        <v>9</v>
      </c>
      <c r="O39" s="75">
        <f t="shared" ref="O39" si="176">O12-N12</f>
        <v>14</v>
      </c>
      <c r="P39" s="75">
        <f t="shared" ref="P39:T39" si="177">P12-O12</f>
        <v>9</v>
      </c>
      <c r="Q39" s="75">
        <f t="shared" si="177"/>
        <v>16</v>
      </c>
      <c r="R39" s="75">
        <f t="shared" si="177"/>
        <v>6</v>
      </c>
      <c r="S39" s="75">
        <f t="shared" si="177"/>
        <v>11</v>
      </c>
      <c r="T39" s="75">
        <f t="shared" si="177"/>
        <v>10</v>
      </c>
      <c r="U39" s="75">
        <f t="shared" ref="U39" si="178">U12-T12</f>
        <v>30</v>
      </c>
      <c r="V39" s="75">
        <f t="shared" ref="V39" si="179">V12-U12</f>
        <v>7</v>
      </c>
      <c r="W39" s="75">
        <f t="shared" ref="W39" si="180">W12-V12</f>
        <v>17</v>
      </c>
      <c r="X39" s="75">
        <f t="shared" ref="X39" si="181">X12-W12</f>
        <v>15</v>
      </c>
      <c r="Y39" s="75">
        <f t="shared" ref="Y39" si="182">Y12-X12</f>
        <v>30</v>
      </c>
      <c r="Z39" s="75">
        <f t="shared" ref="Z39" si="183">Z12-Y12</f>
        <v>7</v>
      </c>
      <c r="AA39" s="75">
        <f t="shared" ref="AA39" si="184">AA12-Z12</f>
        <v>19</v>
      </c>
      <c r="AB39" s="75">
        <f t="shared" ref="AB39" si="185">AB12-AA12</f>
        <v>16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  <c r="AK39" s="59" t="s">
        <v>186</v>
      </c>
    </row>
    <row r="40" spans="1:37" ht="12.75" customHeight="1">
      <c r="AK40" s="24"/>
    </row>
    <row r="41" spans="1:37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86">F21/B21-1</f>
        <v>-0.14726840855106893</v>
      </c>
      <c r="G41" s="31">
        <f t="shared" ref="G41" si="187">G21/C21-1</f>
        <v>8.3333333333333037E-3</v>
      </c>
      <c r="H41" s="31">
        <f t="shared" ref="H41" si="188">H21/D21-1</f>
        <v>0.3745019920318724</v>
      </c>
      <c r="I41" s="31">
        <f t="shared" ref="I41" si="189">I21/E21-1</f>
        <v>-8.1521739130434812E-2</v>
      </c>
      <c r="J41" s="31">
        <f t="shared" ref="J41" si="190">J21/F21-1</f>
        <v>-0.11420612813370479</v>
      </c>
      <c r="K41" s="31">
        <f t="shared" ref="K41" si="191">K21/G21-1</f>
        <v>-0.13498622589531684</v>
      </c>
      <c r="L41" s="31">
        <f t="shared" ref="L41" si="192">L21/H21-1</f>
        <v>-0.11014492753623184</v>
      </c>
      <c r="M41" s="31">
        <f t="shared" ref="M41" si="193">M21/I21-1</f>
        <v>-0.16863905325443784</v>
      </c>
      <c r="N41" s="31">
        <f t="shared" ref="N41" si="194">N21/J21-1</f>
        <v>-0.14465408805031443</v>
      </c>
      <c r="O41" s="31">
        <f t="shared" ref="O41" si="195">O21/K21-1</f>
        <v>-2.5477707006369421E-2</v>
      </c>
      <c r="P41" s="31">
        <f t="shared" ref="P41" si="196">P21/L21-1</f>
        <v>1.9543973941368087E-2</v>
      </c>
      <c r="Q41" s="31">
        <f t="shared" ref="Q41" si="197">Q21/M21-1</f>
        <v>0.15658362989323837</v>
      </c>
      <c r="R41" s="31">
        <f>R21/N21-1</f>
        <v>0.15808823529411775</v>
      </c>
      <c r="S41" s="31">
        <f t="shared" ref="S41:T41" si="198">S21/O21-1</f>
        <v>1.9607843137254832E-2</v>
      </c>
      <c r="T41" s="31">
        <f t="shared" si="198"/>
        <v>-5.1118210862619806E-2</v>
      </c>
      <c r="U41" s="31">
        <f t="shared" ref="U41" si="199">U21/Q21-1</f>
        <v>-0.10461538461538467</v>
      </c>
      <c r="V41" s="31">
        <f t="shared" ref="V41" si="200">V21/R21-1</f>
        <v>-0.10793650793650789</v>
      </c>
      <c r="W41" s="31">
        <f t="shared" ref="W41" si="201">W21/S21-1</f>
        <v>-0.13141025641025639</v>
      </c>
      <c r="X41" s="31">
        <f t="shared" ref="X41" si="202">X21/T21-1</f>
        <v>-2.0202020202020221E-2</v>
      </c>
      <c r="Y41" s="31">
        <f t="shared" ref="Y41" si="203">Y21/U21-1</f>
        <v>2.405498281786933E-2</v>
      </c>
      <c r="Z41" s="31">
        <f t="shared" ref="Z41" si="204">Z21/V21-1</f>
        <v>0.35587188612099641</v>
      </c>
      <c r="AA41" s="31">
        <f t="shared" ref="AA41" si="205">AA21/W21-1</f>
        <v>0.40959409594095941</v>
      </c>
      <c r="AB41" s="31">
        <f t="shared" ref="AB41" si="206">AB21/X21-1</f>
        <v>0.2852233676975946</v>
      </c>
      <c r="AD41" s="59" t="s">
        <v>186</v>
      </c>
      <c r="AE41" s="31">
        <f t="shared" ref="AE41" si="207">AE21/AD21-1</f>
        <v>0.11764705882352944</v>
      </c>
      <c r="AF41" s="31">
        <f t="shared" ref="AF41" si="208">AF21/AE21-1</f>
        <v>-0.1228070175438597</v>
      </c>
      <c r="AG41" s="31">
        <f t="shared" ref="AG41" si="209">AG21/AF21-1</f>
        <v>-3.3333333333333326E-2</v>
      </c>
      <c r="AH41" s="31">
        <f t="shared" ref="AH41" si="210">AH21/AG21-1</f>
        <v>-0.15402298850574714</v>
      </c>
      <c r="AI41" s="31">
        <f t="shared" ref="AI41" si="211">AI21/AH21-1</f>
        <v>-8.1521739130434812E-2</v>
      </c>
      <c r="AJ41" s="31">
        <f>AJ21/AI21-1</f>
        <v>-0.16863905325443784</v>
      </c>
      <c r="AK41" s="31">
        <f>AK21/AJ21-1</f>
        <v>0.15658362989323837</v>
      </c>
    </row>
    <row r="42" spans="1:37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12">F21-B21</f>
        <v>-62</v>
      </c>
      <c r="G42" s="78">
        <f t="shared" ref="G42" si="213">G21-C21</f>
        <v>3</v>
      </c>
      <c r="H42" s="78">
        <f t="shared" ref="H42" si="214">H21-D21</f>
        <v>94</v>
      </c>
      <c r="I42" s="78">
        <f t="shared" ref="I42:L42" si="215">I21-E21</f>
        <v>-30</v>
      </c>
      <c r="J42" s="78">
        <f t="shared" si="215"/>
        <v>-41</v>
      </c>
      <c r="K42" s="78">
        <f t="shared" si="215"/>
        <v>-49</v>
      </c>
      <c r="L42" s="78">
        <f t="shared" si="215"/>
        <v>-38</v>
      </c>
      <c r="M42" s="78">
        <f>M21-I21</f>
        <v>-57</v>
      </c>
      <c r="N42" s="78">
        <f t="shared" ref="N42" si="216">N21-J21</f>
        <v>-46</v>
      </c>
      <c r="O42" s="78">
        <f t="shared" ref="O42" si="217">O21-K21</f>
        <v>-8</v>
      </c>
      <c r="P42" s="78">
        <f t="shared" ref="P42" si="218">P21-L21</f>
        <v>6</v>
      </c>
      <c r="Q42" s="78">
        <f t="shared" ref="Q42:R42" si="219">Q21-M21</f>
        <v>44</v>
      </c>
      <c r="R42" s="78">
        <f t="shared" si="219"/>
        <v>43</v>
      </c>
      <c r="S42" s="78">
        <f>S21-O21</f>
        <v>6</v>
      </c>
      <c r="T42" s="78">
        <f>T21-P21</f>
        <v>-16</v>
      </c>
      <c r="U42" s="78">
        <f t="shared" ref="U42" si="220">U21-Q21</f>
        <v>-34</v>
      </c>
      <c r="V42" s="78">
        <f t="shared" ref="V42" si="221">V21-R21</f>
        <v>-34</v>
      </c>
      <c r="W42" s="78">
        <f t="shared" ref="W42" si="222">W21-S21</f>
        <v>-41</v>
      </c>
      <c r="X42" s="78">
        <f t="shared" ref="X42" si="223">X21-T21</f>
        <v>-6</v>
      </c>
      <c r="Y42" s="78">
        <f t="shared" ref="Y42" si="224">Y21-U21</f>
        <v>7</v>
      </c>
      <c r="Z42" s="78">
        <f t="shared" ref="Z42" si="225">Z21-V21</f>
        <v>100</v>
      </c>
      <c r="AA42" s="78">
        <f t="shared" ref="AA42" si="226">AA21-W21</f>
        <v>111</v>
      </c>
      <c r="AB42" s="78">
        <f t="shared" ref="AB42" si="227">AB21-X21</f>
        <v>83</v>
      </c>
      <c r="AD42" s="59" t="s">
        <v>186</v>
      </c>
      <c r="AE42" s="78">
        <f t="shared" ref="AE42" si="228">AE21-AD21</f>
        <v>54</v>
      </c>
      <c r="AF42" s="78">
        <f t="shared" ref="AF42" si="229">AF21-AE21</f>
        <v>-63</v>
      </c>
      <c r="AG42" s="78">
        <f t="shared" ref="AG42" si="230">AG21-AF21</f>
        <v>-15</v>
      </c>
      <c r="AH42" s="78">
        <f t="shared" ref="AH42" si="231">AH21-AG21</f>
        <v>-67</v>
      </c>
      <c r="AI42" s="78">
        <f t="shared" ref="AI42:AJ42" si="232">AI21-AH21</f>
        <v>-30</v>
      </c>
      <c r="AJ42" s="78">
        <f t="shared" si="232"/>
        <v>-57</v>
      </c>
      <c r="AK42" s="78">
        <f>AK21-AJ21</f>
        <v>44</v>
      </c>
    </row>
    <row r="43" spans="1:37" ht="12.75" customHeight="1">
      <c r="A43" s="3" t="s">
        <v>212</v>
      </c>
      <c r="B43" s="90" t="s">
        <v>186</v>
      </c>
      <c r="C43" s="24">
        <f t="shared" ref="C43" si="233">C21/B21-1</f>
        <v>-0.14489311163895491</v>
      </c>
      <c r="D43" s="24">
        <f t="shared" ref="D43" si="234">D21/C21-1</f>
        <v>-0.30277777777777781</v>
      </c>
      <c r="E43" s="24">
        <f t="shared" ref="E43" si="235">E21/D21-1</f>
        <v>0.46613545816733071</v>
      </c>
      <c r="F43" s="24">
        <f t="shared" ref="F43" si="236">F21/E21-1</f>
        <v>-2.4456521739130488E-2</v>
      </c>
      <c r="G43" s="24">
        <f t="shared" ref="G43" si="237">G21/F21-1</f>
        <v>1.1142061281337101E-2</v>
      </c>
      <c r="H43" s="24">
        <f t="shared" ref="H43" si="238">H21/G21-1</f>
        <v>-4.9586776859504078E-2</v>
      </c>
      <c r="I43" s="24">
        <f t="shared" ref="I43" si="239">I21/H21-1</f>
        <v>-2.0289855072463725E-2</v>
      </c>
      <c r="J43" s="24">
        <f t="shared" ref="J43" si="240">J21/I21-1</f>
        <v>-5.9171597633136064E-2</v>
      </c>
      <c r="K43" s="24">
        <f t="shared" ref="K43" si="241">K21/J21-1</f>
        <v>-1.2578616352201255E-2</v>
      </c>
      <c r="L43" s="24">
        <f t="shared" ref="L43" si="242">L21/K21-1</f>
        <v>-2.2292993630573243E-2</v>
      </c>
      <c r="M43" s="24">
        <f t="shared" ref="M43" si="243">M21/L21-1</f>
        <v>-8.4690553745928376E-2</v>
      </c>
      <c r="N43" s="24">
        <f t="shared" ref="N43" si="244">N21/M21-1</f>
        <v>-3.2028469750889688E-2</v>
      </c>
      <c r="O43" s="24">
        <f t="shared" ref="O43" si="245">O21/N21-1</f>
        <v>0.125</v>
      </c>
      <c r="P43" s="24">
        <f t="shared" ref="P43" si="246">P21/O21-1</f>
        <v>2.2875816993463971E-2</v>
      </c>
      <c r="Q43" s="24">
        <f t="shared" ref="Q43" si="247">Q21/P21-1</f>
        <v>3.833865814696491E-2</v>
      </c>
      <c r="R43" s="24">
        <f>R21/Q21-1</f>
        <v>-3.0769230769230771E-2</v>
      </c>
      <c r="S43" s="24">
        <f t="shared" ref="S43:T43" si="248">S21/R21-1</f>
        <v>-9.52380952380949E-3</v>
      </c>
      <c r="T43" s="24">
        <f t="shared" si="248"/>
        <v>-4.8076923076923128E-2</v>
      </c>
      <c r="U43" s="24">
        <f t="shared" ref="U43" si="249">U21/T21-1</f>
        <v>-2.0202020202020221E-2</v>
      </c>
      <c r="V43" s="24">
        <f t="shared" ref="V43" si="250">V21/U21-1</f>
        <v>-3.4364261168384869E-2</v>
      </c>
      <c r="W43" s="24">
        <f t="shared" ref="W43" si="251">W21/V21-1</f>
        <v>-3.5587188612099641E-2</v>
      </c>
      <c r="X43" s="24">
        <f t="shared" ref="X43" si="252">X21/W21-1</f>
        <v>7.3800738007380184E-2</v>
      </c>
      <c r="Y43" s="24">
        <f t="shared" ref="Y43" si="253">Y21/X21-1</f>
        <v>2.405498281786933E-2</v>
      </c>
      <c r="Z43" s="24">
        <f t="shared" ref="Z43" si="254">Z21/Y21-1</f>
        <v>0.27852348993288589</v>
      </c>
      <c r="AA43" s="24">
        <f t="shared" ref="AA43" si="255">AA21/Z21-1</f>
        <v>2.624671916010568E-3</v>
      </c>
      <c r="AB43" s="24">
        <f t="shared" ref="AB43" si="256">AB21/AA21-1</f>
        <v>-2.0942408376963373E-2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  <c r="AK43" s="59" t="s">
        <v>186</v>
      </c>
    </row>
    <row r="44" spans="1:37" s="77" customFormat="1" ht="12.75" customHeight="1">
      <c r="A44" s="81" t="s">
        <v>212</v>
      </c>
      <c r="B44" s="90" t="s">
        <v>186</v>
      </c>
      <c r="C44" s="75">
        <f t="shared" ref="C44" si="257">C21-B21</f>
        <v>-61</v>
      </c>
      <c r="D44" s="75">
        <f t="shared" ref="D44" si="258">D21-C21</f>
        <v>-109</v>
      </c>
      <c r="E44" s="75">
        <f t="shared" ref="E44" si="259">E21-D21</f>
        <v>117</v>
      </c>
      <c r="F44" s="75">
        <f t="shared" ref="F44" si="260">F21-E21</f>
        <v>-9</v>
      </c>
      <c r="G44" s="75">
        <f t="shared" ref="G44" si="261">G21-F21</f>
        <v>4</v>
      </c>
      <c r="H44" s="75">
        <f t="shared" ref="H44" si="262">H21-G21</f>
        <v>-18</v>
      </c>
      <c r="I44" s="75">
        <f t="shared" ref="I44" si="263">I21-H21</f>
        <v>-7</v>
      </c>
      <c r="J44" s="75">
        <f t="shared" ref="J44" si="264">J21-I21</f>
        <v>-20</v>
      </c>
      <c r="K44" s="75">
        <f t="shared" ref="K44" si="265">K21-J21</f>
        <v>-4</v>
      </c>
      <c r="L44" s="75">
        <f t="shared" ref="L44" si="266">L21-K21</f>
        <v>-7</v>
      </c>
      <c r="M44" s="75">
        <f t="shared" ref="M44" si="267">M21-L21</f>
        <v>-26</v>
      </c>
      <c r="N44" s="75">
        <f t="shared" ref="N44" si="268">N21-M21</f>
        <v>-9</v>
      </c>
      <c r="O44" s="75">
        <f t="shared" ref="O44" si="269">O21-N21</f>
        <v>34</v>
      </c>
      <c r="P44" s="75">
        <f t="shared" ref="P44:R44" si="270">P21-O21</f>
        <v>7</v>
      </c>
      <c r="Q44" s="75">
        <f t="shared" si="270"/>
        <v>12</v>
      </c>
      <c r="R44" s="75">
        <f t="shared" si="270"/>
        <v>-10</v>
      </c>
      <c r="S44" s="75">
        <f>S21-R21</f>
        <v>-3</v>
      </c>
      <c r="T44" s="75">
        <f>T21-S21</f>
        <v>-15</v>
      </c>
      <c r="U44" s="75">
        <f t="shared" ref="U44" si="271">U21-T21</f>
        <v>-6</v>
      </c>
      <c r="V44" s="75">
        <f t="shared" ref="V44" si="272">V21-U21</f>
        <v>-10</v>
      </c>
      <c r="W44" s="75">
        <f t="shared" ref="W44" si="273">W21-V21</f>
        <v>-10</v>
      </c>
      <c r="X44" s="75">
        <f t="shared" ref="X44" si="274">X21-W21</f>
        <v>20</v>
      </c>
      <c r="Y44" s="75">
        <f t="shared" ref="Y44" si="275">Y21-X21</f>
        <v>7</v>
      </c>
      <c r="Z44" s="75">
        <f t="shared" ref="Z44" si="276">Z21-Y21</f>
        <v>83</v>
      </c>
      <c r="AA44" s="75">
        <f t="shared" ref="AA44" si="277">AA21-Z21</f>
        <v>1</v>
      </c>
      <c r="AB44" s="75">
        <f t="shared" ref="AB44" si="278">AB21-AA21</f>
        <v>-8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  <c r="AK44" s="59" t="s">
        <v>186</v>
      </c>
    </row>
    <row r="46" spans="1:37" ht="12.75" customHeight="1">
      <c r="A46" s="3" t="s">
        <v>260</v>
      </c>
      <c r="B46" s="24">
        <f t="shared" ref="B46:S46" si="279">B12/B3</f>
        <v>0.77057220708446872</v>
      </c>
      <c r="C46" s="24">
        <f t="shared" si="279"/>
        <v>0.80022197558268593</v>
      </c>
      <c r="D46" s="24">
        <f t="shared" si="279"/>
        <v>0.85304449648711944</v>
      </c>
      <c r="E46" s="24">
        <f t="shared" si="279"/>
        <v>0.80193756727664156</v>
      </c>
      <c r="F46" s="24">
        <f t="shared" si="279"/>
        <v>0.80698924731182797</v>
      </c>
      <c r="G46" s="24">
        <f t="shared" si="279"/>
        <v>0.80793650793650795</v>
      </c>
      <c r="H46" s="24">
        <f t="shared" si="279"/>
        <v>0.81736368448914765</v>
      </c>
      <c r="I46" s="24">
        <f t="shared" si="279"/>
        <v>0.82368283776734486</v>
      </c>
      <c r="J46" s="24">
        <f t="shared" si="279"/>
        <v>0.83280757097791802</v>
      </c>
      <c r="K46" s="24">
        <f t="shared" si="279"/>
        <v>0.83491062039957942</v>
      </c>
      <c r="L46" s="24">
        <f t="shared" si="279"/>
        <v>0.83859095688748686</v>
      </c>
      <c r="M46" s="24">
        <f t="shared" si="279"/>
        <v>0.85241596638655459</v>
      </c>
      <c r="N46" s="24">
        <f t="shared" si="279"/>
        <v>0.8571428571428571</v>
      </c>
      <c r="O46" s="24">
        <f t="shared" si="279"/>
        <v>0.84323770491803274</v>
      </c>
      <c r="P46" s="24">
        <f t="shared" si="279"/>
        <v>0.84095528455284552</v>
      </c>
      <c r="Q46" s="24">
        <f t="shared" si="279"/>
        <v>0.83717434869739482</v>
      </c>
      <c r="R46" s="24">
        <f t="shared" si="279"/>
        <v>0.8418674698795181</v>
      </c>
      <c r="S46" s="24">
        <f t="shared" si="279"/>
        <v>0.84399999999999997</v>
      </c>
      <c r="T46" s="24">
        <f>T12/T3</f>
        <v>0.85112781954887218</v>
      </c>
      <c r="U46" s="24">
        <f t="shared" ref="U46:Y46" si="280">U12/U3</f>
        <v>0.85586924219910843</v>
      </c>
      <c r="V46" s="24">
        <f t="shared" si="280"/>
        <v>0.86061507936507942</v>
      </c>
      <c r="W46" s="24">
        <f t="shared" si="280"/>
        <v>0.86604053386060309</v>
      </c>
      <c r="X46" s="24">
        <f t="shared" si="280"/>
        <v>0.85860058309037901</v>
      </c>
      <c r="Y46" s="24">
        <f t="shared" si="280"/>
        <v>0.85980861244019136</v>
      </c>
      <c r="Z46" s="24">
        <f t="shared" ref="Z46:AA46" si="281">Z12/Z3</f>
        <v>0.8275229357798165</v>
      </c>
      <c r="AA46" s="24">
        <f t="shared" si="281"/>
        <v>0.82863636363636362</v>
      </c>
      <c r="AB46" s="24">
        <f t="shared" ref="AB46" si="282">AB12/AB3</f>
        <v>0.91175012394645516</v>
      </c>
      <c r="AD46" s="24">
        <f t="shared" ref="AD46:AK46" si="283">AD12/AD3</f>
        <v>0.70367979341510656</v>
      </c>
      <c r="AE46" s="24">
        <f t="shared" si="283"/>
        <v>0.693075117370892</v>
      </c>
      <c r="AF46" s="24">
        <f t="shared" si="283"/>
        <v>0.74271012006861059</v>
      </c>
      <c r="AG46" s="24">
        <f t="shared" si="283"/>
        <v>0.76294277929155319</v>
      </c>
      <c r="AH46" s="24">
        <f t="shared" si="283"/>
        <v>0.80193756727664156</v>
      </c>
      <c r="AI46" s="24">
        <f t="shared" si="283"/>
        <v>0.82368283776734486</v>
      </c>
      <c r="AJ46" s="24">
        <f t="shared" si="283"/>
        <v>0.85241596638655459</v>
      </c>
      <c r="AK46" s="24">
        <f t="shared" si="283"/>
        <v>0.83717434869739482</v>
      </c>
    </row>
    <row r="47" spans="1:37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2024-11-14T14:25:57Z</dcterms:modified>
</cp:coreProperties>
</file>