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DEFFF95-2ADB-4185-A384-5A38986C7901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F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AJ15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2" i="1"/>
  <c r="F53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1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<sst xmlns="http://schemas.openxmlformats.org/spreadsheetml/2006/main" count="1679" uniqueCount="1019">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</sst>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38.880000000000003</v>
          </cell>
        </row>
        <row r="8">
          <cell r="C8">
            <v>3628.2982017600002</v>
          </cell>
        </row>
        <row r="11">
          <cell r="C11">
            <v>-103</v>
          </cell>
        </row>
        <row r="12">
          <cell r="C12">
            <v>3731.2982017600002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1.1142657256827251</v>
          </cell>
        </row>
        <row r="38">
          <cell r="C38">
            <v>8.8454790838610293</v>
          </cell>
        </row>
        <row r="39">
          <cell r="C39">
            <v>8.8002316079245286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2.2999999999999998</v>
          </cell>
        </row>
        <row r="7">
          <cell r="W7">
            <v>4.433098591549296</v>
          </cell>
        </row>
        <row r="8">
          <cell r="C8">
            <v>114.99999999999999</v>
          </cell>
        </row>
        <row r="11">
          <cell r="C11">
            <v>13.872</v>
          </cell>
        </row>
        <row r="12">
          <cell r="C12">
            <v>101.12799999999999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3.910766510236003</v>
          </cell>
        </row>
        <row r="37">
          <cell r="C37">
            <v>9.5881273970318492</v>
          </cell>
        </row>
        <row r="38">
          <cell r="C38">
            <v>8.4315491078872764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48.38</v>
          </cell>
        </row>
        <row r="8">
          <cell r="C8">
            <v>610.07180000000005</v>
          </cell>
        </row>
      </sheetData>
      <sheetData sheetId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7"/>
  <sheetViews>
    <sheetView tabSelected="1" zoomScaleNormal="10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G48" sqref="G48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7" t="s">
        <v>499</v>
      </c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98">
        <f>AVERAGE(R3:R16)</f>
        <v>15.54783961051915</v>
      </c>
      <c r="S1" s="98">
        <f>AVERAGE(S3:S16)</f>
        <v>13.386852013106079</v>
      </c>
      <c r="T1" s="98">
        <f>AVERAGE(T3:T17)</f>
        <v>2.8002662552316551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[1]Main!$C$6*$E$51</f>
        <v>92.48</v>
      </c>
      <c r="G3" s="49">
        <f>[1]Main!$C$8*$E$51</f>
        <v>144176.32000000001</v>
      </c>
      <c r="H3" s="49">
        <f>[1]Main!$C$11*$E$51</f>
        <v>952</v>
      </c>
      <c r="I3" s="49">
        <f>[1]Main!$C$12*$E$51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Model'!$AF$21*1000*E51</f>
        <v>4836.7999999999947</v>
      </c>
      <c r="P3" s="56">
        <f>'[1]Financial Model'!$AE$21*1000*E51</f>
        <v>4581.5999999999985</v>
      </c>
      <c r="Q3" s="56">
        <f>'[1]Financial Model'!$AD$21*1000*E51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[1]Main!$C$26*E51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[2]Main!$C$6*$E$51</f>
        <v>26.576000000000001</v>
      </c>
      <c r="G4" s="49">
        <f>[2]Main!$C$8*$E$51</f>
        <v>10303.196287999999</v>
      </c>
      <c r="H4" s="49">
        <f>[2]Main!$C$11*$E$51</f>
        <v>-3732.828</v>
      </c>
      <c r="I4" s="49">
        <f>[2]Main!$C$12*$E$51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Model'!$AA$22*E51</f>
        <v>1109.5207999999991</v>
      </c>
      <c r="P4" s="56">
        <f>'[2]Financial Model'!$Z$22*$E$51</f>
        <v>326.27920000000114</v>
      </c>
      <c r="Q4" s="56">
        <f>'[2]Financial Model'!$Y$22*$E$51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[2]Main!$C$26*E51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[6]Main!$C$6*E51</f>
        <v>8.2640000000000011</v>
      </c>
      <c r="G8" s="49">
        <f>[6]Main!$C$8*E51</f>
        <v>3754.5170080000007</v>
      </c>
      <c r="H8" s="49">
        <f>[6]Main!$C$11*$E$51</f>
        <v>144.21600000000009</v>
      </c>
      <c r="I8" s="49">
        <f>[6]Main!$C$12*$E$51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Model'!$AA$20*$E$51</f>
        <v>-439.34160000000003</v>
      </c>
      <c r="P8" s="56">
        <f>'[6]Financial Model'!$Z$20*$E$51</f>
        <v>73.713599999999389</v>
      </c>
      <c r="Q8" s="56">
        <f>'[6]Financial Model'!$Y$20*$E$51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[6]Main!$C$27*E51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[7]Main!$C$6*E51</f>
        <v>20.424000000000003</v>
      </c>
      <c r="G9" s="49">
        <f>[7]Main!$C$8*$E$51</f>
        <v>1882.56504384</v>
      </c>
      <c r="H9" s="49">
        <f>[7]Main!$C$11*E51</f>
        <v>311.2328</v>
      </c>
      <c r="I9" s="49">
        <f>[7]Main!$C$12*E51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[7]Main!$C$26*E51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[8]Main!$C$6*E51</f>
        <v>10.336</v>
      </c>
      <c r="G10" s="49">
        <f>[8]Main!$C$8*E51</f>
        <v>1862.4335039999999</v>
      </c>
      <c r="H10" s="49">
        <f>[8]Main!$C$11*$E$51</f>
        <v>-222.6464</v>
      </c>
      <c r="I10" s="49">
        <f>[8]Main!$C$12*$E$51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Model'!$Z$17*E51</f>
        <v>335.7007999999999</v>
      </c>
      <c r="P10" s="56">
        <f>'[8]Financial Model'!$Y$17*F51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[8]Main!$C$26*E51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[10]Main!$C$6*E51</f>
        <v>18.096</v>
      </c>
      <c r="G12" s="49">
        <f>[10]Main!$C$8*E51</f>
        <v>895.49865599999998</v>
      </c>
      <c r="H12" s="49">
        <f>[10]Main!$C$11*E51</f>
        <v>119.09119999999999</v>
      </c>
      <c r="I12" s="49">
        <f>[10]Main!$C$12*E51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Model'!$X$18*E51</f>
        <v>210.40799999999979</v>
      </c>
      <c r="P12" s="56">
        <f>'[10]Financial Model'!$W$18*$E$51</f>
        <v>-91.216800000000134</v>
      </c>
      <c r="Q12" s="56">
        <f>'[10]Financial Model'!$V$18*$E$51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Model'!$Q$41*E51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[16]Main!$C$6*E51</f>
        <v>265.12800000000004</v>
      </c>
      <c r="G24" s="56">
        <f>[16]Main!$C$8*E51</f>
        <v>32425.154399999999</v>
      </c>
      <c r="H24" s="56">
        <f>[16]Main!$C$11*E51</f>
        <v>0</v>
      </c>
      <c r="I24" s="56">
        <f>[16]Main!$C$12*E51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81600*E53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2769*E53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18.22*E51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[18]Main!$C$6*$E$51</f>
        <v>31.104000000000003</v>
      </c>
      <c r="G39" s="49">
        <f>[18]Main!$C$8*$E$51</f>
        <v>2902.6385614080004</v>
      </c>
      <c r="H39" s="1">
        <f>[18]Main!$C$11*E51</f>
        <v>-82.4</v>
      </c>
      <c r="I39" s="56">
        <f>[18]Main!$C$12*E51</f>
        <v>2985.0385614080005</v>
      </c>
      <c r="J39" s="4" t="str">
        <f>[18]Main!$C$30</f>
        <v>Q322</v>
      </c>
      <c r="K39" s="85">
        <f>[18]Main!$D$30</f>
        <v>45248</v>
      </c>
      <c r="L39" s="50">
        <f>[18]Main!$C$39</f>
        <v>8.8002316079245286</v>
      </c>
      <c r="M39" s="56"/>
      <c r="N39" s="56"/>
      <c r="O39" s="56">
        <f>'[18]Financial Model'!$AH$17*E51</f>
        <v>713.6</v>
      </c>
      <c r="P39" s="56">
        <f>'[18]Financial Model'!$AG$17*E51</f>
        <v>258.40000000000003</v>
      </c>
      <c r="Q39" s="56">
        <f>'[18]Financial Model'!$AF$17*E51</f>
        <v>392.8</v>
      </c>
      <c r="R39" s="51">
        <f>[18]Main!$C$38</f>
        <v>8.8454790838610293</v>
      </c>
      <c r="S39" s="51">
        <f>'[18]Financial Model'!$AH$84</f>
        <v>4.844618834080717</v>
      </c>
      <c r="T39" s="51">
        <f>[18]Main!$C$35</f>
        <v>1.1142657256827251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[18]Main!$C$28*E51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[20]Main!$C$6*E51</f>
        <v>38.704000000000008</v>
      </c>
      <c r="G40" s="56">
        <f>[20]Main!$C$8*E51</f>
        <v>488.05744000000004</v>
      </c>
      <c r="H40" s="1"/>
      <c r="I40" s="1"/>
      <c r="J40" s="1"/>
      <c r="K40" s="1"/>
      <c r="M40" s="56"/>
      <c r="N40" s="56"/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[19]Main!$C$6</f>
        <v>2.2999999999999998</v>
      </c>
      <c r="G41" s="56">
        <f>[19]Main!$C$8</f>
        <v>114.99999999999999</v>
      </c>
      <c r="H41" s="56">
        <f>[19]Main!$C$11</f>
        <v>13.872</v>
      </c>
      <c r="I41" s="56">
        <f>[19]Main!$C$12</f>
        <v>101.12799999999999</v>
      </c>
      <c r="J41" s="4" t="str">
        <f>[19]Main!$C$29</f>
        <v>H122</v>
      </c>
      <c r="K41" s="130">
        <f>[19]Main!$D$29</f>
        <v>45063</v>
      </c>
      <c r="L41" s="50">
        <f>[19]Main!$C$38</f>
        <v>8.4315491078872764</v>
      </c>
      <c r="M41" s="56"/>
      <c r="N41" s="56"/>
      <c r="O41" s="56">
        <f>'[19]Financial Model'!$T$16</f>
        <v>7.0139999999999958</v>
      </c>
      <c r="P41" s="56">
        <f>'[19]Financial Model'!$S$16</f>
        <v>-11.902999999999997</v>
      </c>
      <c r="Q41" s="56">
        <f>'[19]Financial Model'!$R$16</f>
        <v>5.7139999999999933</v>
      </c>
      <c r="R41" s="51">
        <f>[19]Main!$C$37</f>
        <v>9.5881273970318492</v>
      </c>
      <c r="S41" s="51">
        <f>'[19]Financial Model'!$T$84</f>
        <v>4.5587396635300852</v>
      </c>
      <c r="T41" s="51">
        <f>[19]Main!$C$34</f>
        <v>3.910766510236003</v>
      </c>
      <c r="W41" s="53">
        <f>'[19]Financial Model'!$T$21</f>
        <v>-2.7951830820442503E-2</v>
      </c>
      <c r="X41" s="53">
        <f>'[19]Financial Model'!$S$21</f>
        <v>-0.24362684900059861</v>
      </c>
      <c r="Y41" s="53">
        <f>'[19]Financial Model'!$R$21</f>
        <v>8.9157301621889395E-3</v>
      </c>
      <c r="Z41" s="53">
        <f>'[19]Financial Model'!$K$26</f>
        <v>0.19490724836825837</v>
      </c>
      <c r="AA41" s="53">
        <f>'[19]Financial Model'!$K$27</f>
        <v>5.2401809229359962E-2</v>
      </c>
      <c r="AB41" s="53">
        <f>'[19]Financial Model'!$K$28</f>
        <v>4.1008244589488214E-2</v>
      </c>
      <c r="AC41" s="53">
        <f>'[19]Financial Model'!$K$29</f>
        <v>6.4337034617896707E-2</v>
      </c>
      <c r="AE41" s="56">
        <f>[19]Main!$C$27</f>
        <v>31.096</v>
      </c>
      <c r="AF41" s="53">
        <f>'[19]Financial Model'!$K$73</f>
        <v>9.3658776773467567E-2</v>
      </c>
      <c r="AG41" s="53">
        <f>'[19]Financial Model'!$K$74</f>
        <v>0.23735625323305887</v>
      </c>
      <c r="AH41" s="53">
        <f>'[19]Financial Model'!$K$75</f>
        <v>0.20930060375174159</v>
      </c>
      <c r="AI41" s="4">
        <f>[19]Main!$C$25</f>
        <v>388</v>
      </c>
      <c r="AJ41" s="153">
        <f>[19]Main!$W$7</f>
        <v>4.433098591549296</v>
      </c>
      <c r="AK41" s="4">
        <f>[19]Main!$C$24</f>
        <v>1917</v>
      </c>
      <c r="AL41" s="4" t="str">
        <f>[19]Main!$C$23</f>
        <v>Leicester, UK</v>
      </c>
      <c r="AM41" s="4" t="s">
        <v>979</v>
      </c>
    </row>
    <row r="42" spans="2:40" x14ac:dyDescent="0.2">
      <c r="B42" s="1" t="s">
        <v>579</v>
      </c>
      <c r="C42" s="1" t="s">
        <v>584</v>
      </c>
      <c r="D42" s="4" t="s">
        <v>39</v>
      </c>
      <c r="E42" s="4" t="s">
        <v>505</v>
      </c>
      <c r="G42" s="56"/>
      <c r="H42" s="1"/>
      <c r="I42" s="1"/>
      <c r="J42" s="1"/>
      <c r="K42" s="1"/>
      <c r="M42" s="56"/>
      <c r="N42" s="56"/>
      <c r="AM42" s="4" t="s">
        <v>980</v>
      </c>
      <c r="AN42" s="4" t="s">
        <v>1014</v>
      </c>
    </row>
    <row r="43" spans="2:40" x14ac:dyDescent="0.2">
      <c r="B43" s="1" t="s">
        <v>580</v>
      </c>
      <c r="C43" s="1" t="s">
        <v>585</v>
      </c>
      <c r="D43" s="4" t="s">
        <v>31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981</v>
      </c>
      <c r="AN43" s="4" t="s">
        <v>1015</v>
      </c>
    </row>
    <row r="44" spans="2:40" x14ac:dyDescent="0.2">
      <c r="B44" s="1" t="s">
        <v>568</v>
      </c>
      <c r="C44" s="1" t="s">
        <v>571</v>
      </c>
      <c r="D44" s="4" t="s">
        <v>13</v>
      </c>
      <c r="E44" s="4" t="s">
        <v>15</v>
      </c>
      <c r="G44" s="56"/>
      <c r="H44" s="1"/>
      <c r="I44" s="1"/>
      <c r="J44" s="1"/>
      <c r="K44" s="1"/>
      <c r="M44" s="56"/>
      <c r="N44" s="56"/>
      <c r="Y44" s="4"/>
      <c r="AM44" s="4" t="s">
        <v>980</v>
      </c>
      <c r="AN44" s="4" t="s">
        <v>1016</v>
      </c>
    </row>
    <row r="45" spans="2:40" x14ac:dyDescent="0.2">
      <c r="G45" s="56"/>
      <c r="H45" s="1"/>
      <c r="I45" s="1"/>
      <c r="J45" s="1"/>
      <c r="K45" s="1"/>
      <c r="M45" s="56"/>
      <c r="N45" s="56"/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49"/>
      <c r="I48" s="4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D50" s="155" t="s">
        <v>495</v>
      </c>
      <c r="E50" s="156"/>
      <c r="F50" s="42" t="s">
        <v>496</v>
      </c>
      <c r="G50" s="49"/>
      <c r="I50" s="4"/>
      <c r="J50" s="1"/>
      <c r="K50" s="1"/>
    </row>
    <row r="51" spans="4:14" x14ac:dyDescent="0.2">
      <c r="D51" s="43" t="s">
        <v>497</v>
      </c>
      <c r="E51" s="44">
        <v>0.8</v>
      </c>
      <c r="F51" s="45">
        <f>1/E51</f>
        <v>1.25</v>
      </c>
      <c r="G51" s="49"/>
      <c r="I51" s="4"/>
      <c r="J51" s="1"/>
      <c r="K51" s="1"/>
    </row>
    <row r="52" spans="4:14" x14ac:dyDescent="0.2">
      <c r="D52" s="43" t="s">
        <v>498</v>
      </c>
      <c r="E52" s="44">
        <v>0.88</v>
      </c>
      <c r="F52" s="45">
        <f>1/E52</f>
        <v>1.1363636363636365</v>
      </c>
      <c r="G52" s="49"/>
      <c r="I52" s="4"/>
      <c r="J52" s="1"/>
      <c r="K52" s="1"/>
    </row>
    <row r="53" spans="4:14" x14ac:dyDescent="0.2">
      <c r="D53" s="46" t="s">
        <v>564</v>
      </c>
      <c r="E53" s="48">
        <v>6.1999999999999998E-3</v>
      </c>
      <c r="F53" s="47">
        <f>1/E53</f>
        <v>161.29032258064515</v>
      </c>
      <c r="G53" s="49"/>
    </row>
    <row r="54" spans="4:14" x14ac:dyDescent="0.2"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</sheetData>
  <mergeCells count="2">
    <mergeCell ref="D50:E50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2023-01-26T19:52:04Z</dcterms:modified>
</cp:coreProperties>
</file>