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E687D960-A14E-4DF6-9124-B86DE932A88C}" xr6:coauthVersionLast="36" xr6:coauthVersionMax="47" xr10:uidLastSave="{00000000-0000-0000-0000-000000000000}"/>
  <bookViews>
    <workbookView xWindow="-120" yWindow="-120" windowWidth="29040" windowHeight="15720" activeTab="1" xr2:uid="{F33AF04B-C9D6-4944-A70E-DBAA932093D6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4" i="2" l="1"/>
  <c r="AC23" i="2"/>
  <c r="AC22" i="2"/>
  <c r="AC21" i="2"/>
  <c r="AC20" i="2"/>
  <c r="AA17" i="2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CG17" i="2" s="1"/>
  <c r="CH17" i="2" s="1"/>
  <c r="Z17" i="2"/>
  <c r="Y26" i="2" l="1"/>
  <c r="X26" i="2"/>
  <c r="W26" i="2"/>
  <c r="V26" i="2"/>
  <c r="U26" i="2"/>
  <c r="T26" i="2"/>
  <c r="Y17" i="2"/>
  <c r="X17" i="2"/>
  <c r="W17" i="2"/>
  <c r="V17" i="2"/>
  <c r="U17" i="2"/>
  <c r="T17" i="2"/>
  <c r="Y12" i="2"/>
  <c r="X12" i="2"/>
  <c r="W12" i="2"/>
  <c r="V12" i="2"/>
  <c r="U12" i="2"/>
  <c r="T12" i="2"/>
  <c r="Y13" i="2"/>
  <c r="X13" i="2"/>
  <c r="W13" i="2"/>
  <c r="V13" i="2"/>
  <c r="U13" i="2"/>
  <c r="T13" i="2"/>
  <c r="U11" i="2"/>
  <c r="V11" i="2" s="1"/>
  <c r="W11" i="2" s="1"/>
  <c r="X11" i="2" s="1"/>
  <c r="Y11" i="2" s="1"/>
  <c r="T11" i="2"/>
  <c r="S26" i="2" l="1"/>
  <c r="S13" i="2"/>
  <c r="S17" i="2" s="1"/>
  <c r="S11" i="2"/>
  <c r="J11" i="2"/>
  <c r="S12" i="2" l="1"/>
  <c r="O28" i="2"/>
  <c r="N28" i="2"/>
  <c r="M28" i="2"/>
  <c r="M35" i="2"/>
  <c r="N33" i="2"/>
  <c r="N25" i="2"/>
  <c r="O25" i="2"/>
  <c r="P36" i="2"/>
  <c r="N9" i="2"/>
  <c r="N11" i="2" s="1"/>
  <c r="N13" i="2" s="1"/>
  <c r="N17" i="2" s="1"/>
  <c r="N21" i="2" s="1"/>
  <c r="N24" i="2" s="1"/>
  <c r="M9" i="2"/>
  <c r="M11" i="2" s="1"/>
  <c r="M13" i="2" s="1"/>
  <c r="M17" i="2" s="1"/>
  <c r="M21" i="2" s="1"/>
  <c r="M24" i="2" s="1"/>
  <c r="M26" i="2" s="1"/>
  <c r="Q34" i="2"/>
  <c r="Q33" i="2"/>
  <c r="Q9" i="2"/>
  <c r="Q11" i="2" s="1"/>
  <c r="Q13" i="2" s="1"/>
  <c r="Q17" i="2" s="1"/>
  <c r="Q21" i="2" s="1"/>
  <c r="Q24" i="2" s="1"/>
  <c r="Q26" i="2" s="1"/>
  <c r="Q35" i="2" s="1"/>
  <c r="P9" i="2"/>
  <c r="P11" i="2" s="1"/>
  <c r="P13" i="2" s="1"/>
  <c r="P17" i="2" s="1"/>
  <c r="P21" i="2" s="1"/>
  <c r="P24" i="2" s="1"/>
  <c r="P26" i="2" s="1"/>
  <c r="P35" i="2" s="1"/>
  <c r="O9" i="2"/>
  <c r="O11" i="2" s="1"/>
  <c r="O13" i="2" s="1"/>
  <c r="O17" i="2" s="1"/>
  <c r="O21" i="2" s="1"/>
  <c r="O24" i="2" s="1"/>
  <c r="F28" i="2"/>
  <c r="F25" i="2"/>
  <c r="F23" i="2"/>
  <c r="F22" i="2"/>
  <c r="F20" i="2"/>
  <c r="F19" i="2"/>
  <c r="F18" i="2"/>
  <c r="F16" i="2"/>
  <c r="F15" i="2"/>
  <c r="F14" i="2"/>
  <c r="F12" i="2"/>
  <c r="F10" i="2"/>
  <c r="F8" i="2"/>
  <c r="F7" i="2"/>
  <c r="F6" i="2"/>
  <c r="F5" i="2"/>
  <c r="F4" i="2"/>
  <c r="F2" i="2"/>
  <c r="R9" i="2"/>
  <c r="R11" i="2" s="1"/>
  <c r="C27" i="2"/>
  <c r="D9" i="2"/>
  <c r="D11" i="2" s="1"/>
  <c r="D13" i="2" s="1"/>
  <c r="D17" i="2" s="1"/>
  <c r="D21" i="2" s="1"/>
  <c r="D24" i="2" s="1"/>
  <c r="D26" i="2" s="1"/>
  <c r="D35" i="2" s="1"/>
  <c r="C9" i="2"/>
  <c r="C11" i="2" s="1"/>
  <c r="C13" i="2" s="1"/>
  <c r="C17" i="2" s="1"/>
  <c r="C21" i="2" s="1"/>
  <c r="C24" i="2" s="1"/>
  <c r="C26" i="2" s="1"/>
  <c r="C35" i="2" s="1"/>
  <c r="E71" i="2"/>
  <c r="E70" i="2"/>
  <c r="E72" i="2" s="1"/>
  <c r="E62" i="2"/>
  <c r="E65" i="2" s="1"/>
  <c r="E52" i="2"/>
  <c r="E67" i="2" s="1"/>
  <c r="E68" i="2" s="1"/>
  <c r="E9" i="2"/>
  <c r="E11" i="2" s="1"/>
  <c r="E13" i="2" s="1"/>
  <c r="E17" i="2" s="1"/>
  <c r="E21" i="2" s="1"/>
  <c r="E24" i="2" s="1"/>
  <c r="E26" i="2" s="1"/>
  <c r="E27" i="2" s="1"/>
  <c r="G9" i="2"/>
  <c r="H9" i="2"/>
  <c r="H11" i="2" s="1"/>
  <c r="H13" i="2" s="1"/>
  <c r="H17" i="2" s="1"/>
  <c r="H21" i="2" s="1"/>
  <c r="H24" i="2" s="1"/>
  <c r="H26" i="2" s="1"/>
  <c r="H35" i="2" s="1"/>
  <c r="I64" i="2"/>
  <c r="I62" i="2"/>
  <c r="I65" i="2" s="1"/>
  <c r="I71" i="2"/>
  <c r="C10" i="1" s="1"/>
  <c r="I70" i="2"/>
  <c r="C9" i="1" s="1"/>
  <c r="I52" i="2"/>
  <c r="C7" i="1"/>
  <c r="C8" i="1" s="1"/>
  <c r="I9" i="2"/>
  <c r="R13" i="2" l="1"/>
  <c r="R17" i="2" s="1"/>
  <c r="R21" i="2" s="1"/>
  <c r="R24" i="2" s="1"/>
  <c r="R26" i="2" s="1"/>
  <c r="R27" i="2" s="1"/>
  <c r="S30" i="2"/>
  <c r="N30" i="2"/>
  <c r="N26" i="2"/>
  <c r="O33" i="2"/>
  <c r="N34" i="2"/>
  <c r="M27" i="2"/>
  <c r="P27" i="2"/>
  <c r="O34" i="2"/>
  <c r="O26" i="2"/>
  <c r="P33" i="2"/>
  <c r="N36" i="2"/>
  <c r="P34" i="2"/>
  <c r="O36" i="2"/>
  <c r="M33" i="2"/>
  <c r="P30" i="2"/>
  <c r="M34" i="2"/>
  <c r="I11" i="2"/>
  <c r="I13" i="2" s="1"/>
  <c r="I17" i="2" s="1"/>
  <c r="G11" i="2"/>
  <c r="G13" i="2" s="1"/>
  <c r="G17" i="2" s="1"/>
  <c r="G21" i="2" s="1"/>
  <c r="G24" i="2" s="1"/>
  <c r="G26" i="2" s="1"/>
  <c r="G27" i="2" s="1"/>
  <c r="Q30" i="2"/>
  <c r="O30" i="2"/>
  <c r="M36" i="2"/>
  <c r="D27" i="2"/>
  <c r="H36" i="2"/>
  <c r="I67" i="2"/>
  <c r="I68" i="2" s="1"/>
  <c r="C34" i="1" s="1"/>
  <c r="C11" i="1"/>
  <c r="C12" i="1" s="1"/>
  <c r="E31" i="2"/>
  <c r="Q27" i="2"/>
  <c r="H31" i="2"/>
  <c r="C33" i="2"/>
  <c r="H27" i="2"/>
  <c r="D33" i="2"/>
  <c r="I31" i="2"/>
  <c r="H33" i="2"/>
  <c r="C36" i="2"/>
  <c r="G30" i="2"/>
  <c r="C34" i="2"/>
  <c r="D34" i="2"/>
  <c r="H34" i="2"/>
  <c r="D36" i="2"/>
  <c r="D31" i="2"/>
  <c r="Q36" i="2"/>
  <c r="H30" i="2"/>
  <c r="R30" i="2"/>
  <c r="R35" i="2"/>
  <c r="R34" i="2"/>
  <c r="R36" i="2"/>
  <c r="F9" i="2"/>
  <c r="G31" i="2" s="1"/>
  <c r="G33" i="2"/>
  <c r="G34" i="2"/>
  <c r="E33" i="2"/>
  <c r="E34" i="2"/>
  <c r="E35" i="2"/>
  <c r="E36" i="2"/>
  <c r="I72" i="2"/>
  <c r="I33" i="2" l="1"/>
  <c r="G36" i="2"/>
  <c r="I30" i="2"/>
  <c r="G35" i="2"/>
  <c r="O27" i="2"/>
  <c r="O35" i="2"/>
  <c r="R33" i="2"/>
  <c r="N27" i="2"/>
  <c r="N35" i="2"/>
  <c r="F11" i="2"/>
  <c r="F31" i="2"/>
  <c r="I21" i="2"/>
  <c r="I34" i="2"/>
  <c r="F13" i="2" l="1"/>
  <c r="F17" i="2" s="1"/>
  <c r="C35" i="1"/>
  <c r="I24" i="2"/>
  <c r="I26" i="2" s="1"/>
  <c r="I36" i="2"/>
  <c r="F33" i="2"/>
  <c r="F21" i="2" l="1"/>
  <c r="F34" i="2"/>
  <c r="I35" i="2"/>
  <c r="I27" i="2"/>
  <c r="F24" i="2" l="1"/>
  <c r="F26" i="2" s="1"/>
  <c r="F36" i="2"/>
  <c r="F35" i="2" l="1"/>
  <c r="F27" i="2"/>
  <c r="C36" i="1" s="1"/>
</calcChain>
</file>

<file path=xl/sharedStrings.xml><?xml version="1.0" encoding="utf-8"?>
<sst xmlns="http://schemas.openxmlformats.org/spreadsheetml/2006/main" count="131" uniqueCount="115">
  <si>
    <t>$TCOM</t>
  </si>
  <si>
    <t>Trip.com Group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</si>
  <si>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</si>
  <si>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</si>
  <si>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</si>
  <si>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</si>
  <si>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</si>
  <si>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</si>
  <si>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</si>
  <si>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</si>
  <si>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Q324</t>
  </si>
  <si>
    <t>Q224</t>
  </si>
  <si>
    <t>Q124</t>
  </si>
  <si>
    <t>Q423</t>
  </si>
  <si>
    <t>Q323</t>
  </si>
  <si>
    <t>Q223</t>
  </si>
  <si>
    <t>Q123</t>
  </si>
  <si>
    <t>Accomodation Revenue</t>
  </si>
  <si>
    <t>Transportation Ticketing</t>
  </si>
  <si>
    <t>Packaged-Tour</t>
  </si>
  <si>
    <t>Corporate Travel</t>
  </si>
  <si>
    <t>Others</t>
  </si>
  <si>
    <t>Revenue</t>
  </si>
  <si>
    <t>COGS</t>
  </si>
  <si>
    <t>Gross Profit</t>
  </si>
  <si>
    <t>Sales Tax</t>
  </si>
  <si>
    <t>Pre-tax Revenue</t>
  </si>
  <si>
    <t>Product Development</t>
  </si>
  <si>
    <t>R&amp;D</t>
  </si>
  <si>
    <t>G&amp;A</t>
  </si>
  <si>
    <t>Operating Income</t>
  </si>
  <si>
    <t>Interest Income</t>
  </si>
  <si>
    <t>Interest Expense</t>
  </si>
  <si>
    <t>Other Income</t>
  </si>
  <si>
    <t>Pretax Income</t>
  </si>
  <si>
    <t>Taxes</t>
  </si>
  <si>
    <t>Equity in Gain of Affiliates</t>
  </si>
  <si>
    <t>Net Income</t>
  </si>
  <si>
    <t>EPS</t>
  </si>
  <si>
    <t>Attributable to Non-Controlling</t>
  </si>
  <si>
    <t>Net Income to Trip.com Group</t>
  </si>
  <si>
    <t>Q424</t>
  </si>
  <si>
    <t>Revenue Y/Y</t>
  </si>
  <si>
    <t>Revenue Q/Q</t>
  </si>
  <si>
    <t>Gross Margin</t>
  </si>
  <si>
    <t>Operating Margin</t>
  </si>
  <si>
    <t>Net Margin</t>
  </si>
  <si>
    <t>Tax Rate</t>
  </si>
  <si>
    <t>Balance Sheet</t>
  </si>
  <si>
    <t>Short Term Investments</t>
  </si>
  <si>
    <t>A/R</t>
  </si>
  <si>
    <t>Prepayments &amp; OCA</t>
  </si>
  <si>
    <t>PP&amp;E</t>
  </si>
  <si>
    <t>Intangibles</t>
  </si>
  <si>
    <t>ROU</t>
  </si>
  <si>
    <t>Investments</t>
  </si>
  <si>
    <t>Goodwill</t>
  </si>
  <si>
    <t>Other LTA</t>
  </si>
  <si>
    <t>Deferred Taxes</t>
  </si>
  <si>
    <t>Assets</t>
  </si>
  <si>
    <t>Short Term Debt</t>
  </si>
  <si>
    <t>A/P</t>
  </si>
  <si>
    <t>Advances from Customers</t>
  </si>
  <si>
    <t>OCL</t>
  </si>
  <si>
    <t>Long-Term Debt</t>
  </si>
  <si>
    <t>Long-Term Lease Liability</t>
  </si>
  <si>
    <t>OLTL</t>
  </si>
  <si>
    <t>Liablities</t>
  </si>
  <si>
    <t>S/E</t>
  </si>
  <si>
    <t>S/E+L</t>
  </si>
  <si>
    <t>Book Value</t>
  </si>
  <si>
    <t>Book Value per Share</t>
  </si>
  <si>
    <t>Management</t>
  </si>
  <si>
    <t>Chair</t>
  </si>
  <si>
    <t>Profile</t>
  </si>
  <si>
    <t>HQ</t>
  </si>
  <si>
    <t>Founded</t>
  </si>
  <si>
    <t>IPO</t>
  </si>
  <si>
    <t>Update</t>
  </si>
  <si>
    <t>Link</t>
  </si>
  <si>
    <t>IR</t>
  </si>
  <si>
    <t>Valuation Metrics</t>
  </si>
  <si>
    <t>P/B</t>
  </si>
  <si>
    <t>P/S</t>
  </si>
  <si>
    <t>P/E</t>
  </si>
  <si>
    <t>Singapore</t>
  </si>
  <si>
    <t>Share Price</t>
  </si>
  <si>
    <t>Dr Jian. Liang Ph.D</t>
  </si>
  <si>
    <t>CoFound</t>
  </si>
  <si>
    <t>COO</t>
  </si>
  <si>
    <t>Mr. Xiong Xing</t>
  </si>
  <si>
    <t>Vice Chair</t>
  </si>
  <si>
    <t>Mr Min fan</t>
  </si>
  <si>
    <t>Director</t>
  </si>
  <si>
    <t>Nanpeng Shen</t>
  </si>
  <si>
    <t>FY20</t>
  </si>
  <si>
    <t>FY21</t>
  </si>
  <si>
    <t>FY24</t>
  </si>
  <si>
    <t>FY22</t>
  </si>
  <si>
    <t>FY23</t>
  </si>
  <si>
    <t>FY18</t>
  </si>
  <si>
    <t>FY19</t>
  </si>
  <si>
    <t>ADR for 9961.HK</t>
  </si>
  <si>
    <t>FY25</t>
  </si>
  <si>
    <t>FY26</t>
  </si>
  <si>
    <t>FY27</t>
  </si>
  <si>
    <t>FY28</t>
  </si>
  <si>
    <t>FY29</t>
  </si>
  <si>
    <t>FY30</t>
  </si>
  <si>
    <t>Maturity Rate</t>
  </si>
  <si>
    <t>Discount Rate</t>
  </si>
  <si>
    <t>NPV</t>
  </si>
  <si>
    <t>Total Value</t>
  </si>
  <si>
    <t>Per Share</t>
  </si>
  <si>
    <t>Upside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</si>
</sst>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x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4" xfId="0" applyFont="1" applyFill="1" applyBorder="1"/>
    <xf numFmtId="0" fontId="1" fillId="0" borderId="0" xfId="0" applyFont="1" applyBorder="1"/>
    <xf numFmtId="0" fontId="2" fillId="2" borderId="6" xfId="0" applyFont="1" applyFill="1" applyBorder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" fontId="3" fillId="0" borderId="0" xfId="0" applyNumberFormat="1" applyFont="1" applyAlignment="1">
      <alignment horizontal="right"/>
    </xf>
    <xf numFmtId="14" fontId="3" fillId="0" borderId="0" xfId="0" applyNumberFormat="1" applyFont="1" applyAlignment="1">
      <alignment horizontal="right"/>
    </xf>
    <xf numFmtId="0" fontId="5" fillId="0" borderId="0" xfId="1" applyFont="1" applyAlignment="1">
      <alignment horizontal="right"/>
    </xf>
    <xf numFmtId="3" fontId="1" fillId="0" borderId="0" xfId="0" applyNumberFormat="1" applyFont="1"/>
    <xf numFmtId="3" fontId="2" fillId="0" borderId="0" xfId="0" applyNumberFormat="1" applyFont="1"/>
    <xf numFmtId="4" fontId="1" fillId="0" borderId="0" xfId="0" applyNumberFormat="1" applyFont="1"/>
    <xf numFmtId="3" fontId="1" fillId="0" borderId="0" xfId="0" applyNumberFormat="1" applyFont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3" fontId="1" fillId="0" borderId="7" xfId="0" applyNumberFormat="1" applyFont="1" applyBorder="1"/>
    <xf numFmtId="9" fontId="1" fillId="0" borderId="0" xfId="0" applyNumberFormat="1" applyFont="1"/>
    <xf numFmtId="0" fontId="6" fillId="0" borderId="0" xfId="0" applyFont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16" fontId="1" fillId="4" borderId="5" xfId="0" applyNumberFormat="1" applyFont="1" applyFill="1" applyBorder="1" applyAlignment="1">
      <alignment horizontal="center"/>
    </xf>
    <xf numFmtId="3" fontId="7" fillId="0" borderId="0" xfId="0" applyNumberFormat="1" applyFont="1" applyAlignment="1">
      <alignment horizontal="left" indent="1"/>
    </xf>
    <xf numFmtId="3" fontId="7" fillId="0" borderId="0" xfId="0" applyNumberFormat="1" applyFont="1"/>
    <xf numFmtId="9" fontId="2" fillId="0" borderId="0" xfId="0" applyNumberFormat="1" applyFont="1"/>
    <xf numFmtId="0" fontId="2" fillId="2" borderId="6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64" fontId="1" fillId="4" borderId="0" xfId="0" applyNumberFormat="1" applyFont="1" applyFill="1" applyBorder="1" applyAlignment="1">
      <alignment horizontal="center"/>
    </xf>
    <xf numFmtId="164" fontId="1" fillId="4" borderId="5" xfId="0" applyNumberFormat="1" applyFont="1" applyFill="1" applyBorder="1" applyAlignment="1">
      <alignment horizontal="center"/>
    </xf>
    <xf numFmtId="164" fontId="1" fillId="4" borderId="7" xfId="0" applyNumberFormat="1" applyFont="1" applyFill="1" applyBorder="1" applyAlignment="1">
      <alignment horizontal="center"/>
    </xf>
    <xf numFmtId="164" fontId="1" fillId="4" borderId="8" xfId="0" applyNumberFormat="1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3" fontId="1" fillId="3" borderId="1" xfId="0" applyNumberFormat="1" applyFont="1" applyFill="1" applyBorder="1"/>
    <xf numFmtId="9" fontId="1" fillId="0" borderId="3" xfId="0" applyNumberFormat="1" applyFont="1" applyBorder="1"/>
    <xf numFmtId="3" fontId="1" fillId="3" borderId="4" xfId="0" applyNumberFormat="1" applyFont="1" applyFill="1" applyBorder="1"/>
    <xf numFmtId="9" fontId="1" fillId="0" borderId="5" xfId="0" applyNumberFormat="1" applyFont="1" applyBorder="1"/>
    <xf numFmtId="3" fontId="1" fillId="0" borderId="5" xfId="0" applyNumberFormat="1" applyFont="1" applyBorder="1"/>
    <xf numFmtId="3" fontId="2" fillId="3" borderId="4" xfId="0" applyNumberFormat="1" applyFont="1" applyFill="1" applyBorder="1"/>
    <xf numFmtId="3" fontId="2" fillId="0" borderId="5" xfId="0" applyNumberFormat="1" applyFont="1" applyBorder="1"/>
    <xf numFmtId="3" fontId="1" fillId="3" borderId="6" xfId="0" applyNumberFormat="1" applyFont="1" applyFill="1" applyBorder="1"/>
    <xf numFmtId="9" fontId="1" fillId="0" borderId="8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0</xdr:row>
      <xdr:rowOff>19050</xdr:rowOff>
    </xdr:from>
    <xdr:to>
      <xdr:col>9</xdr:col>
      <xdr:colOff>9525</xdr:colOff>
      <xdr:row>84</xdr:row>
      <xdr:rowOff>9525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EF839F3-D334-4C2C-8713-56C47680C2AB}"/>
            </a:ext>
          </a:extLst>
        </xdr:cNvPr>
        <xdr:cNvCxnSpPr/>
      </xdr:nvCxnSpPr>
      <xdr:spPr>
        <a:xfrm>
          <a:off x="6486525" y="19050"/>
          <a:ext cx="0" cy="13592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9525</xdr:colOff>
      <xdr:row>0</xdr:row>
      <xdr:rowOff>0</xdr:rowOff>
    </xdr:from>
    <xdr:to>
      <xdr:col>18</xdr:col>
      <xdr:colOff>9525</xdr:colOff>
      <xdr:row>83</xdr:row>
      <xdr:rowOff>152400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685B968E-9581-4289-ABE2-AD62AD5D4146}"/>
            </a:ext>
          </a:extLst>
        </xdr:cNvPr>
        <xdr:cNvCxnSpPr/>
      </xdr:nvCxnSpPr>
      <xdr:spPr>
        <a:xfrm>
          <a:off x="11972925" y="0"/>
          <a:ext cx="0" cy="13592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nvestors.trip.com/financial-information/annual-report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nvestors.trip.com/static-files/07299505-b134-4ab4-9dee-5b250483b649" TargetMode="External"/><Relationship Id="rId3" Type="http://schemas.openxmlformats.org/officeDocument/2006/relationships/hyperlink" Target="https://investors.trip.com/news-releases/news-release-details/tripcom-group-limited-reports-unaudited-third-quarter-2023" TargetMode="External"/><Relationship Id="rId7" Type="http://schemas.openxmlformats.org/officeDocument/2006/relationships/hyperlink" Target="https://investors.trip.com/static-files/71a63eec-992b-49ea-92ea-342bdb1130fe" TargetMode="External"/><Relationship Id="rId2" Type="http://schemas.openxmlformats.org/officeDocument/2006/relationships/hyperlink" Target="https://investors.trip.com/news-releases/news-release-details/tripcom-group-limited-reports-unaudited-first-quarter-2024" TargetMode="External"/><Relationship Id="rId1" Type="http://schemas.openxmlformats.org/officeDocument/2006/relationships/hyperlink" Target="https://investors.trip.com/news-releases/news-release-details/tripcom-group-limited-reports-unaudited-third-quarter-2024" TargetMode="External"/><Relationship Id="rId6" Type="http://schemas.openxmlformats.org/officeDocument/2006/relationships/hyperlink" Target="https://investors.trip.com/static-files/485d0a35-fd8a-4dfd-bddd-a5079481623b" TargetMode="External"/><Relationship Id="rId5" Type="http://schemas.openxmlformats.org/officeDocument/2006/relationships/hyperlink" Target="https://investors.trip.com/static-files/eba08b17-5cea-4e71-a930-8d3eb910a27d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investors.trip.com/news-releases/news-release-details/tripcom-group-limited-reports-unaudited-first-quarter-2023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2FE2D-D6D2-43E6-A3FD-1364F1A74D75}">
  <dimension ref="A2:E36"/>
  <sheetViews>
    <sheetView workbookViewId="0">
      <selection activeCell="F35" sqref="F35"/>
    </sheetView>
  </sheetViews>
  <sheetFormatPr defaultRowHeight="12.75" x14ac:dyDescent="0.2"/>
  <cols>
    <col min="1" max="16384" width="9.140625" style="1"/>
  </cols>
  <sheetData>
    <row r="2" spans="1:5" x14ac:dyDescent="0.2">
      <c r="B2" s="2" t="s">
        <v>0</v>
      </c>
    </row>
    <row r="3" spans="1:5" x14ac:dyDescent="0.2">
      <c r="B3" s="2" t="s">
        <v>1</v>
      </c>
      <c r="E3" s="1" t="s">
        <v>102</v>
      </c>
    </row>
    <row r="5" spans="1:5" x14ac:dyDescent="0.2">
      <c r="B5" s="30" t="s">
        <v>2</v>
      </c>
      <c r="C5" s="31"/>
      <c r="D5" s="32"/>
    </row>
    <row r="6" spans="1:5" x14ac:dyDescent="0.2">
      <c r="B6" s="3" t="s">
        <v>3</v>
      </c>
      <c r="C6" s="4">
        <v>61.32</v>
      </c>
      <c r="D6" s="16"/>
    </row>
    <row r="7" spans="1:5" x14ac:dyDescent="0.2">
      <c r="B7" s="3" t="s">
        <v>4</v>
      </c>
      <c r="C7" s="15">
        <f>+'Financial Model'!I28</f>
        <v>652.71980099999996</v>
      </c>
      <c r="D7" s="16" t="s">
        <v>10</v>
      </c>
    </row>
    <row r="8" spans="1:5" x14ac:dyDescent="0.2">
      <c r="B8" s="3" t="s">
        <v>5</v>
      </c>
      <c r="C8" s="15">
        <f>+C6*C7</f>
        <v>40024.778197319996</v>
      </c>
      <c r="D8" s="16"/>
    </row>
    <row r="9" spans="1:5" x14ac:dyDescent="0.2">
      <c r="B9" s="3" t="s">
        <v>6</v>
      </c>
      <c r="C9" s="15">
        <f>+'Financial Model'!I70</f>
        <v>17533</v>
      </c>
      <c r="D9" s="16" t="s">
        <v>10</v>
      </c>
    </row>
    <row r="10" spans="1:5" x14ac:dyDescent="0.2">
      <c r="B10" s="3" t="s">
        <v>7</v>
      </c>
      <c r="C10" s="15">
        <f>+'Financial Model'!I71</f>
        <v>6517</v>
      </c>
      <c r="D10" s="16" t="s">
        <v>10</v>
      </c>
    </row>
    <row r="11" spans="1:5" x14ac:dyDescent="0.2">
      <c r="B11" s="3" t="s">
        <v>8</v>
      </c>
      <c r="C11" s="15">
        <f>+C9-C10</f>
        <v>11016</v>
      </c>
      <c r="D11" s="16" t="s">
        <v>10</v>
      </c>
    </row>
    <row r="12" spans="1:5" x14ac:dyDescent="0.2">
      <c r="B12" s="5" t="s">
        <v>9</v>
      </c>
      <c r="C12" s="18">
        <f>+C8-C11</f>
        <v>29008.778197319996</v>
      </c>
      <c r="D12" s="17"/>
    </row>
    <row r="15" spans="1:5" x14ac:dyDescent="0.2">
      <c r="B15" s="30" t="s">
        <v>72</v>
      </c>
      <c r="C15" s="31"/>
      <c r="D15" s="32"/>
    </row>
    <row r="16" spans="1:5" x14ac:dyDescent="0.2">
      <c r="A16" s="1" t="s">
        <v>88</v>
      </c>
      <c r="B16" s="21" t="s">
        <v>91</v>
      </c>
      <c r="C16" s="39" t="s">
        <v>92</v>
      </c>
      <c r="D16" s="40"/>
    </row>
    <row r="17" spans="1:4" x14ac:dyDescent="0.2">
      <c r="A17" s="1" t="s">
        <v>88</v>
      </c>
      <c r="B17" s="21" t="s">
        <v>93</v>
      </c>
      <c r="C17" s="39" t="s">
        <v>94</v>
      </c>
      <c r="D17" s="40"/>
    </row>
    <row r="18" spans="1:4" x14ac:dyDescent="0.2">
      <c r="B18" s="21" t="s">
        <v>89</v>
      </c>
      <c r="C18" s="39" t="s">
        <v>90</v>
      </c>
      <c r="D18" s="40"/>
    </row>
    <row r="19" spans="1:4" x14ac:dyDescent="0.2">
      <c r="A19" s="1" t="s">
        <v>88</v>
      </c>
      <c r="B19" s="22" t="s">
        <v>73</v>
      </c>
      <c r="C19" s="37" t="s">
        <v>87</v>
      </c>
      <c r="D19" s="38"/>
    </row>
    <row r="22" spans="1:4" x14ac:dyDescent="0.2">
      <c r="B22" s="30" t="s">
        <v>74</v>
      </c>
      <c r="C22" s="31"/>
      <c r="D22" s="32"/>
    </row>
    <row r="23" spans="1:4" x14ac:dyDescent="0.2">
      <c r="B23" s="23" t="s">
        <v>75</v>
      </c>
      <c r="C23" s="39" t="s">
        <v>85</v>
      </c>
      <c r="D23" s="40"/>
    </row>
    <row r="24" spans="1:4" x14ac:dyDescent="0.2">
      <c r="B24" s="23" t="s">
        <v>76</v>
      </c>
      <c r="C24" s="39">
        <v>1999</v>
      </c>
      <c r="D24" s="40"/>
    </row>
    <row r="25" spans="1:4" x14ac:dyDescent="0.2">
      <c r="B25" s="23" t="s">
        <v>77</v>
      </c>
      <c r="C25" s="39"/>
      <c r="D25" s="40"/>
    </row>
    <row r="26" spans="1:4" x14ac:dyDescent="0.2">
      <c r="B26" s="23"/>
      <c r="C26" s="41"/>
      <c r="D26" s="42"/>
    </row>
    <row r="27" spans="1:4" x14ac:dyDescent="0.2">
      <c r="B27" s="23"/>
      <c r="C27" s="41"/>
      <c r="D27" s="42"/>
    </row>
    <row r="28" spans="1:4" x14ac:dyDescent="0.2">
      <c r="B28" s="23"/>
      <c r="C28" s="41"/>
      <c r="D28" s="42"/>
    </row>
    <row r="29" spans="1:4" x14ac:dyDescent="0.2">
      <c r="B29" s="23" t="s">
        <v>78</v>
      </c>
      <c r="C29" s="24" t="s">
        <v>10</v>
      </c>
      <c r="D29" s="25">
        <v>45615</v>
      </c>
    </row>
    <row r="30" spans="1:4" x14ac:dyDescent="0.2">
      <c r="B30" s="29" t="s">
        <v>80</v>
      </c>
      <c r="C30" s="43" t="s">
        <v>79</v>
      </c>
      <c r="D30" s="44"/>
    </row>
    <row r="33" spans="2:4" x14ac:dyDescent="0.2">
      <c r="B33" s="30" t="s">
        <v>81</v>
      </c>
      <c r="C33" s="31"/>
      <c r="D33" s="32"/>
    </row>
    <row r="34" spans="2:4" x14ac:dyDescent="0.2">
      <c r="B34" s="23" t="s">
        <v>82</v>
      </c>
      <c r="C34" s="33">
        <f>+C6/'Financial Model'!I68</f>
        <v>2.0045464114448839</v>
      </c>
      <c r="D34" s="34"/>
    </row>
    <row r="35" spans="2:4" x14ac:dyDescent="0.2">
      <c r="B35" s="23" t="s">
        <v>83</v>
      </c>
      <c r="C35" s="33">
        <f>+C8/SUM('Financial Model'!F11:I11)</f>
        <v>5.5884917896285948</v>
      </c>
      <c r="D35" s="34"/>
    </row>
    <row r="36" spans="2:4" x14ac:dyDescent="0.2">
      <c r="B36" s="29" t="s">
        <v>84</v>
      </c>
      <c r="C36" s="35">
        <f>+C6/SUM('Financial Model'!F27:I27)</f>
        <v>17.64997981692456</v>
      </c>
      <c r="D36" s="36"/>
    </row>
  </sheetData>
  <mergeCells count="18">
    <mergeCell ref="B5:D5"/>
    <mergeCell ref="B15:D15"/>
    <mergeCell ref="B22:D22"/>
    <mergeCell ref="C16:D16"/>
    <mergeCell ref="C23:D23"/>
    <mergeCell ref="C17:D17"/>
    <mergeCell ref="C18:D18"/>
    <mergeCell ref="C25:D25"/>
    <mergeCell ref="C26:D26"/>
    <mergeCell ref="C27:D27"/>
    <mergeCell ref="C28:D28"/>
    <mergeCell ref="C24:D24"/>
    <mergeCell ref="B33:D33"/>
    <mergeCell ref="C34:D34"/>
    <mergeCell ref="C35:D35"/>
    <mergeCell ref="C36:D36"/>
    <mergeCell ref="C19:D19"/>
    <mergeCell ref="C30:D30"/>
  </mergeCells>
  <hyperlinks>
    <hyperlink ref="C30:D30" r:id="rId1" display="Link" xr:uid="{7CDE3D63-B097-4372-8A55-C922D224633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82157-EAF6-4063-8AFB-18E34F30F98E}">
  <dimension ref="B1:CH76"/>
  <sheetViews>
    <sheetView tabSelected="1"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W20" sqref="W20"/>
    </sheetView>
  </sheetViews>
  <sheetFormatPr defaultRowHeight="12.75" x14ac:dyDescent="0.2"/>
  <cols>
    <col min="1" max="1" width="4.28515625" style="1" customWidth="1"/>
    <col min="2" max="2" width="28.85546875" style="1" bestFit="1" customWidth="1"/>
    <col min="3" max="27" width="9.140625" style="1"/>
    <col min="28" max="28" width="12.7109375" style="1" bestFit="1" customWidth="1"/>
    <col min="29" max="16384" width="9.140625" style="1"/>
  </cols>
  <sheetData>
    <row r="1" spans="2:25" s="7" customFormat="1" x14ac:dyDescent="0.2">
      <c r="C1" s="11" t="s">
        <v>16</v>
      </c>
      <c r="D1" s="7" t="s">
        <v>15</v>
      </c>
      <c r="E1" s="11" t="s">
        <v>14</v>
      </c>
      <c r="F1" s="7" t="s">
        <v>13</v>
      </c>
      <c r="G1" s="11" t="s">
        <v>12</v>
      </c>
      <c r="H1" s="7" t="s">
        <v>11</v>
      </c>
      <c r="I1" s="11" t="s">
        <v>10</v>
      </c>
      <c r="J1" s="7" t="s">
        <v>41</v>
      </c>
      <c r="M1" s="11" t="s">
        <v>100</v>
      </c>
      <c r="N1" s="11" t="s">
        <v>101</v>
      </c>
      <c r="O1" s="7" t="s">
        <v>95</v>
      </c>
      <c r="P1" s="11" t="s">
        <v>96</v>
      </c>
      <c r="Q1" s="7" t="s">
        <v>98</v>
      </c>
      <c r="R1" s="11" t="s">
        <v>99</v>
      </c>
      <c r="S1" s="7" t="s">
        <v>97</v>
      </c>
      <c r="T1" s="7" t="s">
        <v>103</v>
      </c>
      <c r="U1" s="7" t="s">
        <v>104</v>
      </c>
      <c r="V1" s="7" t="s">
        <v>105</v>
      </c>
      <c r="W1" s="7" t="s">
        <v>106</v>
      </c>
      <c r="X1" s="7" t="s">
        <v>107</v>
      </c>
      <c r="Y1" s="7" t="s">
        <v>108</v>
      </c>
    </row>
    <row r="2" spans="2:25" s="8" customFormat="1" x14ac:dyDescent="0.2">
      <c r="B2" s="6"/>
      <c r="C2" s="10">
        <v>45016</v>
      </c>
      <c r="D2" s="10">
        <v>45107</v>
      </c>
      <c r="E2" s="10">
        <v>45199</v>
      </c>
      <c r="F2" s="10">
        <f>+R2</f>
        <v>45291</v>
      </c>
      <c r="G2" s="10">
        <v>45016</v>
      </c>
      <c r="H2" s="10">
        <v>45473</v>
      </c>
      <c r="I2" s="10">
        <v>45565</v>
      </c>
      <c r="M2" s="10">
        <v>43465</v>
      </c>
      <c r="N2" s="10">
        <v>43830</v>
      </c>
      <c r="O2" s="10">
        <v>44196</v>
      </c>
      <c r="P2" s="10">
        <v>44561</v>
      </c>
      <c r="Q2" s="10">
        <v>44926</v>
      </c>
      <c r="R2" s="10">
        <v>45291</v>
      </c>
    </row>
    <row r="3" spans="2:25" s="8" customFormat="1" x14ac:dyDescent="0.2">
      <c r="B3" s="6"/>
      <c r="C3" s="9">
        <v>45450</v>
      </c>
      <c r="D3" s="9">
        <v>45539</v>
      </c>
      <c r="E3" s="9">
        <v>45616</v>
      </c>
      <c r="G3" s="9">
        <v>45432</v>
      </c>
      <c r="H3" s="9">
        <v>45530</v>
      </c>
      <c r="I3" s="9">
        <v>45615</v>
      </c>
    </row>
    <row r="4" spans="2:25" s="27" customFormat="1" x14ac:dyDescent="0.2">
      <c r="B4" s="26" t="s">
        <v>17</v>
      </c>
      <c r="C4" s="27">
        <v>507</v>
      </c>
      <c r="D4" s="27">
        <v>591</v>
      </c>
      <c r="E4" s="27">
        <v>766</v>
      </c>
      <c r="F4" s="27">
        <f>+R4-SUM(C4:E4)</f>
        <v>567</v>
      </c>
      <c r="G4" s="27">
        <v>623</v>
      </c>
      <c r="H4" s="27">
        <v>707</v>
      </c>
      <c r="I4" s="27">
        <v>969</v>
      </c>
      <c r="M4" s="27">
        <v>1684</v>
      </c>
      <c r="N4" s="27">
        <v>1941</v>
      </c>
      <c r="O4" s="27">
        <v>1093</v>
      </c>
      <c r="P4" s="27">
        <v>1279</v>
      </c>
      <c r="Q4" s="27">
        <v>1073</v>
      </c>
      <c r="R4" s="27">
        <v>2431</v>
      </c>
    </row>
    <row r="5" spans="2:25" s="27" customFormat="1" x14ac:dyDescent="0.2">
      <c r="B5" s="26" t="s">
        <v>18</v>
      </c>
      <c r="C5" s="27">
        <v>605</v>
      </c>
      <c r="D5" s="27">
        <v>664</v>
      </c>
      <c r="E5" s="27">
        <v>736</v>
      </c>
      <c r="F5" s="27">
        <f t="shared" ref="F5:F8" si="0">+R5-SUM(C5:E5)</f>
        <v>593</v>
      </c>
      <c r="G5" s="27">
        <v>692</v>
      </c>
      <c r="H5" s="27">
        <v>670</v>
      </c>
      <c r="I5" s="27">
        <v>805</v>
      </c>
      <c r="M5" s="27">
        <v>1883</v>
      </c>
      <c r="N5" s="27">
        <v>2004</v>
      </c>
      <c r="O5" s="27">
        <v>1095</v>
      </c>
      <c r="P5" s="27">
        <v>1084</v>
      </c>
      <c r="Q5" s="27">
        <v>1197</v>
      </c>
      <c r="R5" s="27">
        <v>2598</v>
      </c>
    </row>
    <row r="6" spans="2:25" s="27" customFormat="1" x14ac:dyDescent="0.2">
      <c r="B6" s="26" t="s">
        <v>19</v>
      </c>
      <c r="C6" s="27">
        <v>56</v>
      </c>
      <c r="D6" s="27">
        <v>100</v>
      </c>
      <c r="E6" s="27">
        <v>182</v>
      </c>
      <c r="F6" s="27">
        <f t="shared" si="0"/>
        <v>104</v>
      </c>
      <c r="G6" s="27">
        <v>122</v>
      </c>
      <c r="H6" s="27">
        <v>141</v>
      </c>
      <c r="I6" s="27">
        <v>222</v>
      </c>
      <c r="M6" s="27">
        <v>549</v>
      </c>
      <c r="N6" s="27">
        <v>651</v>
      </c>
      <c r="O6" s="27">
        <v>190</v>
      </c>
      <c r="P6" s="27">
        <v>173</v>
      </c>
      <c r="Q6" s="27">
        <v>116</v>
      </c>
      <c r="R6" s="27">
        <v>442</v>
      </c>
    </row>
    <row r="7" spans="2:25" s="27" customFormat="1" x14ac:dyDescent="0.2">
      <c r="B7" s="26" t="s">
        <v>20</v>
      </c>
      <c r="C7" s="27">
        <v>65</v>
      </c>
      <c r="D7" s="27">
        <v>81</v>
      </c>
      <c r="E7" s="27">
        <v>81</v>
      </c>
      <c r="F7" s="27">
        <f t="shared" si="0"/>
        <v>90</v>
      </c>
      <c r="G7" s="27">
        <v>71</v>
      </c>
      <c r="H7" s="27">
        <v>87</v>
      </c>
      <c r="I7" s="27">
        <v>93</v>
      </c>
      <c r="M7" s="27">
        <v>143</v>
      </c>
      <c r="N7" s="27">
        <v>180</v>
      </c>
      <c r="O7" s="27">
        <v>135</v>
      </c>
      <c r="P7" s="27">
        <v>211</v>
      </c>
      <c r="Q7" s="27">
        <v>157</v>
      </c>
      <c r="R7" s="27">
        <v>317</v>
      </c>
    </row>
    <row r="8" spans="2:25" s="27" customFormat="1" x14ac:dyDescent="0.2">
      <c r="B8" s="26" t="s">
        <v>21</v>
      </c>
      <c r="C8" s="27">
        <v>108</v>
      </c>
      <c r="D8" s="27">
        <v>118</v>
      </c>
      <c r="E8" s="27">
        <v>120</v>
      </c>
      <c r="F8" s="27">
        <f t="shared" si="0"/>
        <v>142</v>
      </c>
      <c r="G8" s="27">
        <v>143</v>
      </c>
      <c r="H8" s="27">
        <v>154</v>
      </c>
      <c r="I8" s="27">
        <v>176</v>
      </c>
      <c r="M8" s="27">
        <v>265</v>
      </c>
      <c r="N8" s="27">
        <v>353</v>
      </c>
      <c r="O8" s="27">
        <v>296</v>
      </c>
      <c r="P8" s="27">
        <v>396</v>
      </c>
      <c r="Q8" s="27">
        <v>366</v>
      </c>
      <c r="R8" s="27">
        <v>488</v>
      </c>
    </row>
    <row r="9" spans="2:25" s="13" customFormat="1" x14ac:dyDescent="0.2">
      <c r="B9" s="13" t="s">
        <v>26</v>
      </c>
      <c r="C9" s="13">
        <f t="shared" ref="C9:D9" si="1">+SUM(C4:C8)</f>
        <v>1341</v>
      </c>
      <c r="D9" s="13">
        <f t="shared" si="1"/>
        <v>1554</v>
      </c>
      <c r="E9" s="13">
        <f>+SUM(E4:E8)</f>
        <v>1885</v>
      </c>
      <c r="F9" s="13">
        <f>+SUM(F4:F8)</f>
        <v>1496</v>
      </c>
      <c r="G9" s="13">
        <f>+SUM(G4:G8)</f>
        <v>1651</v>
      </c>
      <c r="H9" s="13">
        <f>+SUM(H4:H8)</f>
        <v>1759</v>
      </c>
      <c r="I9" s="13">
        <f>+SUM(I4:I8)</f>
        <v>2265</v>
      </c>
      <c r="M9" s="13">
        <f t="shared" ref="M9" si="2">+SUM(M4:M8)</f>
        <v>4524</v>
      </c>
      <c r="N9" s="13">
        <f t="shared" ref="N9" si="3">+SUM(N4:N8)</f>
        <v>5129</v>
      </c>
      <c r="O9" s="13">
        <f t="shared" ref="O9:Q9" si="4">+SUM(O4:O8)</f>
        <v>2809</v>
      </c>
      <c r="P9" s="13">
        <f t="shared" si="4"/>
        <v>3143</v>
      </c>
      <c r="Q9" s="13">
        <f t="shared" si="4"/>
        <v>2909</v>
      </c>
      <c r="R9" s="13">
        <f>+SUM(R4:R8)</f>
        <v>6276</v>
      </c>
    </row>
    <row r="10" spans="2:25" s="12" customFormat="1" x14ac:dyDescent="0.2">
      <c r="B10" s="12" t="s">
        <v>25</v>
      </c>
      <c r="C10" s="12">
        <v>2</v>
      </c>
      <c r="D10" s="12">
        <v>2</v>
      </c>
      <c r="E10" s="12">
        <v>2</v>
      </c>
      <c r="F10" s="12">
        <f>+R10-SUM(C10:E10)</f>
        <v>1</v>
      </c>
      <c r="G10" s="12">
        <v>2</v>
      </c>
      <c r="H10" s="12">
        <v>2</v>
      </c>
      <c r="I10" s="12">
        <v>4</v>
      </c>
      <c r="M10" s="12">
        <v>20</v>
      </c>
      <c r="N10" s="12">
        <v>7</v>
      </c>
      <c r="O10" s="12">
        <v>2</v>
      </c>
      <c r="P10" s="12">
        <v>1</v>
      </c>
      <c r="Q10" s="12">
        <v>2</v>
      </c>
      <c r="R10" s="12">
        <v>7</v>
      </c>
    </row>
    <row r="11" spans="2:25" s="13" customFormat="1" x14ac:dyDescent="0.2">
      <c r="B11" s="13" t="s">
        <v>22</v>
      </c>
      <c r="C11" s="13">
        <f t="shared" ref="C11:F11" si="5">+C9-C10</f>
        <v>1339</v>
      </c>
      <c r="D11" s="13">
        <f t="shared" si="5"/>
        <v>1552</v>
      </c>
      <c r="E11" s="13">
        <f t="shared" si="5"/>
        <v>1883</v>
      </c>
      <c r="F11" s="13">
        <f t="shared" si="5"/>
        <v>1495</v>
      </c>
      <c r="G11" s="13">
        <f>+G9-G10</f>
        <v>1649</v>
      </c>
      <c r="H11" s="13">
        <f>+H9-H10</f>
        <v>1757</v>
      </c>
      <c r="I11" s="13">
        <f>+I9-I10</f>
        <v>2261</v>
      </c>
      <c r="J11" s="13">
        <f>+I11*1.05</f>
        <v>2374.0500000000002</v>
      </c>
      <c r="M11" s="13">
        <f t="shared" ref="M11" si="6">+M9-M10</f>
        <v>4504</v>
      </c>
      <c r="N11" s="13">
        <f t="shared" ref="N11" si="7">+N9-N10</f>
        <v>5122</v>
      </c>
      <c r="O11" s="13">
        <f t="shared" ref="O11:Q11" si="8">+O9-O10</f>
        <v>2807</v>
      </c>
      <c r="P11" s="13">
        <f t="shared" si="8"/>
        <v>3142</v>
      </c>
      <c r="Q11" s="13">
        <f t="shared" si="8"/>
        <v>2907</v>
      </c>
      <c r="R11" s="13">
        <f>+R9-R10</f>
        <v>6269</v>
      </c>
      <c r="S11" s="13">
        <f>+SUM(G11:J11)</f>
        <v>8041.05</v>
      </c>
      <c r="T11" s="13">
        <f>+S11*(1+T30)</f>
        <v>10051.3125</v>
      </c>
      <c r="U11" s="13">
        <f>+T11*(1+U30)</f>
        <v>12564.140625</v>
      </c>
      <c r="V11" s="13">
        <f>+U11*(1+V30)</f>
        <v>15453.89296875</v>
      </c>
      <c r="W11" s="13">
        <f>+V11*(1+W30)</f>
        <v>18544.6715625</v>
      </c>
      <c r="X11" s="13">
        <f>+W11*(1+X30)</f>
        <v>21326.372296874997</v>
      </c>
      <c r="Y11" s="13">
        <f>+X11*(1+Y30)</f>
        <v>23459.009526562499</v>
      </c>
    </row>
    <row r="12" spans="2:25" s="12" customFormat="1" x14ac:dyDescent="0.2">
      <c r="B12" s="12" t="s">
        <v>23</v>
      </c>
      <c r="C12" s="12">
        <v>238</v>
      </c>
      <c r="D12" s="12">
        <v>277</v>
      </c>
      <c r="E12" s="12">
        <v>338</v>
      </c>
      <c r="F12" s="12">
        <f>+R12-SUM(C12:E12)</f>
        <v>291</v>
      </c>
      <c r="G12" s="12">
        <v>310</v>
      </c>
      <c r="H12" s="12">
        <v>318</v>
      </c>
      <c r="I12" s="12">
        <v>399</v>
      </c>
      <c r="M12" s="12">
        <v>920</v>
      </c>
      <c r="N12" s="12">
        <v>1059</v>
      </c>
      <c r="O12" s="12">
        <v>618</v>
      </c>
      <c r="P12" s="12">
        <v>721</v>
      </c>
      <c r="Q12" s="12">
        <v>654</v>
      </c>
      <c r="R12" s="12">
        <v>1144</v>
      </c>
      <c r="S12" s="12">
        <f>S11-S13</f>
        <v>1447.3890000000001</v>
      </c>
      <c r="T12" s="12">
        <f t="shared" ref="T12:Y12" si="9">T11-T13</f>
        <v>1809.2362499999999</v>
      </c>
      <c r="U12" s="12">
        <f t="shared" si="9"/>
        <v>2261.5453125000004</v>
      </c>
      <c r="V12" s="12">
        <f t="shared" si="9"/>
        <v>2781.700734375001</v>
      </c>
      <c r="W12" s="12">
        <f t="shared" si="9"/>
        <v>3338.0408812500009</v>
      </c>
      <c r="X12" s="12">
        <f t="shared" si="9"/>
        <v>3838.7470134374998</v>
      </c>
      <c r="Y12" s="12">
        <f t="shared" si="9"/>
        <v>4222.6217147812495</v>
      </c>
    </row>
    <row r="13" spans="2:25" s="13" customFormat="1" x14ac:dyDescent="0.2">
      <c r="B13" s="13" t="s">
        <v>24</v>
      </c>
      <c r="C13" s="13">
        <f t="shared" ref="C13:F13" si="10">+C11-C12</f>
        <v>1101</v>
      </c>
      <c r="D13" s="13">
        <f t="shared" si="10"/>
        <v>1275</v>
      </c>
      <c r="E13" s="13">
        <f t="shared" si="10"/>
        <v>1545</v>
      </c>
      <c r="F13" s="13">
        <f t="shared" si="10"/>
        <v>1204</v>
      </c>
      <c r="G13" s="13">
        <f>+G11-G12</f>
        <v>1339</v>
      </c>
      <c r="H13" s="13">
        <f>+H11-H12</f>
        <v>1439</v>
      </c>
      <c r="I13" s="13">
        <f>+I11-I12</f>
        <v>1862</v>
      </c>
      <c r="M13" s="13">
        <f t="shared" ref="M13" si="11">+M11-M12</f>
        <v>3584</v>
      </c>
      <c r="N13" s="13">
        <f t="shared" ref="N13" si="12">+N11-N12</f>
        <v>4063</v>
      </c>
      <c r="O13" s="13">
        <f t="shared" ref="O13:Q13" si="13">+O11-O12</f>
        <v>2189</v>
      </c>
      <c r="P13" s="13">
        <f t="shared" si="13"/>
        <v>2421</v>
      </c>
      <c r="Q13" s="13">
        <f t="shared" si="13"/>
        <v>2253</v>
      </c>
      <c r="R13" s="13">
        <f>+R11-R12</f>
        <v>5125</v>
      </c>
      <c r="S13" s="13">
        <f>+S11*S33</f>
        <v>6593.6610000000001</v>
      </c>
      <c r="T13" s="13">
        <f>+T11*T33</f>
        <v>8242.0762500000001</v>
      </c>
      <c r="U13" s="13">
        <f>+U11*U33</f>
        <v>10302.5953125</v>
      </c>
      <c r="V13" s="13">
        <f>+V11*V33</f>
        <v>12672.192234374999</v>
      </c>
      <c r="W13" s="13">
        <f>+W11*W33</f>
        <v>15206.630681249999</v>
      </c>
      <c r="X13" s="13">
        <f>+X11*X33</f>
        <v>17487.625283437497</v>
      </c>
      <c r="Y13" s="13">
        <f>+Y11*Y33</f>
        <v>19236.387811781249</v>
      </c>
    </row>
    <row r="14" spans="2:25" s="12" customFormat="1" x14ac:dyDescent="0.2">
      <c r="B14" s="12" t="s">
        <v>27</v>
      </c>
      <c r="C14" s="12">
        <v>389</v>
      </c>
      <c r="D14" s="12">
        <v>407</v>
      </c>
      <c r="E14" s="12">
        <v>490</v>
      </c>
      <c r="F14" s="12">
        <f t="shared" ref="F14:F16" si="14">+R14-SUM(C14:E14)</f>
        <v>421</v>
      </c>
      <c r="G14" s="12">
        <v>431</v>
      </c>
      <c r="H14" s="12">
        <v>412</v>
      </c>
      <c r="I14" s="12">
        <v>519</v>
      </c>
      <c r="M14" s="12">
        <v>1399</v>
      </c>
      <c r="N14" s="12">
        <v>1533</v>
      </c>
      <c r="O14" s="12">
        <v>1175</v>
      </c>
      <c r="P14" s="12">
        <v>1411</v>
      </c>
      <c r="Q14" s="12">
        <v>1209</v>
      </c>
      <c r="R14" s="12">
        <v>1707</v>
      </c>
    </row>
    <row r="15" spans="2:25" s="12" customFormat="1" x14ac:dyDescent="0.2">
      <c r="B15" s="12" t="s">
        <v>28</v>
      </c>
      <c r="C15" s="12">
        <v>256</v>
      </c>
      <c r="D15" s="12">
        <v>325</v>
      </c>
      <c r="E15" s="12">
        <v>378</v>
      </c>
      <c r="F15" s="12">
        <f t="shared" si="14"/>
        <v>337</v>
      </c>
      <c r="G15" s="12">
        <v>320</v>
      </c>
      <c r="H15" s="12">
        <v>390</v>
      </c>
      <c r="I15" s="12">
        <v>482</v>
      </c>
      <c r="M15" s="12">
        <v>1396</v>
      </c>
      <c r="N15" s="12">
        <v>1335</v>
      </c>
      <c r="O15" s="12">
        <v>675</v>
      </c>
      <c r="P15" s="12">
        <v>772</v>
      </c>
      <c r="Q15" s="12">
        <v>616</v>
      </c>
      <c r="R15" s="12">
        <v>1296</v>
      </c>
    </row>
    <row r="16" spans="2:25" s="12" customFormat="1" x14ac:dyDescent="0.2">
      <c r="B16" s="12" t="s">
        <v>29</v>
      </c>
      <c r="C16" s="12">
        <v>130</v>
      </c>
      <c r="D16" s="12">
        <v>132</v>
      </c>
      <c r="E16" s="12">
        <v>141</v>
      </c>
      <c r="F16" s="12">
        <f t="shared" si="14"/>
        <v>124</v>
      </c>
      <c r="G16" s="12">
        <v>129</v>
      </c>
      <c r="H16" s="12">
        <v>148</v>
      </c>
      <c r="I16" s="12">
        <v>149</v>
      </c>
      <c r="M16" s="12">
        <v>410</v>
      </c>
      <c r="N16" s="12">
        <v>472</v>
      </c>
      <c r="O16" s="12">
        <v>557</v>
      </c>
      <c r="P16" s="12">
        <v>459</v>
      </c>
      <c r="Q16" s="12">
        <v>413</v>
      </c>
      <c r="R16" s="12">
        <v>527</v>
      </c>
    </row>
    <row r="17" spans="2:86" s="13" customFormat="1" x14ac:dyDescent="0.2">
      <c r="B17" s="13" t="s">
        <v>30</v>
      </c>
      <c r="C17" s="13">
        <f t="shared" ref="C17:F17" si="15">+C13-SUM(C14:C16)</f>
        <v>326</v>
      </c>
      <c r="D17" s="13">
        <f t="shared" si="15"/>
        <v>411</v>
      </c>
      <c r="E17" s="13">
        <f t="shared" si="15"/>
        <v>536</v>
      </c>
      <c r="F17" s="13">
        <f t="shared" si="15"/>
        <v>322</v>
      </c>
      <c r="G17" s="13">
        <f>+G13-SUM(G14:G16)</f>
        <v>459</v>
      </c>
      <c r="H17" s="13">
        <f>+H13-SUM(H14:H16)</f>
        <v>489</v>
      </c>
      <c r="I17" s="13">
        <f>+I13-SUM(I14:I16)</f>
        <v>712</v>
      </c>
      <c r="M17" s="13">
        <f t="shared" ref="M17" si="16">+M13-SUM(M14:M16)</f>
        <v>379</v>
      </c>
      <c r="N17" s="13">
        <f t="shared" ref="N17" si="17">+N13-SUM(N14:N16)</f>
        <v>723</v>
      </c>
      <c r="O17" s="13">
        <f t="shared" ref="O17:Q17" si="18">+O13-SUM(O14:O16)</f>
        <v>-218</v>
      </c>
      <c r="P17" s="13">
        <f t="shared" si="18"/>
        <v>-221</v>
      </c>
      <c r="Q17" s="13">
        <f t="shared" si="18"/>
        <v>15</v>
      </c>
      <c r="R17" s="13">
        <f>+R13-SUM(R14:R16)</f>
        <v>1595</v>
      </c>
      <c r="S17" s="13">
        <f>+S13*S34</f>
        <v>1978.0982999999999</v>
      </c>
      <c r="T17" s="13">
        <f t="shared" ref="T17:Y17" si="19">+T13*T34</f>
        <v>2390.2021124999997</v>
      </c>
      <c r="U17" s="13">
        <f t="shared" si="19"/>
        <v>2987.7526406249999</v>
      </c>
      <c r="V17" s="13">
        <f t="shared" si="19"/>
        <v>3548.213825625</v>
      </c>
      <c r="W17" s="13">
        <f t="shared" si="19"/>
        <v>3801.6576703124997</v>
      </c>
      <c r="X17" s="13">
        <f t="shared" si="19"/>
        <v>4371.9063208593743</v>
      </c>
      <c r="Y17" s="13">
        <f t="shared" si="19"/>
        <v>4809.0969529453123</v>
      </c>
      <c r="Z17" s="13">
        <f>+Y17*(1+$AC$18)</f>
        <v>4857.1879224747654</v>
      </c>
      <c r="AA17" s="13">
        <f t="shared" ref="AA17:CH17" si="20">+Z17*(1+$AC$18)</f>
        <v>4905.7598016995134</v>
      </c>
      <c r="AB17" s="13">
        <f t="shared" si="20"/>
        <v>4954.8173997165086</v>
      </c>
      <c r="AC17" s="13">
        <f t="shared" si="20"/>
        <v>5004.3655737136742</v>
      </c>
      <c r="AD17" s="13">
        <f t="shared" si="20"/>
        <v>5054.4092294508109</v>
      </c>
      <c r="AE17" s="13">
        <f t="shared" si="20"/>
        <v>5104.953321745319</v>
      </c>
      <c r="AF17" s="13">
        <f t="shared" si="20"/>
        <v>5156.0028549627723</v>
      </c>
      <c r="AG17" s="13">
        <f t="shared" si="20"/>
        <v>5207.5628835123998</v>
      </c>
      <c r="AH17" s="13">
        <f t="shared" si="20"/>
        <v>5259.6385123475238</v>
      </c>
      <c r="AI17" s="13">
        <f t="shared" si="20"/>
        <v>5312.2348974709994</v>
      </c>
      <c r="AJ17" s="13">
        <f t="shared" si="20"/>
        <v>5365.3572464457093</v>
      </c>
      <c r="AK17" s="13">
        <f t="shared" si="20"/>
        <v>5419.0108189101666</v>
      </c>
      <c r="AL17" s="13">
        <f t="shared" si="20"/>
        <v>5473.2009270992685</v>
      </c>
      <c r="AM17" s="13">
        <f t="shared" si="20"/>
        <v>5527.9329363702609</v>
      </c>
      <c r="AN17" s="13">
        <f t="shared" si="20"/>
        <v>5583.2122657339632</v>
      </c>
      <c r="AO17" s="13">
        <f t="shared" si="20"/>
        <v>5639.0443883913031</v>
      </c>
      <c r="AP17" s="13">
        <f t="shared" si="20"/>
        <v>5695.4348322752157</v>
      </c>
      <c r="AQ17" s="13">
        <f t="shared" si="20"/>
        <v>5752.3891805979683</v>
      </c>
      <c r="AR17" s="13">
        <f t="shared" si="20"/>
        <v>5809.9130724039478</v>
      </c>
      <c r="AS17" s="13">
        <f t="shared" si="20"/>
        <v>5868.012203127987</v>
      </c>
      <c r="AT17" s="13">
        <f t="shared" si="20"/>
        <v>5926.6923251592671</v>
      </c>
      <c r="AU17" s="13">
        <f t="shared" si="20"/>
        <v>5985.9592484108598</v>
      </c>
      <c r="AV17" s="13">
        <f t="shared" si="20"/>
        <v>6045.8188408949682</v>
      </c>
      <c r="AW17" s="13">
        <f t="shared" si="20"/>
        <v>6106.2770293039175</v>
      </c>
      <c r="AX17" s="13">
        <f t="shared" si="20"/>
        <v>6167.3397995969572</v>
      </c>
      <c r="AY17" s="13">
        <f t="shared" si="20"/>
        <v>6229.0131975929271</v>
      </c>
      <c r="AZ17" s="13">
        <f t="shared" si="20"/>
        <v>6291.3033295688565</v>
      </c>
      <c r="BA17" s="13">
        <f t="shared" si="20"/>
        <v>6354.2163628645449</v>
      </c>
      <c r="BB17" s="13">
        <f t="shared" si="20"/>
        <v>6417.7585264931904</v>
      </c>
      <c r="BC17" s="13">
        <f t="shared" si="20"/>
        <v>6481.936111758122</v>
      </c>
      <c r="BD17" s="13">
        <f t="shared" si="20"/>
        <v>6546.7554728757032</v>
      </c>
      <c r="BE17" s="13">
        <f t="shared" si="20"/>
        <v>6612.2230276044602</v>
      </c>
      <c r="BF17" s="13">
        <f t="shared" si="20"/>
        <v>6678.3452578805045</v>
      </c>
      <c r="BG17" s="13">
        <f t="shared" si="20"/>
        <v>6745.1287104593093</v>
      </c>
      <c r="BH17" s="13">
        <f t="shared" si="20"/>
        <v>6812.5799975639029</v>
      </c>
      <c r="BI17" s="13">
        <f t="shared" si="20"/>
        <v>6880.7057975395419</v>
      </c>
      <c r="BJ17" s="13">
        <f t="shared" si="20"/>
        <v>6949.5128555149377</v>
      </c>
      <c r="BK17" s="13">
        <f t="shared" si="20"/>
        <v>7019.0079840700873</v>
      </c>
      <c r="BL17" s="13">
        <f t="shared" si="20"/>
        <v>7089.1980639107878</v>
      </c>
      <c r="BM17" s="13">
        <f t="shared" si="20"/>
        <v>7160.0900445498955</v>
      </c>
      <c r="BN17" s="13">
        <f t="shared" si="20"/>
        <v>7231.6909449953946</v>
      </c>
      <c r="BO17" s="13">
        <f t="shared" si="20"/>
        <v>7304.007854445349</v>
      </c>
      <c r="BP17" s="13">
        <f t="shared" si="20"/>
        <v>7377.0479329898026</v>
      </c>
      <c r="BQ17" s="13">
        <f t="shared" si="20"/>
        <v>7450.8184123197007</v>
      </c>
      <c r="BR17" s="13">
        <f t="shared" si="20"/>
        <v>7525.3265964428974</v>
      </c>
      <c r="BS17" s="13">
        <f t="shared" si="20"/>
        <v>7600.5798624073268</v>
      </c>
      <c r="BT17" s="13">
        <f t="shared" si="20"/>
        <v>7676.5856610314004</v>
      </c>
      <c r="BU17" s="13">
        <f t="shared" si="20"/>
        <v>7753.3515176417141</v>
      </c>
      <c r="BV17" s="13">
        <f t="shared" si="20"/>
        <v>7830.8850328181315</v>
      </c>
      <c r="BW17" s="13">
        <f t="shared" si="20"/>
        <v>7909.1938831463131</v>
      </c>
      <c r="BX17" s="13">
        <f t="shared" si="20"/>
        <v>7988.2858219777763</v>
      </c>
      <c r="BY17" s="13">
        <f t="shared" si="20"/>
        <v>8068.1686801975538</v>
      </c>
      <c r="BZ17" s="13">
        <f t="shared" si="20"/>
        <v>8148.8503669995298</v>
      </c>
      <c r="CA17" s="13">
        <f t="shared" si="20"/>
        <v>8230.3388706695259</v>
      </c>
      <c r="CB17" s="13">
        <f t="shared" si="20"/>
        <v>8312.6422593762218</v>
      </c>
      <c r="CC17" s="13">
        <f t="shared" si="20"/>
        <v>8395.7686819699848</v>
      </c>
      <c r="CD17" s="13">
        <f t="shared" si="20"/>
        <v>8479.7263687896848</v>
      </c>
      <c r="CE17" s="13">
        <f t="shared" si="20"/>
        <v>8564.5236324775815</v>
      </c>
      <c r="CF17" s="13">
        <f t="shared" si="20"/>
        <v>8650.1688688023569</v>
      </c>
      <c r="CG17" s="13">
        <f t="shared" si="20"/>
        <v>8736.6705574903808</v>
      </c>
      <c r="CH17" s="13">
        <f t="shared" si="20"/>
        <v>8824.0372630652855</v>
      </c>
    </row>
    <row r="18" spans="2:86" s="12" customFormat="1" x14ac:dyDescent="0.2">
      <c r="B18" s="12" t="s">
        <v>31</v>
      </c>
      <c r="C18" s="12">
        <v>64</v>
      </c>
      <c r="D18" s="12">
        <v>71</v>
      </c>
      <c r="E18" s="12">
        <v>74</v>
      </c>
      <c r="F18" s="12">
        <f t="shared" ref="F18:F20" si="21">+R18-SUM(C18:E18)</f>
        <v>85</v>
      </c>
      <c r="G18" s="12">
        <v>82</v>
      </c>
      <c r="H18" s="12">
        <v>87</v>
      </c>
      <c r="I18" s="12">
        <v>85</v>
      </c>
      <c r="M18" s="12">
        <v>276</v>
      </c>
      <c r="N18" s="12">
        <v>301</v>
      </c>
      <c r="O18" s="12">
        <v>335</v>
      </c>
      <c r="P18" s="12">
        <v>335</v>
      </c>
      <c r="Q18" s="12">
        <v>297</v>
      </c>
      <c r="R18" s="12">
        <v>294</v>
      </c>
      <c r="AB18" s="45" t="s">
        <v>109</v>
      </c>
      <c r="AC18" s="46">
        <v>0.01</v>
      </c>
    </row>
    <row r="19" spans="2:86" s="12" customFormat="1" x14ac:dyDescent="0.2">
      <c r="B19" s="12" t="s">
        <v>32</v>
      </c>
      <c r="C19" s="12">
        <v>71</v>
      </c>
      <c r="D19" s="12">
        <v>77</v>
      </c>
      <c r="E19" s="12">
        <v>72</v>
      </c>
      <c r="F19" s="12">
        <f t="shared" si="21"/>
        <v>71</v>
      </c>
      <c r="G19" s="12">
        <v>69</v>
      </c>
      <c r="H19" s="12">
        <v>71</v>
      </c>
      <c r="I19" s="12">
        <v>57</v>
      </c>
      <c r="M19" s="12">
        <v>219</v>
      </c>
      <c r="N19" s="12">
        <v>241</v>
      </c>
      <c r="O19" s="12">
        <v>263</v>
      </c>
      <c r="P19" s="12">
        <v>246</v>
      </c>
      <c r="Q19" s="12">
        <v>219</v>
      </c>
      <c r="R19" s="12">
        <v>291</v>
      </c>
      <c r="AB19" s="47" t="s">
        <v>110</v>
      </c>
      <c r="AC19" s="48">
        <v>7.0000000000000007E-2</v>
      </c>
    </row>
    <row r="20" spans="2:86" s="12" customFormat="1" x14ac:dyDescent="0.2">
      <c r="B20" s="12" t="s">
        <v>33</v>
      </c>
      <c r="C20" s="12">
        <v>241</v>
      </c>
      <c r="D20" s="12">
        <v>-270</v>
      </c>
      <c r="E20" s="12">
        <v>75</v>
      </c>
      <c r="F20" s="12">
        <f t="shared" si="21"/>
        <v>-140</v>
      </c>
      <c r="G20" s="12">
        <v>105</v>
      </c>
      <c r="H20" s="12">
        <v>-25</v>
      </c>
      <c r="I20" s="12">
        <v>254</v>
      </c>
      <c r="M20" s="12">
        <v>-156</v>
      </c>
      <c r="N20" s="12">
        <v>521</v>
      </c>
      <c r="O20" s="12">
        <v>-42</v>
      </c>
      <c r="P20" s="12">
        <v>58</v>
      </c>
      <c r="Q20" s="12">
        <v>292</v>
      </c>
      <c r="R20" s="12">
        <v>-94</v>
      </c>
      <c r="AB20" s="47" t="s">
        <v>111</v>
      </c>
      <c r="AC20" s="49">
        <f>+NPV(AC19,S17:CH17)</f>
        <v>66622.41474212952</v>
      </c>
    </row>
    <row r="21" spans="2:86" s="12" customFormat="1" x14ac:dyDescent="0.2">
      <c r="B21" s="12" t="s">
        <v>34</v>
      </c>
      <c r="C21" s="12">
        <f t="shared" ref="C21:F21" si="22">+C17+C18-C19+C20</f>
        <v>560</v>
      </c>
      <c r="D21" s="12">
        <f t="shared" si="22"/>
        <v>135</v>
      </c>
      <c r="E21" s="12">
        <f t="shared" si="22"/>
        <v>613</v>
      </c>
      <c r="F21" s="12">
        <f t="shared" si="22"/>
        <v>196</v>
      </c>
      <c r="G21" s="12">
        <f>+G17+G18-G19+G20</f>
        <v>577</v>
      </c>
      <c r="H21" s="12">
        <f>+H17+H18-H19+H20</f>
        <v>480</v>
      </c>
      <c r="I21" s="12">
        <f>+I17+I18-I19+I20</f>
        <v>994</v>
      </c>
      <c r="M21" s="12">
        <f t="shared" ref="M21" si="23">+M17+M18-M19+M20</f>
        <v>280</v>
      </c>
      <c r="N21" s="12">
        <f t="shared" ref="N21" si="24">+N17+N18-N19+N20</f>
        <v>1304</v>
      </c>
      <c r="O21" s="12">
        <f t="shared" ref="O21:Q21" si="25">+O17+O18-O19+O20</f>
        <v>-188</v>
      </c>
      <c r="P21" s="12">
        <f t="shared" si="25"/>
        <v>-74</v>
      </c>
      <c r="Q21" s="12">
        <f t="shared" si="25"/>
        <v>385</v>
      </c>
      <c r="R21" s="12">
        <f>+R17+R18-R19+R20</f>
        <v>1504</v>
      </c>
      <c r="AB21" s="47" t="s">
        <v>8</v>
      </c>
      <c r="AC21" s="49">
        <f>+Main!C11</f>
        <v>11016</v>
      </c>
    </row>
    <row r="22" spans="2:86" s="12" customFormat="1" x14ac:dyDescent="0.2">
      <c r="B22" s="12" t="s">
        <v>35</v>
      </c>
      <c r="C22" s="12">
        <v>50</v>
      </c>
      <c r="D22" s="12">
        <v>77</v>
      </c>
      <c r="E22" s="12">
        <v>61</v>
      </c>
      <c r="F22" s="12">
        <f t="shared" ref="F22:F23" si="26">+R22-SUM(C22:E22)</f>
        <v>58</v>
      </c>
      <c r="G22" s="12">
        <v>92</v>
      </c>
      <c r="H22" s="12">
        <v>95</v>
      </c>
      <c r="I22" s="12">
        <v>103</v>
      </c>
      <c r="M22" s="12">
        <v>115</v>
      </c>
      <c r="N22" s="12">
        <v>250</v>
      </c>
      <c r="O22" s="12">
        <v>54</v>
      </c>
      <c r="P22" s="12">
        <v>42</v>
      </c>
      <c r="Q22" s="12">
        <v>99</v>
      </c>
      <c r="R22" s="12">
        <v>246</v>
      </c>
      <c r="AB22" s="47" t="s">
        <v>112</v>
      </c>
      <c r="AC22" s="49">
        <f>+AC20-AC21</f>
        <v>55606.41474212952</v>
      </c>
    </row>
    <row r="23" spans="2:86" s="12" customFormat="1" x14ac:dyDescent="0.2">
      <c r="B23" s="12" t="s">
        <v>36</v>
      </c>
      <c r="C23" s="12">
        <v>-19</v>
      </c>
      <c r="D23" s="12">
        <v>33</v>
      </c>
      <c r="E23" s="12">
        <v>85</v>
      </c>
      <c r="F23" s="12">
        <f t="shared" si="26"/>
        <v>52</v>
      </c>
      <c r="G23" s="12">
        <v>114</v>
      </c>
      <c r="H23" s="12">
        <v>150</v>
      </c>
      <c r="I23" s="12">
        <v>79</v>
      </c>
      <c r="M23" s="12">
        <v>-5</v>
      </c>
      <c r="N23" s="12">
        <v>50</v>
      </c>
      <c r="O23" s="12">
        <v>-259</v>
      </c>
      <c r="P23" s="12">
        <v>15</v>
      </c>
      <c r="Q23" s="12">
        <v>-85</v>
      </c>
      <c r="R23" s="12">
        <v>151</v>
      </c>
      <c r="AB23" s="50" t="s">
        <v>113</v>
      </c>
      <c r="AC23" s="51">
        <f>+AC22/Main!C7</f>
        <v>85.191861280962613</v>
      </c>
    </row>
    <row r="24" spans="2:86" s="12" customFormat="1" x14ac:dyDescent="0.2">
      <c r="B24" s="12" t="s">
        <v>37</v>
      </c>
      <c r="C24" s="12">
        <f t="shared" ref="C24:F24" si="27">+C21-C22+C23</f>
        <v>491</v>
      </c>
      <c r="D24" s="12">
        <f t="shared" si="27"/>
        <v>91</v>
      </c>
      <c r="E24" s="12">
        <f t="shared" si="27"/>
        <v>637</v>
      </c>
      <c r="F24" s="12">
        <f t="shared" si="27"/>
        <v>190</v>
      </c>
      <c r="G24" s="12">
        <f>+G21-G22+G23</f>
        <v>599</v>
      </c>
      <c r="H24" s="12">
        <f>+H21-H22+H23</f>
        <v>535</v>
      </c>
      <c r="I24" s="12">
        <f>+I21-I22+I23</f>
        <v>970</v>
      </c>
      <c r="M24" s="12">
        <f t="shared" ref="M24" si="28">+M21-M22+M23</f>
        <v>160</v>
      </c>
      <c r="N24" s="12">
        <f t="shared" ref="N24" si="29">+N21-N22+N23</f>
        <v>1104</v>
      </c>
      <c r="O24" s="12">
        <f t="shared" ref="O24:Q24" si="30">+O21-O22+O23</f>
        <v>-501</v>
      </c>
      <c r="P24" s="12">
        <f t="shared" si="30"/>
        <v>-101</v>
      </c>
      <c r="Q24" s="12">
        <f t="shared" si="30"/>
        <v>201</v>
      </c>
      <c r="R24" s="12">
        <f>+R21-R22+R23</f>
        <v>1409</v>
      </c>
      <c r="AB24" s="52" t="s">
        <v>114</v>
      </c>
      <c r="AC24" s="53">
        <f>+AC23/Main!C6-1</f>
        <v>0.38929975996351285</v>
      </c>
    </row>
    <row r="25" spans="2:86" s="12" customFormat="1" x14ac:dyDescent="0.2">
      <c r="B25" s="12" t="s">
        <v>39</v>
      </c>
      <c r="C25" s="12">
        <v>0</v>
      </c>
      <c r="D25" s="12">
        <v>-2</v>
      </c>
      <c r="E25" s="12">
        <v>-3</v>
      </c>
      <c r="F25" s="12">
        <f>+R25-SUM(C25:E25)</f>
        <v>-7</v>
      </c>
      <c r="G25" s="12">
        <v>-2</v>
      </c>
      <c r="H25" s="12">
        <v>-8</v>
      </c>
      <c r="I25" s="12">
        <v>-8</v>
      </c>
      <c r="M25" s="12">
        <v>2</v>
      </c>
      <c r="N25" s="12">
        <f>8-6</f>
        <v>2</v>
      </c>
      <c r="O25" s="12">
        <f>10-6</f>
        <v>4</v>
      </c>
      <c r="P25" s="12">
        <v>15</v>
      </c>
      <c r="Q25" s="12">
        <v>5</v>
      </c>
      <c r="R25" s="12">
        <v>-12</v>
      </c>
    </row>
    <row r="26" spans="2:86" s="13" customFormat="1" x14ac:dyDescent="0.2">
      <c r="B26" s="13" t="s">
        <v>40</v>
      </c>
      <c r="C26" s="13">
        <f t="shared" ref="C26:F26" si="31">+C24+C25</f>
        <v>491</v>
      </c>
      <c r="D26" s="13">
        <f t="shared" si="31"/>
        <v>89</v>
      </c>
      <c r="E26" s="13">
        <f t="shared" si="31"/>
        <v>634</v>
      </c>
      <c r="F26" s="13">
        <f t="shared" si="31"/>
        <v>183</v>
      </c>
      <c r="G26" s="13">
        <f>+G24+G25</f>
        <v>597</v>
      </c>
      <c r="H26" s="13">
        <f>+H24+H25</f>
        <v>527</v>
      </c>
      <c r="I26" s="13">
        <f>+I24+I25</f>
        <v>962</v>
      </c>
      <c r="M26" s="13">
        <f t="shared" ref="M26" si="32">+M24+M25</f>
        <v>162</v>
      </c>
      <c r="N26" s="13">
        <f t="shared" ref="N26" si="33">+N24+N25</f>
        <v>1106</v>
      </c>
      <c r="O26" s="13">
        <f t="shared" ref="O26:Q26" si="34">+O24+O25</f>
        <v>-497</v>
      </c>
      <c r="P26" s="13">
        <f t="shared" si="34"/>
        <v>-86</v>
      </c>
      <c r="Q26" s="13">
        <f t="shared" si="34"/>
        <v>206</v>
      </c>
      <c r="R26" s="13">
        <f>+R24+R25</f>
        <v>1397</v>
      </c>
      <c r="S26" s="13">
        <f>+S11*S35</f>
        <v>2412.3150000000001</v>
      </c>
      <c r="T26" s="13">
        <f t="shared" ref="T26:Y26" si="35">+T11*T35</f>
        <v>2814.3675000000003</v>
      </c>
      <c r="U26" s="13">
        <f t="shared" si="35"/>
        <v>3141.03515625</v>
      </c>
      <c r="V26" s="13">
        <f t="shared" si="35"/>
        <v>3554.3953828125004</v>
      </c>
      <c r="W26" s="13">
        <f t="shared" si="35"/>
        <v>3708.9343125</v>
      </c>
      <c r="X26" s="13">
        <f t="shared" si="35"/>
        <v>3838.7470134374994</v>
      </c>
      <c r="Y26" s="13">
        <f t="shared" si="35"/>
        <v>4222.6217147812495</v>
      </c>
    </row>
    <row r="27" spans="2:86" s="14" customFormat="1" x14ac:dyDescent="0.2">
      <c r="B27" s="14" t="s">
        <v>38</v>
      </c>
      <c r="C27" s="14">
        <f t="shared" ref="C27:I27" si="36">+C26/C28</f>
        <v>0.75324139100164145</v>
      </c>
      <c r="D27" s="14">
        <f t="shared" si="36"/>
        <v>0.13621205919458979</v>
      </c>
      <c r="E27" s="14">
        <f t="shared" si="36"/>
        <v>0.96920255094906338</v>
      </c>
      <c r="F27" s="14">
        <f t="shared" si="36"/>
        <v>0.28030545777196675</v>
      </c>
      <c r="G27" s="14">
        <f t="shared" si="36"/>
        <v>0.91655833046993296</v>
      </c>
      <c r="H27" s="14">
        <f t="shared" si="36"/>
        <v>0.80352812090516557</v>
      </c>
      <c r="I27" s="14">
        <f t="shared" si="36"/>
        <v>1.4738330268610926</v>
      </c>
      <c r="M27" s="14">
        <f t="shared" ref="M27:R27" si="37">+M26/M28</f>
        <v>0.31442426680841484</v>
      </c>
      <c r="N27" s="14">
        <f t="shared" si="37"/>
        <v>1.9476221090737127</v>
      </c>
      <c r="O27" s="14">
        <f t="shared" si="37"/>
        <v>-0.82710892539265812</v>
      </c>
      <c r="P27" s="14">
        <f t="shared" si="37"/>
        <v>-0.13562332091133578</v>
      </c>
      <c r="Q27" s="14">
        <f t="shared" si="37"/>
        <v>0.31771463115513682</v>
      </c>
      <c r="R27" s="14">
        <f t="shared" si="37"/>
        <v>2.1398181667073088</v>
      </c>
    </row>
    <row r="28" spans="2:86" s="12" customFormat="1" x14ac:dyDescent="0.2">
      <c r="B28" s="12" t="s">
        <v>4</v>
      </c>
      <c r="C28" s="12">
        <v>651.849468</v>
      </c>
      <c r="D28" s="12">
        <v>653.39295600000003</v>
      </c>
      <c r="E28" s="12">
        <v>654.146029</v>
      </c>
      <c r="F28" s="12">
        <f>+R28</f>
        <v>652.85921099999996</v>
      </c>
      <c r="G28" s="12">
        <v>651.34970699999997</v>
      </c>
      <c r="H28" s="12">
        <v>655.85756900000001</v>
      </c>
      <c r="I28" s="12">
        <v>652.71980099999996</v>
      </c>
      <c r="M28" s="12">
        <f>64.403426/0.125</f>
        <v>515.22740799999997</v>
      </c>
      <c r="N28" s="12">
        <f>70.983996/0.125</f>
        <v>567.87196800000004</v>
      </c>
      <c r="O28" s="12">
        <f>75.111026/0.125</f>
        <v>600.88820799999996</v>
      </c>
      <c r="P28" s="12">
        <v>634.10923300000002</v>
      </c>
      <c r="Q28" s="12">
        <v>648.38058999999998</v>
      </c>
      <c r="R28" s="12">
        <v>652.85921099999996</v>
      </c>
    </row>
    <row r="30" spans="2:86" s="28" customFormat="1" x14ac:dyDescent="0.2">
      <c r="B30" s="28" t="s">
        <v>42</v>
      </c>
      <c r="G30" s="28">
        <f>+G11/C11-1</f>
        <v>0.23151605675877529</v>
      </c>
      <c r="H30" s="28">
        <f>+H11/D11-1</f>
        <v>0.13208762886597936</v>
      </c>
      <c r="I30" s="28">
        <f>+I11/E11-1</f>
        <v>0.2007434944237918</v>
      </c>
      <c r="N30" s="28">
        <f t="shared" ref="N30:S30" si="38">+N11/M11-1</f>
        <v>0.13721136767317943</v>
      </c>
      <c r="O30" s="28">
        <f t="shared" si="38"/>
        <v>-0.4519718859820383</v>
      </c>
      <c r="P30" s="28">
        <f t="shared" si="38"/>
        <v>0.11934449590309937</v>
      </c>
      <c r="Q30" s="28">
        <f t="shared" si="38"/>
        <v>-7.479312539783578E-2</v>
      </c>
      <c r="R30" s="28">
        <f t="shared" si="38"/>
        <v>1.1565187478500172</v>
      </c>
      <c r="S30" s="28">
        <f t="shared" si="38"/>
        <v>0.28266868719093963</v>
      </c>
      <c r="T30" s="28">
        <v>0.25</v>
      </c>
      <c r="U30" s="28">
        <v>0.25</v>
      </c>
      <c r="V30" s="28">
        <v>0.23</v>
      </c>
      <c r="W30" s="28">
        <v>0.2</v>
      </c>
      <c r="X30" s="28">
        <v>0.15</v>
      </c>
      <c r="Y30" s="28">
        <v>0.1</v>
      </c>
    </row>
    <row r="31" spans="2:86" s="19" customFormat="1" x14ac:dyDescent="0.2">
      <c r="B31" s="19" t="s">
        <v>43</v>
      </c>
      <c r="D31" s="19">
        <f t="shared" ref="D31:I31" si="39">+D9/C9-1</f>
        <v>0.15883668903803128</v>
      </c>
      <c r="E31" s="19">
        <f t="shared" si="39"/>
        <v>0.21299871299871298</v>
      </c>
      <c r="F31" s="19">
        <f t="shared" si="39"/>
        <v>-0.20636604774535805</v>
      </c>
      <c r="G31" s="19">
        <f t="shared" si="39"/>
        <v>0.10360962566844911</v>
      </c>
      <c r="H31" s="19">
        <f t="shared" si="39"/>
        <v>6.541490006056927E-2</v>
      </c>
      <c r="I31" s="19">
        <f t="shared" si="39"/>
        <v>0.28766344513928366</v>
      </c>
    </row>
    <row r="33" spans="2:25" s="19" customFormat="1" x14ac:dyDescent="0.2">
      <c r="B33" s="19" t="s">
        <v>44</v>
      </c>
      <c r="C33" s="19">
        <f t="shared" ref="C33:I33" si="40">+C13/C11</f>
        <v>0.82225541448842421</v>
      </c>
      <c r="D33" s="19">
        <f t="shared" si="40"/>
        <v>0.821520618556701</v>
      </c>
      <c r="E33" s="19">
        <f t="shared" si="40"/>
        <v>0.82049920339883164</v>
      </c>
      <c r="F33" s="19">
        <f t="shared" si="40"/>
        <v>0.80535117056856187</v>
      </c>
      <c r="G33" s="19">
        <f t="shared" si="40"/>
        <v>0.81200727713765919</v>
      </c>
      <c r="H33" s="19">
        <f t="shared" si="40"/>
        <v>0.81900967558338078</v>
      </c>
      <c r="I33" s="19">
        <f t="shared" si="40"/>
        <v>0.82352941176470584</v>
      </c>
      <c r="M33" s="19">
        <f t="shared" ref="M33:R33" si="41">+M13/M11</f>
        <v>0.79573712255772644</v>
      </c>
      <c r="N33" s="19">
        <f t="shared" si="41"/>
        <v>0.79324482623975012</v>
      </c>
      <c r="O33" s="19">
        <f t="shared" si="41"/>
        <v>0.77983612397577484</v>
      </c>
      <c r="P33" s="19">
        <f t="shared" si="41"/>
        <v>0.77052832590706555</v>
      </c>
      <c r="Q33" s="19">
        <f t="shared" si="41"/>
        <v>0.77502579979360164</v>
      </c>
      <c r="R33" s="19">
        <f t="shared" si="41"/>
        <v>0.81751475514436112</v>
      </c>
      <c r="S33" s="19">
        <v>0.82</v>
      </c>
      <c r="T33" s="19">
        <v>0.82</v>
      </c>
      <c r="U33" s="19">
        <v>0.82</v>
      </c>
      <c r="V33" s="19">
        <v>0.82</v>
      </c>
      <c r="W33" s="19">
        <v>0.82</v>
      </c>
      <c r="X33" s="19">
        <v>0.82</v>
      </c>
      <c r="Y33" s="19">
        <v>0.82</v>
      </c>
    </row>
    <row r="34" spans="2:25" s="19" customFormat="1" x14ac:dyDescent="0.2">
      <c r="B34" s="19" t="s">
        <v>45</v>
      </c>
      <c r="C34" s="19">
        <f t="shared" ref="C34:I34" si="42">+C17/C11</f>
        <v>0.24346527259148618</v>
      </c>
      <c r="D34" s="19">
        <f t="shared" si="42"/>
        <v>0.26481958762886598</v>
      </c>
      <c r="E34" s="19">
        <f t="shared" si="42"/>
        <v>0.28465215082315454</v>
      </c>
      <c r="F34" s="19">
        <f t="shared" si="42"/>
        <v>0.2153846153846154</v>
      </c>
      <c r="G34" s="19">
        <f t="shared" si="42"/>
        <v>0.27835051546391754</v>
      </c>
      <c r="H34" s="19">
        <f t="shared" si="42"/>
        <v>0.27831531018782013</v>
      </c>
      <c r="I34" s="19">
        <f t="shared" si="42"/>
        <v>0.31490490933215393</v>
      </c>
      <c r="M34" s="19">
        <f t="shared" ref="M34:R34" si="43">+M17/M11</f>
        <v>8.4147424511545291E-2</v>
      </c>
      <c r="N34" s="19">
        <f t="shared" si="43"/>
        <v>0.14115579851620461</v>
      </c>
      <c r="O34" s="19">
        <f t="shared" si="43"/>
        <v>-7.7662985393658707E-2</v>
      </c>
      <c r="P34" s="19">
        <f t="shared" si="43"/>
        <v>-7.0337364735837044E-2</v>
      </c>
      <c r="Q34" s="19">
        <f t="shared" si="43"/>
        <v>5.1599587203302374E-3</v>
      </c>
      <c r="R34" s="19">
        <f t="shared" si="43"/>
        <v>0.25442654330834263</v>
      </c>
      <c r="S34" s="19">
        <v>0.3</v>
      </c>
      <c r="T34" s="19">
        <v>0.28999999999999998</v>
      </c>
      <c r="U34" s="19">
        <v>0.28999999999999998</v>
      </c>
      <c r="V34" s="19">
        <v>0.28000000000000003</v>
      </c>
      <c r="W34" s="19">
        <v>0.25</v>
      </c>
      <c r="X34" s="19">
        <v>0.25</v>
      </c>
      <c r="Y34" s="19">
        <v>0.25</v>
      </c>
    </row>
    <row r="35" spans="2:25" s="19" customFormat="1" x14ac:dyDescent="0.2">
      <c r="B35" s="19" t="s">
        <v>46</v>
      </c>
      <c r="C35" s="19">
        <f t="shared" ref="C35:I35" si="44">+C26/C11</f>
        <v>0.36669156086631816</v>
      </c>
      <c r="D35" s="19">
        <f t="shared" si="44"/>
        <v>5.7345360824742266E-2</v>
      </c>
      <c r="E35" s="19">
        <f t="shared" si="44"/>
        <v>0.33669676048858205</v>
      </c>
      <c r="F35" s="19">
        <f t="shared" si="44"/>
        <v>0.12240802675585284</v>
      </c>
      <c r="G35" s="19">
        <f t="shared" si="44"/>
        <v>0.36203759854457246</v>
      </c>
      <c r="H35" s="19">
        <f t="shared" si="44"/>
        <v>0.29994308480364257</v>
      </c>
      <c r="I35" s="19">
        <f t="shared" si="44"/>
        <v>0.42547545333923042</v>
      </c>
      <c r="M35" s="19">
        <f t="shared" ref="M35:R35" si="45">+M26/M11</f>
        <v>3.5968028419182951E-2</v>
      </c>
      <c r="N35" s="19">
        <f t="shared" si="45"/>
        <v>0.21593127684498242</v>
      </c>
      <c r="O35" s="19">
        <f t="shared" si="45"/>
        <v>-0.17705735660847879</v>
      </c>
      <c r="P35" s="19">
        <f t="shared" si="45"/>
        <v>-2.737110120942075E-2</v>
      </c>
      <c r="Q35" s="19">
        <f t="shared" si="45"/>
        <v>7.0863433092535261E-2</v>
      </c>
      <c r="R35" s="19">
        <f t="shared" si="45"/>
        <v>0.22284255862178975</v>
      </c>
      <c r="S35" s="19">
        <v>0.3</v>
      </c>
      <c r="T35" s="19">
        <v>0.28000000000000003</v>
      </c>
      <c r="U35" s="19">
        <v>0.25</v>
      </c>
      <c r="V35" s="19">
        <v>0.23</v>
      </c>
      <c r="W35" s="19">
        <v>0.2</v>
      </c>
      <c r="X35" s="19">
        <v>0.18</v>
      </c>
      <c r="Y35" s="19">
        <v>0.18</v>
      </c>
    </row>
    <row r="36" spans="2:25" s="19" customFormat="1" x14ac:dyDescent="0.2">
      <c r="B36" s="19" t="s">
        <v>47</v>
      </c>
      <c r="C36" s="19">
        <f t="shared" ref="C36:I36" si="46">+C22/C21</f>
        <v>8.9285714285714288E-2</v>
      </c>
      <c r="D36" s="19">
        <f t="shared" si="46"/>
        <v>0.57037037037037042</v>
      </c>
      <c r="E36" s="19">
        <f t="shared" si="46"/>
        <v>9.951060358890701E-2</v>
      </c>
      <c r="F36" s="19">
        <f t="shared" si="46"/>
        <v>0.29591836734693877</v>
      </c>
      <c r="G36" s="19">
        <f t="shared" si="46"/>
        <v>0.15944540727902945</v>
      </c>
      <c r="H36" s="19">
        <f t="shared" si="46"/>
        <v>0.19791666666666666</v>
      </c>
      <c r="I36" s="19">
        <f t="shared" si="46"/>
        <v>0.10362173038229376</v>
      </c>
      <c r="M36" s="19">
        <f t="shared" ref="M36:R36" si="47">+M22/M21</f>
        <v>0.4107142857142857</v>
      </c>
      <c r="N36" s="19">
        <f t="shared" si="47"/>
        <v>0.19171779141104295</v>
      </c>
      <c r="O36" s="19">
        <f t="shared" si="47"/>
        <v>-0.28723404255319152</v>
      </c>
      <c r="P36" s="19">
        <f t="shared" si="47"/>
        <v>-0.56756756756756754</v>
      </c>
      <c r="Q36" s="19">
        <f t="shared" si="47"/>
        <v>0.25714285714285712</v>
      </c>
      <c r="R36" s="19">
        <f t="shared" si="47"/>
        <v>0.16356382978723405</v>
      </c>
    </row>
    <row r="40" spans="2:25" x14ac:dyDescent="0.2">
      <c r="B40" s="20" t="s">
        <v>48</v>
      </c>
    </row>
    <row r="41" spans="2:25" s="13" customFormat="1" x14ac:dyDescent="0.2">
      <c r="B41" s="13" t="s">
        <v>6</v>
      </c>
      <c r="E41" s="13">
        <v>5175</v>
      </c>
      <c r="I41" s="13">
        <v>5982</v>
      </c>
    </row>
    <row r="42" spans="2:25" s="13" customFormat="1" x14ac:dyDescent="0.2">
      <c r="B42" s="13" t="s">
        <v>49</v>
      </c>
      <c r="E42" s="13">
        <v>3300</v>
      </c>
      <c r="I42" s="13">
        <v>4890</v>
      </c>
    </row>
    <row r="43" spans="2:25" s="12" customFormat="1" x14ac:dyDescent="0.2">
      <c r="B43" s="12" t="s">
        <v>50</v>
      </c>
      <c r="E43" s="12">
        <v>1761</v>
      </c>
      <c r="I43" s="12">
        <v>1972</v>
      </c>
    </row>
    <row r="44" spans="2:25" s="12" customFormat="1" x14ac:dyDescent="0.2">
      <c r="B44" s="12" t="s">
        <v>51</v>
      </c>
      <c r="E44" s="12">
        <v>2594</v>
      </c>
      <c r="I44" s="12">
        <v>3486</v>
      </c>
    </row>
    <row r="45" spans="2:25" s="12" customFormat="1" x14ac:dyDescent="0.2">
      <c r="B45" s="12" t="s">
        <v>52</v>
      </c>
      <c r="E45" s="12">
        <v>708</v>
      </c>
      <c r="I45" s="12">
        <v>721</v>
      </c>
    </row>
    <row r="46" spans="2:25" s="12" customFormat="1" x14ac:dyDescent="0.2">
      <c r="B46" s="12" t="s">
        <v>53</v>
      </c>
      <c r="E46" s="12">
        <v>1739</v>
      </c>
      <c r="I46" s="12">
        <v>1838</v>
      </c>
    </row>
    <row r="47" spans="2:25" s="12" customFormat="1" x14ac:dyDescent="0.2">
      <c r="B47" s="12" t="s">
        <v>54</v>
      </c>
      <c r="E47" s="12">
        <v>89</v>
      </c>
      <c r="I47" s="12">
        <v>104</v>
      </c>
    </row>
    <row r="48" spans="2:25" s="13" customFormat="1" x14ac:dyDescent="0.2">
      <c r="B48" s="13" t="s">
        <v>55</v>
      </c>
      <c r="E48" s="13">
        <v>7328</v>
      </c>
      <c r="I48" s="13">
        <v>6661</v>
      </c>
    </row>
    <row r="49" spans="2:9" s="12" customFormat="1" x14ac:dyDescent="0.2">
      <c r="B49" s="12" t="s">
        <v>56</v>
      </c>
      <c r="E49" s="12">
        <v>8137</v>
      </c>
      <c r="I49" s="12">
        <v>8682</v>
      </c>
    </row>
    <row r="50" spans="2:9" s="12" customFormat="1" x14ac:dyDescent="0.2">
      <c r="B50" s="12" t="s">
        <v>57</v>
      </c>
      <c r="E50" s="12">
        <v>88</v>
      </c>
      <c r="I50" s="12">
        <v>78</v>
      </c>
    </row>
    <row r="51" spans="2:9" s="12" customFormat="1" x14ac:dyDescent="0.2">
      <c r="B51" s="12" t="s">
        <v>58</v>
      </c>
      <c r="E51" s="12">
        <v>263</v>
      </c>
      <c r="I51" s="12">
        <v>398</v>
      </c>
    </row>
    <row r="52" spans="2:9" s="12" customFormat="1" x14ac:dyDescent="0.2">
      <c r="B52" s="12" t="s">
        <v>59</v>
      </c>
      <c r="E52" s="12">
        <f>+SUM(E41:E51)</f>
        <v>31182</v>
      </c>
      <c r="I52" s="12">
        <f>+SUM(I41:I51)</f>
        <v>34812</v>
      </c>
    </row>
    <row r="53" spans="2:9" s="12" customFormat="1" x14ac:dyDescent="0.2"/>
    <row r="54" spans="2:9" s="13" customFormat="1" x14ac:dyDescent="0.2">
      <c r="B54" s="13" t="s">
        <v>60</v>
      </c>
      <c r="E54" s="13">
        <v>4222</v>
      </c>
      <c r="I54" s="13">
        <v>3792</v>
      </c>
    </row>
    <row r="55" spans="2:9" s="12" customFormat="1" x14ac:dyDescent="0.2">
      <c r="B55" s="12" t="s">
        <v>61</v>
      </c>
      <c r="E55" s="12">
        <v>2491</v>
      </c>
      <c r="I55" s="12">
        <v>2507</v>
      </c>
    </row>
    <row r="56" spans="2:9" s="12" customFormat="1" x14ac:dyDescent="0.2">
      <c r="B56" s="12" t="s">
        <v>62</v>
      </c>
      <c r="E56" s="12">
        <v>1965</v>
      </c>
      <c r="I56" s="12">
        <v>2453</v>
      </c>
    </row>
    <row r="57" spans="2:9" s="12" customFormat="1" x14ac:dyDescent="0.2">
      <c r="B57" s="12" t="s">
        <v>63</v>
      </c>
      <c r="E57" s="12">
        <v>2253</v>
      </c>
      <c r="I57" s="12">
        <v>2711</v>
      </c>
    </row>
    <row r="58" spans="2:9" s="12" customFormat="1" x14ac:dyDescent="0.2">
      <c r="B58" s="12" t="s">
        <v>58</v>
      </c>
      <c r="E58" s="12">
        <v>498</v>
      </c>
      <c r="I58" s="12">
        <v>541</v>
      </c>
    </row>
    <row r="59" spans="2:9" s="13" customFormat="1" x14ac:dyDescent="0.2">
      <c r="B59" s="13" t="s">
        <v>64</v>
      </c>
      <c r="E59" s="13">
        <v>2697</v>
      </c>
      <c r="I59" s="13">
        <v>2725</v>
      </c>
    </row>
    <row r="60" spans="2:9" s="12" customFormat="1" x14ac:dyDescent="0.2">
      <c r="B60" s="12" t="s">
        <v>65</v>
      </c>
      <c r="E60" s="12">
        <v>64</v>
      </c>
      <c r="I60" s="12">
        <v>77</v>
      </c>
    </row>
    <row r="61" spans="2:9" s="12" customFormat="1" x14ac:dyDescent="0.2">
      <c r="B61" s="12" t="s">
        <v>66</v>
      </c>
      <c r="E61" s="12">
        <v>50</v>
      </c>
      <c r="I61" s="12">
        <v>39</v>
      </c>
    </row>
    <row r="62" spans="2:9" s="12" customFormat="1" x14ac:dyDescent="0.2">
      <c r="B62" s="12" t="s">
        <v>67</v>
      </c>
      <c r="E62" s="12">
        <f>+SUM(E54:E61)</f>
        <v>14240</v>
      </c>
      <c r="I62" s="12">
        <f>+SUM(I54:I61)</f>
        <v>14845</v>
      </c>
    </row>
    <row r="63" spans="2:9" s="12" customFormat="1" x14ac:dyDescent="0.2"/>
    <row r="64" spans="2:9" s="12" customFormat="1" x14ac:dyDescent="0.2">
      <c r="B64" s="12" t="s">
        <v>68</v>
      </c>
      <c r="E64" s="12">
        <v>16942</v>
      </c>
      <c r="I64" s="12">
        <f>19863+104</f>
        <v>19967</v>
      </c>
    </row>
    <row r="65" spans="2:9" s="12" customFormat="1" x14ac:dyDescent="0.2">
      <c r="B65" s="12" t="s">
        <v>69</v>
      </c>
      <c r="E65" s="12">
        <f>+E64+E62</f>
        <v>31182</v>
      </c>
      <c r="I65" s="12">
        <f>+I64+I62</f>
        <v>34812</v>
      </c>
    </row>
    <row r="66" spans="2:9" s="12" customFormat="1" x14ac:dyDescent="0.2"/>
    <row r="67" spans="2:9" s="12" customFormat="1" x14ac:dyDescent="0.2">
      <c r="B67" s="12" t="s">
        <v>70</v>
      </c>
      <c r="E67" s="12">
        <f>+E52-E62</f>
        <v>16942</v>
      </c>
      <c r="I67" s="12">
        <f>+I52-I62</f>
        <v>19967</v>
      </c>
    </row>
    <row r="68" spans="2:9" s="12" customFormat="1" x14ac:dyDescent="0.2">
      <c r="B68" s="12" t="s">
        <v>71</v>
      </c>
      <c r="E68" s="12">
        <f>+E67/E28</f>
        <v>25.899415801544215</v>
      </c>
      <c r="I68" s="12">
        <f>+I67/I28</f>
        <v>30.590461587666773</v>
      </c>
    </row>
    <row r="69" spans="2:9" s="12" customFormat="1" x14ac:dyDescent="0.2"/>
    <row r="70" spans="2:9" s="12" customFormat="1" x14ac:dyDescent="0.2">
      <c r="B70" s="12" t="s">
        <v>6</v>
      </c>
      <c r="E70" s="12">
        <f>+E42+E41+E48</f>
        <v>15803</v>
      </c>
      <c r="I70" s="12">
        <f>+I42+I41+I48</f>
        <v>17533</v>
      </c>
    </row>
    <row r="71" spans="2:9" s="12" customFormat="1" x14ac:dyDescent="0.2">
      <c r="B71" s="12" t="s">
        <v>7</v>
      </c>
      <c r="E71" s="12">
        <f>+E54+E59</f>
        <v>6919</v>
      </c>
      <c r="I71" s="12">
        <f>+I54+I59</f>
        <v>6517</v>
      </c>
    </row>
    <row r="72" spans="2:9" s="12" customFormat="1" x14ac:dyDescent="0.2">
      <c r="B72" s="12" t="s">
        <v>8</v>
      </c>
      <c r="E72" s="12">
        <f>+E70-E71</f>
        <v>8884</v>
      </c>
      <c r="I72" s="12">
        <f>+I70-I71</f>
        <v>11016</v>
      </c>
    </row>
    <row r="74" spans="2:9" x14ac:dyDescent="0.2">
      <c r="B74" s="1" t="s">
        <v>86</v>
      </c>
    </row>
    <row r="75" spans="2:9" x14ac:dyDescent="0.2">
      <c r="B75" s="1" t="s">
        <v>5</v>
      </c>
    </row>
    <row r="76" spans="2:9" x14ac:dyDescent="0.2">
      <c r="B76" s="1" t="s">
        <v>9</v>
      </c>
    </row>
  </sheetData>
  <hyperlinks>
    <hyperlink ref="I1" r:id="rId1" xr:uid="{1EBA0D1C-3600-45F1-968D-FB07E8D59818}"/>
    <hyperlink ref="G1" r:id="rId2" xr:uid="{E1C8E937-CF1D-42D5-88D1-C17BC4E63C7D}"/>
    <hyperlink ref="E1" r:id="rId3" xr:uid="{6176B771-77F0-4101-98DD-71BBA88AEC93}"/>
    <hyperlink ref="C1" r:id="rId4" xr:uid="{803A0D94-BFB9-40D5-B18E-61DF0526AA4E}"/>
    <hyperlink ref="R1" r:id="rId5" xr:uid="{1557F684-32CA-4602-9DAA-113EE3958873}"/>
    <hyperlink ref="P1" r:id="rId6" xr:uid="{0F49D087-9FB1-44D3-80EB-99B5F30F2083}"/>
    <hyperlink ref="N1" r:id="rId7" xr:uid="{0E7B8BDC-FEFC-4F1C-95B6-102106FC11E5}"/>
    <hyperlink ref="M1" r:id="rId8" xr:uid="{D3365498-873C-454B-8EE4-885EF2612EA7}"/>
  </hyperlinks>
  <pageMargins left="0.7" right="0.7" top="0.75" bottom="0.75" header="0.3" footer="0.3"/>
  <pageSetup orientation="portrait" r:id="rId9"/>
  <ignoredErrors>
    <ignoredError sqref="G9:I9 E9 C9:D9" formulaRange="1"/>
    <ignoredError sqref="F9:F28" formula="1"/>
  </ignoredErrors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</dc:creator>
  <cp:lastModifiedBy>me</cp:lastModifiedBy>
  <dcterms:created xsi:type="dcterms:W3CDTF">2024-11-18T23:59:26Z</dcterms:created>
  <dcterms:modified xsi:type="dcterms:W3CDTF">2024-11-19T13:27:39Z</dcterms:modified>
</cp:coreProperties>
</file>