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BDBD4D4-1575-4A27-8598-708D2BEC3335}" xr6:coauthVersionLast="36" xr6:coauthVersionMax="47" xr10:uidLastSave="{00000000-0000-0000-0000-000000000000}"/>
  <bookViews>
    <workbookView xWindow="945" yWindow="570" windowWidth="27165" windowHeight="14100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2" l="1"/>
  <c r="M28" i="2" l="1"/>
  <c r="M27" i="2"/>
  <c r="M26" i="2"/>
  <c r="W28" i="2"/>
  <c r="W27" i="2"/>
  <c r="V28" i="2"/>
  <c r="V27" i="2"/>
  <c r="U28" i="2"/>
  <c r="U27" i="2"/>
  <c r="T26" i="2"/>
  <c r="T27" i="2"/>
  <c r="T28" i="2"/>
  <c r="S28" i="2"/>
  <c r="S27" i="2"/>
  <c r="S26" i="2"/>
  <c r="U26" i="2"/>
  <c r="V26" i="2"/>
  <c r="W26" i="2"/>
  <c r="L6" i="2" l="1"/>
  <c r="L5" i="2"/>
  <c r="L4" i="2"/>
  <c r="R6" i="2" l="1"/>
  <c r="S6" i="2"/>
  <c r="T33" i="2"/>
  <c r="V33" i="2"/>
  <c r="V38" i="2" s="1"/>
  <c r="U33" i="2"/>
  <c r="U38" i="2" s="1"/>
  <c r="R33" i="2"/>
  <c r="S33" i="2"/>
  <c r="S38" i="2" s="1"/>
  <c r="T38" i="2" l="1"/>
  <c r="S93" i="2"/>
  <c r="S95" i="2" s="1"/>
  <c r="S96" i="2" s="1"/>
  <c r="R92" i="2"/>
  <c r="R93" i="2" s="1"/>
  <c r="R95" i="2" s="1"/>
  <c r="R96" i="2" s="1"/>
  <c r="T93" i="2"/>
  <c r="T95" i="2" s="1"/>
  <c r="T96" i="2" s="1"/>
  <c r="U93" i="2"/>
  <c r="U95" i="2" s="1"/>
  <c r="U96" i="2" s="1"/>
  <c r="C7" i="1" l="1"/>
  <c r="D11" i="1"/>
  <c r="D10" i="1"/>
  <c r="D9" i="1"/>
  <c r="D7" i="1"/>
  <c r="L80" i="2"/>
  <c r="K81" i="2"/>
  <c r="M81" i="2"/>
  <c r="W81" i="2"/>
  <c r="V92" i="2"/>
  <c r="V93" i="2"/>
  <c r="V95" i="2" s="1"/>
  <c r="V96" i="2" s="1"/>
  <c r="W92" i="2"/>
  <c r="W93" i="2" s="1"/>
  <c r="W95" i="2" s="1"/>
  <c r="W96" i="2" s="1"/>
  <c r="L70" i="2"/>
  <c r="L67" i="2"/>
  <c r="L66" i="2"/>
  <c r="L65" i="2"/>
  <c r="L64" i="2"/>
  <c r="L63" i="2"/>
  <c r="L62" i="2"/>
  <c r="L61" i="2"/>
  <c r="L56" i="2"/>
  <c r="L59" i="2"/>
  <c r="L58" i="2"/>
  <c r="L57" i="2"/>
  <c r="L55" i="2"/>
  <c r="L54" i="2"/>
  <c r="L44" i="2"/>
  <c r="L43" i="2"/>
  <c r="L50" i="2"/>
  <c r="L76" i="2" s="1"/>
  <c r="L51" i="2"/>
  <c r="L49" i="2"/>
  <c r="L48" i="2"/>
  <c r="L46" i="2"/>
  <c r="L45" i="2"/>
  <c r="L42" i="2"/>
  <c r="W77" i="2"/>
  <c r="W76" i="2"/>
  <c r="W78" i="2" s="1"/>
  <c r="W60" i="2"/>
  <c r="W68" i="2" s="1"/>
  <c r="W71" i="2" s="1"/>
  <c r="W41" i="2"/>
  <c r="L41" i="2" s="1"/>
  <c r="M77" i="2"/>
  <c r="C10" i="1" s="1"/>
  <c r="M76" i="2"/>
  <c r="C9" i="1" s="1"/>
  <c r="M41" i="2"/>
  <c r="M47" i="2" s="1"/>
  <c r="M52" i="2" s="1"/>
  <c r="M60" i="2"/>
  <c r="M68" i="2" s="1"/>
  <c r="M71" i="2" s="1"/>
  <c r="N7" i="2"/>
  <c r="X7" i="2" s="1"/>
  <c r="W33" i="2"/>
  <c r="W38" i="2" s="1"/>
  <c r="D27" i="1"/>
  <c r="L2" i="2"/>
  <c r="L3" i="2"/>
  <c r="L18" i="2"/>
  <c r="L15" i="2"/>
  <c r="L13" i="2"/>
  <c r="L12" i="2"/>
  <c r="L10" i="2"/>
  <c r="L8" i="2"/>
  <c r="L7" i="2"/>
  <c r="M85" i="2" s="1"/>
  <c r="W25" i="2"/>
  <c r="W9" i="2"/>
  <c r="W11" i="2" s="1"/>
  <c r="W14" i="2" s="1"/>
  <c r="W16" i="2" s="1"/>
  <c r="W17" i="2" s="1"/>
  <c r="W87" i="2" s="1"/>
  <c r="M25" i="2"/>
  <c r="M9" i="2"/>
  <c r="M11" i="2" s="1"/>
  <c r="M14" i="2" s="1"/>
  <c r="M16" i="2" s="1"/>
  <c r="M17" i="2" s="1"/>
  <c r="K77" i="2"/>
  <c r="K76" i="2"/>
  <c r="K60" i="2"/>
  <c r="K68" i="2" s="1"/>
  <c r="K71" i="2" s="1"/>
  <c r="K41" i="2"/>
  <c r="K47" i="2" s="1"/>
  <c r="K52" i="2" s="1"/>
  <c r="K25" i="2"/>
  <c r="K9" i="2"/>
  <c r="K11" i="2" s="1"/>
  <c r="C26" i="1" l="1"/>
  <c r="M73" i="2"/>
  <c r="M74" i="2" s="1"/>
  <c r="W82" i="2"/>
  <c r="W86" i="2" s="1"/>
  <c r="L77" i="2"/>
  <c r="L78" i="2" s="1"/>
  <c r="C34" i="1"/>
  <c r="M84" i="2"/>
  <c r="L71" i="2"/>
  <c r="W47" i="2"/>
  <c r="W52" i="2" s="1"/>
  <c r="W73" i="2" s="1"/>
  <c r="W74" i="2" s="1"/>
  <c r="W84" i="2" s="1"/>
  <c r="W85" i="2"/>
  <c r="L81" i="2"/>
  <c r="M78" i="2"/>
  <c r="M82" i="2" s="1"/>
  <c r="M86" i="2" s="1"/>
  <c r="L60" i="2"/>
  <c r="L68" i="2" s="1"/>
  <c r="L47" i="2"/>
  <c r="L52" i="2" s="1"/>
  <c r="W20" i="2"/>
  <c r="L9" i="2"/>
  <c r="L20" i="2" s="1"/>
  <c r="M29" i="2"/>
  <c r="W22" i="2"/>
  <c r="M20" i="2"/>
  <c r="M22" i="2"/>
  <c r="M23" i="2"/>
  <c r="M21" i="2"/>
  <c r="W23" i="2"/>
  <c r="L29" i="2"/>
  <c r="W21" i="2"/>
  <c r="K73" i="2"/>
  <c r="K74" i="2" s="1"/>
  <c r="K84" i="2" s="1"/>
  <c r="K14" i="2"/>
  <c r="K21" i="2"/>
  <c r="K20" i="2"/>
  <c r="K78" i="2"/>
  <c r="K82" i="2" s="1"/>
  <c r="L82" i="2" l="1"/>
  <c r="L86" i="2" s="1"/>
  <c r="L85" i="2"/>
  <c r="L11" i="2"/>
  <c r="L73" i="2"/>
  <c r="L74" i="2" s="1"/>
  <c r="L84" i="2" s="1"/>
  <c r="L14" i="2"/>
  <c r="L21" i="2"/>
  <c r="K16" i="2"/>
  <c r="K23" i="2"/>
  <c r="AH29" i="2"/>
  <c r="L16" i="2" l="1"/>
  <c r="L23" i="2"/>
  <c r="K22" i="2"/>
  <c r="K17" i="2"/>
  <c r="X18" i="2"/>
  <c r="Y18" i="2" s="1"/>
  <c r="Z18" i="2" s="1"/>
  <c r="AA18" i="2" s="1"/>
  <c r="AB18" i="2" s="1"/>
  <c r="AC18" i="2" s="1"/>
  <c r="AD18" i="2" s="1"/>
  <c r="AE18" i="2" s="1"/>
  <c r="X12" i="2"/>
  <c r="L17" i="2" l="1"/>
  <c r="L22" i="2"/>
  <c r="X13" i="2"/>
  <c r="Y13" i="2" s="1"/>
  <c r="Y12" i="2"/>
  <c r="Z12" i="2" s="1"/>
  <c r="C32" i="1" l="1"/>
  <c r="M87" i="2"/>
  <c r="L87" i="2"/>
  <c r="X9" i="2"/>
  <c r="Y7" i="2"/>
  <c r="X11" i="2"/>
  <c r="X14" i="2" s="1"/>
  <c r="Z13" i="2"/>
  <c r="AA12" i="2"/>
  <c r="X10" i="2" l="1"/>
  <c r="X15" i="2"/>
  <c r="X16" i="2" s="1"/>
  <c r="X22" i="2" s="1"/>
  <c r="Z7" i="2"/>
  <c r="Y9" i="2"/>
  <c r="Y8" i="2" s="1"/>
  <c r="Y11" i="2"/>
  <c r="Y14" i="2" s="1"/>
  <c r="X8" i="2"/>
  <c r="AA13" i="2"/>
  <c r="AB12" i="2"/>
  <c r="AC12" i="2" s="1"/>
  <c r="Y15" i="2" l="1"/>
  <c r="Y16" i="2" s="1"/>
  <c r="Y22" i="2" s="1"/>
  <c r="Y10" i="2"/>
  <c r="AA7" i="2"/>
  <c r="Z9" i="2"/>
  <c r="Z8" i="2" s="1"/>
  <c r="Z11" i="2"/>
  <c r="Z14" i="2" s="1"/>
  <c r="X17" i="2"/>
  <c r="AB13" i="2"/>
  <c r="AD12" i="2"/>
  <c r="AE12" i="2" s="1"/>
  <c r="Y17" i="2" l="1"/>
  <c r="AB7" i="2"/>
  <c r="AA9" i="2"/>
  <c r="AA8" i="2" s="1"/>
  <c r="AA11" i="2"/>
  <c r="AA14" i="2" s="1"/>
  <c r="Z15" i="2"/>
  <c r="Z16" i="2" s="1"/>
  <c r="Z10" i="2"/>
  <c r="AC13" i="2"/>
  <c r="AD13" i="2" s="1"/>
  <c r="AE13" i="2" s="1"/>
  <c r="Z17" i="2" l="1"/>
  <c r="Z22" i="2"/>
  <c r="AA15" i="2"/>
  <c r="AA16" i="2" s="1"/>
  <c r="AA22" i="2" s="1"/>
  <c r="AA10" i="2"/>
  <c r="AC7" i="2"/>
  <c r="AB9" i="2"/>
  <c r="AB8" i="2" s="1"/>
  <c r="AB11" i="2"/>
  <c r="AB14" i="2" s="1"/>
  <c r="U81" i="2"/>
  <c r="U85" i="2" s="1"/>
  <c r="T81" i="2"/>
  <c r="T85" i="2" s="1"/>
  <c r="S81" i="2"/>
  <c r="S85" i="2" s="1"/>
  <c r="R81" i="2"/>
  <c r="V81" i="2"/>
  <c r="V85" i="2" l="1"/>
  <c r="R85" i="2"/>
  <c r="AA17" i="2"/>
  <c r="AB15" i="2"/>
  <c r="AB16" i="2" s="1"/>
  <c r="AB10" i="2"/>
  <c r="AD7" i="2"/>
  <c r="AC11" i="2"/>
  <c r="AC14" i="2" s="1"/>
  <c r="AC9" i="2"/>
  <c r="J70" i="2"/>
  <c r="J61" i="2"/>
  <c r="J56" i="2"/>
  <c r="J67" i="2"/>
  <c r="J66" i="2"/>
  <c r="J65" i="2"/>
  <c r="J64" i="2"/>
  <c r="J63" i="2"/>
  <c r="J62" i="2"/>
  <c r="J59" i="2"/>
  <c r="J58" i="2"/>
  <c r="J57" i="2"/>
  <c r="J55" i="2"/>
  <c r="J54" i="2"/>
  <c r="J51" i="2"/>
  <c r="J50" i="2"/>
  <c r="J76" i="2" s="1"/>
  <c r="J49" i="2"/>
  <c r="J48" i="2"/>
  <c r="J46" i="2"/>
  <c r="J45" i="2"/>
  <c r="J44" i="2"/>
  <c r="J43" i="2"/>
  <c r="J42" i="2"/>
  <c r="V77" i="2"/>
  <c r="V76" i="2"/>
  <c r="V60" i="2"/>
  <c r="V68" i="2" s="1"/>
  <c r="V71" i="2" s="1"/>
  <c r="V41" i="2"/>
  <c r="V47" i="2" s="1"/>
  <c r="V52" i="2" s="1"/>
  <c r="J2" i="2"/>
  <c r="J15" i="2"/>
  <c r="J13" i="2"/>
  <c r="J12" i="2"/>
  <c r="J10" i="2"/>
  <c r="J18" i="2"/>
  <c r="J8" i="2"/>
  <c r="J7" i="2"/>
  <c r="V25" i="2"/>
  <c r="V9" i="2"/>
  <c r="V11" i="2" s="1"/>
  <c r="AB17" i="2" l="1"/>
  <c r="AB22" i="2"/>
  <c r="J77" i="2"/>
  <c r="J78" i="2" s="1"/>
  <c r="L25" i="2"/>
  <c r="K85" i="2"/>
  <c r="K86" i="2"/>
  <c r="J41" i="2"/>
  <c r="J47" i="2" s="1"/>
  <c r="J52" i="2" s="1"/>
  <c r="V78" i="2"/>
  <c r="V82" i="2" s="1"/>
  <c r="V86" i="2" s="1"/>
  <c r="V73" i="2"/>
  <c r="V74" i="2" s="1"/>
  <c r="V84" i="2" s="1"/>
  <c r="J29" i="2"/>
  <c r="K29" i="2"/>
  <c r="AC10" i="2"/>
  <c r="AC15" i="2"/>
  <c r="AC16" i="2" s="1"/>
  <c r="AC8" i="2"/>
  <c r="AE7" i="2"/>
  <c r="AD9" i="2"/>
  <c r="AD8" i="2" s="1"/>
  <c r="AD11" i="2"/>
  <c r="AD14" i="2" s="1"/>
  <c r="J9" i="2"/>
  <c r="J20" i="2" s="1"/>
  <c r="J60" i="2"/>
  <c r="J68" i="2" s="1"/>
  <c r="J71" i="2" s="1"/>
  <c r="V21" i="2"/>
  <c r="V14" i="2"/>
  <c r="V20" i="2"/>
  <c r="F70" i="2"/>
  <c r="F66" i="2"/>
  <c r="F65" i="2"/>
  <c r="F64" i="2"/>
  <c r="F63" i="2"/>
  <c r="F62" i="2"/>
  <c r="F59" i="2"/>
  <c r="F58" i="2"/>
  <c r="F57" i="2"/>
  <c r="F55" i="2"/>
  <c r="F54" i="2"/>
  <c r="F51" i="2"/>
  <c r="F61" i="2"/>
  <c r="F56" i="2"/>
  <c r="F50" i="2"/>
  <c r="F49" i="2"/>
  <c r="F48" i="2"/>
  <c r="F46" i="2"/>
  <c r="F45" i="2"/>
  <c r="F44" i="2"/>
  <c r="F43" i="2"/>
  <c r="F42" i="2"/>
  <c r="R77" i="2"/>
  <c r="R76" i="2"/>
  <c r="S77" i="2"/>
  <c r="S76" i="2"/>
  <c r="T77" i="2"/>
  <c r="T76" i="2"/>
  <c r="U77" i="2"/>
  <c r="U76" i="2"/>
  <c r="R60" i="2"/>
  <c r="S60" i="2"/>
  <c r="R41" i="2"/>
  <c r="R47" i="2" s="1"/>
  <c r="R52" i="2" s="1"/>
  <c r="S41" i="2"/>
  <c r="S47" i="2" s="1"/>
  <c r="S52" i="2" s="1"/>
  <c r="T60" i="2"/>
  <c r="T41" i="2"/>
  <c r="F41" i="2" s="1"/>
  <c r="U60" i="2"/>
  <c r="U41" i="2"/>
  <c r="U47" i="2" s="1"/>
  <c r="U52" i="2" s="1"/>
  <c r="H15" i="2"/>
  <c r="H13" i="2"/>
  <c r="H12" i="2"/>
  <c r="H10" i="2"/>
  <c r="H8" i="2"/>
  <c r="H7" i="2"/>
  <c r="I29" i="2" s="1"/>
  <c r="D15" i="2"/>
  <c r="D13" i="2"/>
  <c r="D12" i="2"/>
  <c r="D10" i="2"/>
  <c r="D8" i="2"/>
  <c r="D7" i="2"/>
  <c r="E29" i="2" s="1"/>
  <c r="F15" i="2"/>
  <c r="F13" i="2"/>
  <c r="F12" i="2"/>
  <c r="F10" i="2"/>
  <c r="F8" i="2"/>
  <c r="F7" i="2"/>
  <c r="D3" i="2"/>
  <c r="H3" i="2"/>
  <c r="F2" i="2"/>
  <c r="D18" i="2"/>
  <c r="F18" i="2"/>
  <c r="H18" i="2"/>
  <c r="T25" i="2"/>
  <c r="S25" i="2"/>
  <c r="R9" i="2"/>
  <c r="R20" i="2" s="1"/>
  <c r="S9" i="2"/>
  <c r="S20" i="2" s="1"/>
  <c r="U25" i="2"/>
  <c r="T9" i="2"/>
  <c r="T11" i="2" s="1"/>
  <c r="U9" i="2"/>
  <c r="U20" i="2" s="1"/>
  <c r="D77" i="2"/>
  <c r="D76" i="2"/>
  <c r="D60" i="2"/>
  <c r="D41" i="2"/>
  <c r="D47" i="2" s="1"/>
  <c r="D52" i="2" s="1"/>
  <c r="C77" i="2"/>
  <c r="C76" i="2"/>
  <c r="E77" i="2"/>
  <c r="E76" i="2"/>
  <c r="C60" i="2"/>
  <c r="E60" i="2"/>
  <c r="C41" i="2"/>
  <c r="C47" i="2" s="1"/>
  <c r="C52" i="2" s="1"/>
  <c r="E41" i="2"/>
  <c r="E47" i="2" s="1"/>
  <c r="E52" i="2" s="1"/>
  <c r="E25" i="2"/>
  <c r="G25" i="2"/>
  <c r="C9" i="2"/>
  <c r="C11" i="2" s="1"/>
  <c r="C14" i="2" s="1"/>
  <c r="E9" i="2"/>
  <c r="E11" i="2" s="1"/>
  <c r="AC17" i="2" l="1"/>
  <c r="AC22" i="2"/>
  <c r="J73" i="2"/>
  <c r="J74" i="2" s="1"/>
  <c r="C78" i="2"/>
  <c r="E78" i="2"/>
  <c r="J11" i="2"/>
  <c r="J14" i="2" s="1"/>
  <c r="AD15" i="2"/>
  <c r="AD16" i="2" s="1"/>
  <c r="AD10" i="2"/>
  <c r="AE9" i="2"/>
  <c r="AE11" i="2"/>
  <c r="AE14" i="2" s="1"/>
  <c r="C68" i="2"/>
  <c r="C71" i="2" s="1"/>
  <c r="U68" i="2"/>
  <c r="U71" i="2" s="1"/>
  <c r="J25" i="2"/>
  <c r="T68" i="2"/>
  <c r="T71" i="2" s="1"/>
  <c r="D68" i="2"/>
  <c r="D71" i="2" s="1"/>
  <c r="S68" i="2"/>
  <c r="S71" i="2" s="1"/>
  <c r="E68" i="2"/>
  <c r="E71" i="2" s="1"/>
  <c r="R68" i="2"/>
  <c r="R73" i="2" s="1"/>
  <c r="R74" i="2" s="1"/>
  <c r="R84" i="2" s="1"/>
  <c r="J21" i="2"/>
  <c r="F47" i="2"/>
  <c r="F52" i="2" s="1"/>
  <c r="H29" i="2"/>
  <c r="U78" i="2"/>
  <c r="U82" i="2" s="1"/>
  <c r="U86" i="2" s="1"/>
  <c r="F25" i="2"/>
  <c r="S78" i="2"/>
  <c r="S82" i="2" s="1"/>
  <c r="S86" i="2" s="1"/>
  <c r="F60" i="2"/>
  <c r="F68" i="2" s="1"/>
  <c r="F71" i="2" s="1"/>
  <c r="D29" i="2"/>
  <c r="F76" i="2"/>
  <c r="V23" i="2"/>
  <c r="V16" i="2"/>
  <c r="F77" i="2"/>
  <c r="C16" i="2"/>
  <c r="C17" i="2" s="1"/>
  <c r="C23" i="2"/>
  <c r="U11" i="2"/>
  <c r="F29" i="2"/>
  <c r="T47" i="2"/>
  <c r="T52" i="2" s="1"/>
  <c r="D78" i="2"/>
  <c r="D9" i="2"/>
  <c r="D11" i="2" s="1"/>
  <c r="T78" i="2"/>
  <c r="T82" i="2" s="1"/>
  <c r="T86" i="2" s="1"/>
  <c r="R78" i="2"/>
  <c r="R82" i="2" s="1"/>
  <c r="R86" i="2" s="1"/>
  <c r="E14" i="2"/>
  <c r="E21" i="2"/>
  <c r="T14" i="2"/>
  <c r="T21" i="2"/>
  <c r="R11" i="2"/>
  <c r="T20" i="2"/>
  <c r="S11" i="2"/>
  <c r="F9" i="2"/>
  <c r="F20" i="2" s="1"/>
  <c r="C20" i="2"/>
  <c r="C21" i="2"/>
  <c r="E20" i="2"/>
  <c r="G29" i="2"/>
  <c r="H9" i="2"/>
  <c r="H11" i="2" s="1"/>
  <c r="H25" i="2"/>
  <c r="AD17" i="2" l="1"/>
  <c r="AD22" i="2"/>
  <c r="C73" i="2"/>
  <c r="C74" i="2" s="1"/>
  <c r="E73" i="2"/>
  <c r="E74" i="2" s="1"/>
  <c r="D73" i="2"/>
  <c r="D74" i="2" s="1"/>
  <c r="AE15" i="2"/>
  <c r="AE16" i="2" s="1"/>
  <c r="AE22" i="2" s="1"/>
  <c r="AE10" i="2"/>
  <c r="AE8" i="2"/>
  <c r="R71" i="2"/>
  <c r="U73" i="2"/>
  <c r="U74" i="2" s="1"/>
  <c r="U84" i="2" s="1"/>
  <c r="S73" i="2"/>
  <c r="S74" i="2" s="1"/>
  <c r="S84" i="2" s="1"/>
  <c r="T73" i="2"/>
  <c r="T74" i="2" s="1"/>
  <c r="T84" i="2" s="1"/>
  <c r="J16" i="2"/>
  <c r="J23" i="2"/>
  <c r="V22" i="2"/>
  <c r="V17" i="2"/>
  <c r="V87" i="2" s="1"/>
  <c r="F11" i="2"/>
  <c r="F14" i="2" s="1"/>
  <c r="F16" i="2" s="1"/>
  <c r="F17" i="2" s="1"/>
  <c r="C22" i="2"/>
  <c r="F78" i="2"/>
  <c r="D14" i="2"/>
  <c r="D21" i="2"/>
  <c r="F73" i="2"/>
  <c r="F74" i="2" s="1"/>
  <c r="U21" i="2"/>
  <c r="U14" i="2"/>
  <c r="T16" i="2"/>
  <c r="T22" i="2" s="1"/>
  <c r="T23" i="2"/>
  <c r="D20" i="2"/>
  <c r="E16" i="2"/>
  <c r="E22" i="2" s="1"/>
  <c r="E23" i="2"/>
  <c r="S14" i="2"/>
  <c r="S21" i="2"/>
  <c r="R14" i="2"/>
  <c r="R21" i="2"/>
  <c r="H14" i="2"/>
  <c r="H21" i="2"/>
  <c r="H20" i="2"/>
  <c r="H77" i="2"/>
  <c r="H76" i="2"/>
  <c r="G77" i="2"/>
  <c r="G76" i="2"/>
  <c r="G78" i="2" s="1"/>
  <c r="I77" i="2"/>
  <c r="I76" i="2"/>
  <c r="AF16" i="2" l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AH22" i="2" s="1"/>
  <c r="AE17" i="2"/>
  <c r="H78" i="2"/>
  <c r="J22" i="2"/>
  <c r="J17" i="2"/>
  <c r="K87" i="2" s="1"/>
  <c r="E17" i="2"/>
  <c r="F21" i="2"/>
  <c r="T17" i="2"/>
  <c r="T87" i="2" s="1"/>
  <c r="F23" i="2"/>
  <c r="F22" i="2"/>
  <c r="R16" i="2"/>
  <c r="R22" i="2" s="1"/>
  <c r="R23" i="2"/>
  <c r="U16" i="2"/>
  <c r="U23" i="2"/>
  <c r="H16" i="2"/>
  <c r="H22" i="2" s="1"/>
  <c r="H23" i="2"/>
  <c r="S16" i="2"/>
  <c r="S22" i="2" s="1"/>
  <c r="S23" i="2"/>
  <c r="D16" i="2"/>
  <c r="D23" i="2"/>
  <c r="I78" i="2"/>
  <c r="H60" i="2"/>
  <c r="H41" i="2"/>
  <c r="H47" i="2" s="1"/>
  <c r="H52" i="2" s="1"/>
  <c r="H68" i="2" l="1"/>
  <c r="H73" i="2" s="1"/>
  <c r="H74" i="2" s="1"/>
  <c r="H17" i="2"/>
  <c r="R17" i="2"/>
  <c r="R87" i="2" s="1"/>
  <c r="S17" i="2"/>
  <c r="S87" i="2" s="1"/>
  <c r="U17" i="2"/>
  <c r="U87" i="2" s="1"/>
  <c r="U22" i="2"/>
  <c r="D22" i="2"/>
  <c r="D17" i="2"/>
  <c r="G60" i="2"/>
  <c r="I60" i="2"/>
  <c r="G41" i="2"/>
  <c r="G47" i="2" s="1"/>
  <c r="G52" i="2" s="1"/>
  <c r="I41" i="2"/>
  <c r="I47" i="2" s="1"/>
  <c r="I52" i="2" s="1"/>
  <c r="I25" i="2"/>
  <c r="G68" i="2" l="1"/>
  <c r="G71" i="2" s="1"/>
  <c r="H71" i="2"/>
  <c r="I68" i="2"/>
  <c r="I73" i="2" s="1"/>
  <c r="I74" i="2" s="1"/>
  <c r="G9" i="2"/>
  <c r="G20" i="2" s="1"/>
  <c r="I9" i="2"/>
  <c r="I20" i="2" s="1"/>
  <c r="C11" i="1"/>
  <c r="AH23" i="2" s="1"/>
  <c r="C8" i="1"/>
  <c r="C33" i="1" s="1"/>
  <c r="AH24" i="2" l="1"/>
  <c r="AH25" i="2" s="1"/>
  <c r="G73" i="2"/>
  <c r="G74" i="2" s="1"/>
  <c r="I71" i="2"/>
  <c r="C12" i="1"/>
  <c r="I11" i="2"/>
  <c r="G11" i="2"/>
  <c r="AH30" i="2" l="1"/>
  <c r="AH26" i="2"/>
  <c r="C36" i="1"/>
  <c r="C35" i="1"/>
  <c r="G21" i="2"/>
  <c r="G14" i="2"/>
  <c r="I21" i="2"/>
  <c r="I14" i="2"/>
  <c r="I16" i="2" l="1"/>
  <c r="I17" i="2" s="1"/>
  <c r="I23" i="2"/>
  <c r="G16" i="2"/>
  <c r="G22" i="2" s="1"/>
  <c r="G23" i="2"/>
  <c r="G17" i="2" l="1"/>
  <c r="I22" i="2"/>
</calcChain>
</file>

<file path=xl/sharedStrings.xml><?xml version="1.0" encoding="utf-8"?>
<sst xmlns="http://schemas.openxmlformats.org/spreadsheetml/2006/main" count="171" uniqueCount="137">
  <si>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</si>
  <si>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</si>
  <si>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</si>
  <si>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</si>
  <si>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</si>
  <si>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</si>
  <si>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</si>
  <si>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</si>
  <si>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</si>
  <si>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</si>
  <si>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</si>
  <si>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</si>
  <si>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</si>
  <si>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</si>
  <si>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</si>
  <si>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</si>
  <si>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</si>
  <si>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</si>
  <si>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</si>
  <si>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</si>
  <si>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</si>
  <si>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</si>
  <si>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</si>
  <si>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</si>
  <si>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</si>
  <si>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</si>
  <si>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</si>
  <si>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</si>
  <si>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</si>
  <si>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</si>
  <si>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</si>
  <si>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</si>
  <si>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</si>
  <si>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</si>
  <si>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</si>
  <si>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</si>
  <si>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</si>
  <si>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</si>
  <si>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</si>
  <si>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</si>
  <si>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</si>
  <si>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</si>
  <si>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</si>
  <si>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</si>
  <si>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</si>
  <si>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</si>
  <si>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</si>
  <si>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</si>
  <si>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</si>
  <si>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</si>
  <si>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</si>
  <si>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</si>
  <si>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</si>
  <si>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</si>
  <si>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</si>
  <si>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</si>
  <si>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</si>
  <si>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</si>
  <si>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</si>
  <si>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</si>
  <si>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</si>
  <si>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</si>
  <si>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</si>
  <si>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</si>
  <si>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</si>
  <si>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</si>
  <si>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</si>
  <si>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</si>
  <si>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</si>
  <si>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</si>
  <si>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</si>
  <si>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</si>
  <si>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</si>
  <si>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</si>
  <si>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</si>
  <si>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</si>
  <si>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</si>
  <si>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</si>
  <si>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</si>
  <si>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</si>
  <si>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</si>
  <si>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</si>
  <si>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</si>
  <si>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</si>
  <si>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</si>
  <si>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</si>
  <si>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</si>
  <si>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</si>
  <si>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</si>
  <si>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</si>
  <si>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</si>
  <si>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</si>
  <si>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</si>
  <si>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</si>
  <si>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</si>
  <si>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</si>
  <si>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</si>
  <si>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</si>
  <si>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</si>
  <si>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</si>
  <si>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</si>
  <si>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</si>
  <si>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</si>
  <si>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</si>
  <si>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</si>
  <si>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</si>
  <si>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</si>
  <si>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</si>
  <si>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</si>
  <si>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</si>
  <si>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</si>
  <si>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</si>
  <si>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</si>
  <si>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</si>
  <si>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Non-Finance Metrics</t>
  </si>
  <si>
    <t>Employees</t>
  </si>
  <si>
    <t>Emply.</t>
  </si>
  <si>
    <t>Sage acquires supply-chain software platform Anvyl</t>
  </si>
  <si>
    <t>Sage acquires French company Infineo who specialise in SMB accounting, financial, HR &amp; payroll</t>
  </si>
  <si>
    <t>H124</t>
  </si>
  <si>
    <t>North America</t>
  </si>
  <si>
    <t>UK &amp; Ireland</t>
  </si>
  <si>
    <t>Europe</t>
  </si>
  <si>
    <t>Africa &amp; APAC</t>
  </si>
  <si>
    <t>Employees Y/Y</t>
  </si>
  <si>
    <t>Cashflow Statement</t>
  </si>
  <si>
    <t>CFFO</t>
  </si>
  <si>
    <t>CapEx</t>
  </si>
  <si>
    <t>FCF</t>
  </si>
  <si>
    <t>Northern Europe</t>
  </si>
  <si>
    <t>International</t>
  </si>
  <si>
    <t>FCF per Share</t>
  </si>
  <si>
    <t>P/FCF</t>
  </si>
  <si>
    <t>H224</t>
  </si>
  <si>
    <t>North America Y/Y</t>
  </si>
  <si>
    <t>Northern Europe Y/Y</t>
  </si>
  <si>
    <t>International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</si>
</sst>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  <font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0" borderId="0" xfId="0" applyNumberFormat="1" applyFont="1"/>
    <xf numFmtId="166" fontId="9" fillId="0" borderId="0" xfId="0" applyNumberFormat="1" applyFont="1"/>
    <xf numFmtId="9" fontId="9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3" fontId="12" fillId="0" borderId="0" xfId="0" applyNumberFormat="1" applyFont="1" applyAlignment="1">
      <alignment horizontal="left" indent="1"/>
    </xf>
    <xf numFmtId="3" fontId="12" fillId="0" borderId="0" xfId="0" applyNumberFormat="1" applyFont="1"/>
    <xf numFmtId="3" fontId="12" fillId="5" borderId="0" xfId="0" applyNumberFormat="1" applyFont="1" applyFill="1"/>
    <xf numFmtId="0" fontId="13" fillId="0" borderId="0" xfId="0" applyFont="1"/>
    <xf numFmtId="0" fontId="13" fillId="5" borderId="0" xfId="0" applyFont="1" applyFill="1"/>
    <xf numFmtId="0" fontId="14" fillId="0" borderId="0" xfId="0" applyFont="1"/>
    <xf numFmtId="9" fontId="13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5" borderId="0" xfId="0" applyNumberFormat="1" applyFont="1" applyFill="1"/>
    <xf numFmtId="165" fontId="9" fillId="0" borderId="0" xfId="0" applyNumberFormat="1" applyFont="1"/>
    <xf numFmtId="0" fontId="9" fillId="0" borderId="0" xfId="0" applyFont="1" applyAlignment="1">
      <alignment horizontal="left" indent="1"/>
    </xf>
    <xf numFmtId="9" fontId="15" fillId="5" borderId="0" xfId="0" applyNumberFormat="1" applyFont="1" applyFill="1"/>
    <xf numFmtId="9" fontId="15" fillId="0" borderId="0" xfId="0" applyNumberFormat="1" applyFont="1"/>
    <xf numFmtId="9" fontId="15" fillId="0" borderId="8" xfId="0" applyNumberFormat="1" applyFont="1" applyBorder="1"/>
    <xf numFmtId="9" fontId="15" fillId="0" borderId="5" xfId="0" applyNumberFormat="1" applyFont="1" applyBorder="1"/>
    <xf numFmtId="9" fontId="15" fillId="0" borderId="0" xfId="0" applyNumberFormat="1" applyFont="1" applyAlignment="1">
      <alignment horizontal="left" indent="2"/>
    </xf>
    <xf numFmtId="9" fontId="15" fillId="0" borderId="0" xfId="0" applyNumberFormat="1" applyFont="1" applyAlignment="1">
      <alignment horizontal="right"/>
    </xf>
    <xf numFmtId="9" fontId="12" fillId="0" borderId="0" xfId="0" applyNumberFormat="1" applyFont="1"/>
    <xf numFmtId="9" fontId="15" fillId="3" borderId="6" xfId="0" applyNumberFormat="1" applyFont="1" applyFill="1" applyBorder="1"/>
    <xf numFmtId="9" fontId="15" fillId="3" borderId="4" xfId="0" applyNumberFormat="1" applyFont="1" applyFill="1" applyBorder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0</xdr:rowOff>
    </xdr:from>
    <xdr:to>
      <xdr:col>13</xdr:col>
      <xdr:colOff>15875</xdr:colOff>
      <xdr:row>108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8778875" y="0"/>
          <a:ext cx="0" cy="17068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0</xdr:rowOff>
    </xdr:from>
    <xdr:to>
      <xdr:col>23</xdr:col>
      <xdr:colOff>19050</xdr:colOff>
      <xdr:row>108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878050" y="0"/>
          <a:ext cx="0" cy="17078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Downloads/sage-annual-report-2023.pdf" TargetMode="External"/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hyperlink" Target="https://www.sage.com/investors/-/media/files/investors/documents/pdf/downloads/results/half%20year%202024%20results/half%20year%202024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hyperlink" Target="../../../Downloads/Half%20Year%202023%20Results%20press%20release.pdf" TargetMode="External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104" t="s">
        <v>93</v>
      </c>
      <c r="H2" s="104"/>
      <c r="I2" s="104"/>
      <c r="J2" s="104"/>
      <c r="K2" s="104"/>
      <c r="L2" s="104"/>
    </row>
    <row r="3" spans="1:24" x14ac:dyDescent="0.2">
      <c r="B3" s="2" t="s">
        <v>1</v>
      </c>
    </row>
    <row r="5" spans="1:24" x14ac:dyDescent="0.2">
      <c r="B5" s="98" t="s">
        <v>2</v>
      </c>
      <c r="C5" s="99"/>
      <c r="D5" s="100"/>
      <c r="H5" s="98" t="s">
        <v>94</v>
      </c>
      <c r="I5" s="99"/>
      <c r="J5" s="99"/>
      <c r="K5" s="99"/>
      <c r="L5" s="99"/>
      <c r="M5" s="99"/>
      <c r="N5" s="99"/>
      <c r="O5" s="99"/>
      <c r="P5" s="99"/>
      <c r="Q5" s="100"/>
      <c r="T5" s="98" t="s">
        <v>95</v>
      </c>
      <c r="U5" s="99"/>
      <c r="V5" s="99"/>
      <c r="W5" s="99"/>
      <c r="X5" s="100"/>
    </row>
    <row r="6" spans="1:24" x14ac:dyDescent="0.2">
      <c r="B6" s="4" t="s">
        <v>3</v>
      </c>
      <c r="C6" s="46">
        <v>10.64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f>'Financial Model'!M18</f>
        <v>1016</v>
      </c>
      <c r="D7" s="14" t="str">
        <f>+$C$27</f>
        <v>H124</v>
      </c>
      <c r="H7" s="69">
        <v>45566</v>
      </c>
      <c r="I7" s="7" t="s">
        <v>117</v>
      </c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10810.24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'Financial Model'!M76</f>
        <v>467</v>
      </c>
      <c r="D9" s="14" t="str">
        <f t="shared" ref="D9:D11" si="0">+$C$27</f>
        <v>H124</v>
      </c>
      <c r="H9" s="69">
        <v>45536</v>
      </c>
      <c r="I9" s="7" t="s">
        <v>118</v>
      </c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'Financial Model'!M77</f>
        <v>1259</v>
      </c>
      <c r="D10" s="14" t="str">
        <f t="shared" si="0"/>
        <v>H124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-792</v>
      </c>
      <c r="D11" s="14" t="str">
        <f t="shared" si="0"/>
        <v>H124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11602.24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98" t="s">
        <v>10</v>
      </c>
      <c r="C15" s="99"/>
      <c r="D15" s="100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94" t="s">
        <v>24</v>
      </c>
      <c r="D16" s="95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94" t="s">
        <v>27</v>
      </c>
      <c r="D17" s="95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94" t="s">
        <v>29</v>
      </c>
      <c r="D18" s="95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96" t="s">
        <v>97</v>
      </c>
      <c r="D19" s="97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98" t="s">
        <v>14</v>
      </c>
      <c r="C22" s="99"/>
      <c r="D22" s="100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94" t="s">
        <v>30</v>
      </c>
      <c r="D23" s="95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94">
        <v>1981</v>
      </c>
      <c r="D24" s="95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94">
        <v>1989</v>
      </c>
      <c r="D25" s="95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 t="s">
        <v>116</v>
      </c>
      <c r="C26" s="103">
        <f>+'Financial Model'!W33</f>
        <v>11565</v>
      </c>
      <c r="D26" s="95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119</v>
      </c>
      <c r="D27" s="20">
        <f>+'Financial Model'!M3</f>
        <v>45428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101" t="s">
        <v>19</v>
      </c>
      <c r="D28" s="102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98" t="s">
        <v>20</v>
      </c>
      <c r="C31" s="99"/>
      <c r="D31" s="100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90">
        <f>C6/SUM('Financial Model'!L17:M17)</f>
        <v>28.144193739407427</v>
      </c>
      <c r="D32" s="91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90">
        <f>C8/SUM('Financial Model'!L7:M7)</f>
        <v>4.8066874166296127</v>
      </c>
      <c r="D33" s="91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90">
        <f>C6/'Financial Model'!M74</f>
        <v>9.9358823529411762</v>
      </c>
      <c r="D34" s="91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90">
        <f>C12/SUM('Financial Model'!L7:M7)</f>
        <v>5.1588439306358378</v>
      </c>
      <c r="D35" s="91"/>
    </row>
    <row r="36" spans="2:17" x14ac:dyDescent="0.2">
      <c r="B36" s="13" t="s">
        <v>106</v>
      </c>
      <c r="C36" s="92">
        <f>C12/SUM('Financial Model'!L16:M16)</f>
        <v>30.135688311688313</v>
      </c>
      <c r="D36" s="93"/>
    </row>
  </sheetData>
  <mergeCells count="21">
    <mergeCell ref="G2:L2"/>
    <mergeCell ref="H5:Q5"/>
    <mergeCell ref="T5:X5"/>
    <mergeCell ref="B31:D31"/>
    <mergeCell ref="C32:D32"/>
    <mergeCell ref="B5:D5"/>
    <mergeCell ref="B15:D15"/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96"/>
  <sheetViews>
    <sheetView tabSelected="1" zoomScaleNormal="100"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R26" sqref="R26:R28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23" width="9.140625" style="1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4" t="s">
        <v>102</v>
      </c>
      <c r="L1" s="22" t="s">
        <v>105</v>
      </c>
      <c r="M1" s="24" t="s">
        <v>119</v>
      </c>
      <c r="N1" s="21" t="s">
        <v>133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4" t="s">
        <v>60</v>
      </c>
      <c r="X1" s="53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  <c r="AE1" s="53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K2" s="29">
        <v>45016</v>
      </c>
      <c r="L2" s="37">
        <f>W2</f>
        <v>45199</v>
      </c>
      <c r="M2" s="29">
        <v>45382</v>
      </c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29">
        <v>45199</v>
      </c>
      <c r="X2" s="54"/>
      <c r="Y2" s="54"/>
      <c r="Z2" s="54"/>
      <c r="AA2" s="54"/>
      <c r="AB2" s="54"/>
      <c r="AC2" s="54"/>
      <c r="AD2" s="54"/>
      <c r="AE2" s="54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K3" s="28">
        <v>45063</v>
      </c>
      <c r="L3" s="43">
        <f>W3</f>
        <v>45252</v>
      </c>
      <c r="M3" s="28">
        <v>45428</v>
      </c>
      <c r="S3" s="28">
        <v>43789</v>
      </c>
      <c r="U3" s="28">
        <v>44517</v>
      </c>
      <c r="V3" s="28">
        <v>44881</v>
      </c>
      <c r="W3" s="28">
        <v>45252</v>
      </c>
      <c r="X3" s="54"/>
      <c r="Y3" s="54"/>
      <c r="Z3" s="54"/>
      <c r="AA3" s="54"/>
      <c r="AB3" s="54"/>
      <c r="AC3" s="54"/>
      <c r="AD3" s="54"/>
      <c r="AE3" s="54"/>
    </row>
    <row r="4" spans="2:78" s="38" customFormat="1" x14ac:dyDescent="0.2">
      <c r="B4" s="80" t="s">
        <v>120</v>
      </c>
      <c r="D4" s="40"/>
      <c r="F4" s="40"/>
      <c r="H4" s="40"/>
      <c r="J4" s="40"/>
      <c r="K4" s="39">
        <v>483</v>
      </c>
      <c r="L4" s="40">
        <f>+W4-K4</f>
        <v>490</v>
      </c>
      <c r="M4" s="39">
        <v>520</v>
      </c>
      <c r="N4" s="39"/>
      <c r="R4" s="39">
        <v>574</v>
      </c>
      <c r="S4" s="39">
        <v>657</v>
      </c>
      <c r="T4" s="39">
        <v>692</v>
      </c>
      <c r="U4" s="39">
        <v>687</v>
      </c>
      <c r="V4" s="39">
        <v>818</v>
      </c>
      <c r="W4" s="39">
        <v>973</v>
      </c>
      <c r="X4" s="39"/>
      <c r="Y4" s="39"/>
      <c r="Z4" s="39"/>
      <c r="AA4" s="39"/>
      <c r="AB4" s="39"/>
      <c r="AC4" s="39"/>
      <c r="AD4" s="39"/>
      <c r="AE4" s="39"/>
    </row>
    <row r="5" spans="2:78" s="38" customFormat="1" x14ac:dyDescent="0.2">
      <c r="B5" s="80" t="s">
        <v>129</v>
      </c>
      <c r="D5" s="40"/>
      <c r="F5" s="40"/>
      <c r="H5" s="40"/>
      <c r="J5" s="40"/>
      <c r="K5" s="39">
        <v>311</v>
      </c>
      <c r="L5" s="40">
        <f>+W5-K5</f>
        <v>316</v>
      </c>
      <c r="M5" s="39">
        <v>328</v>
      </c>
      <c r="N5" s="39"/>
      <c r="R5" s="39">
        <v>380</v>
      </c>
      <c r="S5" s="39">
        <v>406</v>
      </c>
      <c r="T5" s="39">
        <v>412</v>
      </c>
      <c r="U5" s="39">
        <v>402</v>
      </c>
      <c r="V5" s="39">
        <v>586</v>
      </c>
      <c r="W5" s="39">
        <v>627</v>
      </c>
      <c r="X5" s="39"/>
      <c r="Y5" s="39"/>
      <c r="Z5" s="39"/>
      <c r="AA5" s="39"/>
      <c r="AB5" s="39"/>
      <c r="AC5" s="39"/>
      <c r="AD5" s="39"/>
      <c r="AE5" s="39"/>
    </row>
    <row r="6" spans="2:78" s="38" customFormat="1" x14ac:dyDescent="0.2">
      <c r="B6" s="80" t="s">
        <v>130</v>
      </c>
      <c r="D6" s="40"/>
      <c r="F6" s="40"/>
      <c r="H6" s="40"/>
      <c r="J6" s="40"/>
      <c r="K6" s="39">
        <v>293</v>
      </c>
      <c r="L6" s="40">
        <f>+W6-K6</f>
        <v>291</v>
      </c>
      <c r="M6" s="39">
        <v>304</v>
      </c>
      <c r="N6" s="39"/>
      <c r="R6" s="39">
        <f>625+267</f>
        <v>892</v>
      </c>
      <c r="S6" s="39">
        <f>605+265</f>
        <v>870</v>
      </c>
      <c r="T6" s="39">
        <v>799</v>
      </c>
      <c r="U6" s="39">
        <v>757</v>
      </c>
      <c r="V6" s="39">
        <v>543</v>
      </c>
      <c r="W6" s="39">
        <v>584</v>
      </c>
      <c r="X6" s="39"/>
      <c r="Y6" s="39"/>
      <c r="Z6" s="39"/>
      <c r="AA6" s="39"/>
      <c r="AB6" s="39"/>
      <c r="AC6" s="39"/>
      <c r="AD6" s="39"/>
      <c r="AE6" s="39"/>
    </row>
    <row r="7" spans="2:78" s="2" customFormat="1" x14ac:dyDescent="0.2">
      <c r="B7" s="2" t="s">
        <v>39</v>
      </c>
      <c r="C7" s="2">
        <v>957</v>
      </c>
      <c r="D7" s="36">
        <f>S7-C7</f>
        <v>979</v>
      </c>
      <c r="E7" s="2">
        <v>975</v>
      </c>
      <c r="F7" s="36">
        <f>T7-E7</f>
        <v>928</v>
      </c>
      <c r="G7" s="2">
        <v>937</v>
      </c>
      <c r="H7" s="36">
        <f>U7-G7</f>
        <v>909</v>
      </c>
      <c r="I7" s="2">
        <v>934</v>
      </c>
      <c r="J7" s="36">
        <f>V7-I7</f>
        <v>1013</v>
      </c>
      <c r="K7" s="35">
        <v>1087</v>
      </c>
      <c r="L7" s="36">
        <f>W7-K7</f>
        <v>1097</v>
      </c>
      <c r="M7" s="35">
        <v>1152</v>
      </c>
      <c r="N7" s="35">
        <f>M7*(1+N29)</f>
        <v>1209.6000000000001</v>
      </c>
      <c r="O7" s="35"/>
      <c r="R7" s="35">
        <v>1846</v>
      </c>
      <c r="S7" s="35">
        <v>1936</v>
      </c>
      <c r="T7" s="35">
        <v>1903</v>
      </c>
      <c r="U7" s="35">
        <v>1846</v>
      </c>
      <c r="V7" s="35">
        <v>1947</v>
      </c>
      <c r="W7" s="35">
        <v>2184</v>
      </c>
      <c r="X7" s="55">
        <f>N7+M7</f>
        <v>2361.6000000000004</v>
      </c>
      <c r="Y7" s="55">
        <f t="shared" ref="Y7:AE7" si="0">X7*(1+Y25)</f>
        <v>2479.6800000000003</v>
      </c>
      <c r="Z7" s="55">
        <f t="shared" si="0"/>
        <v>2603.6640000000002</v>
      </c>
      <c r="AA7" s="55">
        <f t="shared" si="0"/>
        <v>2733.8472000000002</v>
      </c>
      <c r="AB7" s="55">
        <f t="shared" si="0"/>
        <v>2843.2010880000003</v>
      </c>
      <c r="AC7" s="55">
        <f t="shared" si="0"/>
        <v>2928.4971206400005</v>
      </c>
      <c r="AD7" s="55">
        <f t="shared" si="0"/>
        <v>2987.0670630528007</v>
      </c>
      <c r="AE7" s="55">
        <f t="shared" si="0"/>
        <v>3016.9377336833286</v>
      </c>
    </row>
    <row r="8" spans="2:78" x14ac:dyDescent="0.2">
      <c r="B8" s="1" t="s">
        <v>40</v>
      </c>
      <c r="C8" s="1">
        <v>70</v>
      </c>
      <c r="D8" s="33">
        <f>S8-C8</f>
        <v>68</v>
      </c>
      <c r="E8" s="1">
        <v>64</v>
      </c>
      <c r="F8" s="33">
        <f>T8-E8</f>
        <v>62</v>
      </c>
      <c r="G8" s="1">
        <v>72</v>
      </c>
      <c r="H8" s="33">
        <f>U8-G8</f>
        <v>59</v>
      </c>
      <c r="I8" s="1">
        <v>68</v>
      </c>
      <c r="J8" s="33">
        <f>V8-I8</f>
        <v>70</v>
      </c>
      <c r="K8" s="32">
        <v>76</v>
      </c>
      <c r="L8" s="33">
        <f>W8-K8</f>
        <v>80</v>
      </c>
      <c r="M8" s="32">
        <v>82</v>
      </c>
      <c r="N8" s="32"/>
      <c r="R8" s="32">
        <v>130</v>
      </c>
      <c r="S8" s="32">
        <v>138</v>
      </c>
      <c r="T8" s="32">
        <v>126</v>
      </c>
      <c r="U8" s="32">
        <v>131</v>
      </c>
      <c r="V8" s="32">
        <v>138</v>
      </c>
      <c r="W8" s="32">
        <v>156</v>
      </c>
      <c r="X8" s="39">
        <f t="shared" ref="X8:AE8" si="1">X7-X9</f>
        <v>165.3119999999999</v>
      </c>
      <c r="Y8" s="39">
        <f t="shared" si="1"/>
        <v>173.57760000000007</v>
      </c>
      <c r="Z8" s="39">
        <f t="shared" si="1"/>
        <v>182.25648000000001</v>
      </c>
      <c r="AA8" s="39">
        <f t="shared" si="1"/>
        <v>191.36930399999983</v>
      </c>
      <c r="AB8" s="39">
        <f t="shared" si="1"/>
        <v>199.02407615999982</v>
      </c>
      <c r="AC8" s="39">
        <f t="shared" si="1"/>
        <v>204.99479844479993</v>
      </c>
      <c r="AD8" s="39">
        <f t="shared" si="1"/>
        <v>209.09469441369583</v>
      </c>
      <c r="AE8" s="39">
        <f t="shared" si="1"/>
        <v>211.18564135783299</v>
      </c>
    </row>
    <row r="9" spans="2:78" s="2" customFormat="1" x14ac:dyDescent="0.2">
      <c r="B9" s="2" t="s">
        <v>41</v>
      </c>
      <c r="C9" s="2">
        <f t="shared" ref="C9:M9" si="2">C7-C8</f>
        <v>887</v>
      </c>
      <c r="D9" s="36">
        <f t="shared" si="2"/>
        <v>911</v>
      </c>
      <c r="E9" s="2">
        <f t="shared" si="2"/>
        <v>911</v>
      </c>
      <c r="F9" s="36">
        <f t="shared" si="2"/>
        <v>866</v>
      </c>
      <c r="G9" s="2">
        <f t="shared" si="2"/>
        <v>865</v>
      </c>
      <c r="H9" s="36">
        <f t="shared" si="2"/>
        <v>850</v>
      </c>
      <c r="I9" s="2">
        <f t="shared" si="2"/>
        <v>866</v>
      </c>
      <c r="J9" s="36">
        <f t="shared" si="2"/>
        <v>943</v>
      </c>
      <c r="K9" s="35">
        <f t="shared" si="2"/>
        <v>1011</v>
      </c>
      <c r="L9" s="36">
        <f t="shared" si="2"/>
        <v>1017</v>
      </c>
      <c r="M9" s="35">
        <f t="shared" si="2"/>
        <v>1070</v>
      </c>
      <c r="N9" s="35"/>
      <c r="R9" s="35">
        <f t="shared" ref="R9:W9" si="3">R7-R8</f>
        <v>1716</v>
      </c>
      <c r="S9" s="35">
        <f t="shared" si="3"/>
        <v>1798</v>
      </c>
      <c r="T9" s="35">
        <f t="shared" si="3"/>
        <v>1777</v>
      </c>
      <c r="U9" s="35">
        <f t="shared" si="3"/>
        <v>1715</v>
      </c>
      <c r="V9" s="35">
        <f t="shared" si="3"/>
        <v>1809</v>
      </c>
      <c r="W9" s="35">
        <f t="shared" si="3"/>
        <v>2028</v>
      </c>
      <c r="X9" s="55">
        <f t="shared" ref="X9:AE9" si="4">X7*X20</f>
        <v>2196.2880000000005</v>
      </c>
      <c r="Y9" s="55">
        <f t="shared" si="4"/>
        <v>2306.1024000000002</v>
      </c>
      <c r="Z9" s="55">
        <f t="shared" si="4"/>
        <v>2421.4075200000002</v>
      </c>
      <c r="AA9" s="55">
        <f t="shared" si="4"/>
        <v>2542.4778960000003</v>
      </c>
      <c r="AB9" s="55">
        <f t="shared" si="4"/>
        <v>2644.1770118400004</v>
      </c>
      <c r="AC9" s="55">
        <f t="shared" si="4"/>
        <v>2723.5023221952006</v>
      </c>
      <c r="AD9" s="55">
        <f t="shared" si="4"/>
        <v>2777.9723686391048</v>
      </c>
      <c r="AE9" s="55">
        <f t="shared" si="4"/>
        <v>2805.7520923254956</v>
      </c>
    </row>
    <row r="10" spans="2:78" x14ac:dyDescent="0.2">
      <c r="B10" s="1" t="s">
        <v>42</v>
      </c>
      <c r="C10" s="1">
        <v>677</v>
      </c>
      <c r="D10" s="33">
        <f>S10-C10</f>
        <v>739</v>
      </c>
      <c r="E10" s="1">
        <v>622</v>
      </c>
      <c r="F10" s="33">
        <f>T10-E10</f>
        <v>751</v>
      </c>
      <c r="G10" s="1">
        <v>662</v>
      </c>
      <c r="H10" s="33">
        <f>U10-G10</f>
        <v>680</v>
      </c>
      <c r="I10" s="1">
        <v>662</v>
      </c>
      <c r="J10" s="33">
        <f>V10-I10</f>
        <v>780</v>
      </c>
      <c r="K10" s="32">
        <v>854</v>
      </c>
      <c r="L10" s="33">
        <f>W10-K10</f>
        <v>718</v>
      </c>
      <c r="M10" s="32">
        <v>855</v>
      </c>
      <c r="N10" s="32"/>
      <c r="R10" s="32">
        <v>1289</v>
      </c>
      <c r="S10" s="32">
        <v>1416</v>
      </c>
      <c r="T10" s="32">
        <v>1373</v>
      </c>
      <c r="U10" s="32">
        <v>1342</v>
      </c>
      <c r="V10" s="32">
        <v>1442</v>
      </c>
      <c r="W10" s="32">
        <v>1572</v>
      </c>
      <c r="X10" s="39">
        <f t="shared" ref="X10:AE10" si="5">X9-X11</f>
        <v>1723.9680000000003</v>
      </c>
      <c r="Y10" s="39">
        <f t="shared" si="5"/>
        <v>1810.1664000000001</v>
      </c>
      <c r="Z10" s="39">
        <f t="shared" si="5"/>
        <v>1900.67472</v>
      </c>
      <c r="AA10" s="39">
        <f t="shared" si="5"/>
        <v>1995.7084560000003</v>
      </c>
      <c r="AB10" s="39">
        <f t="shared" si="5"/>
        <v>2075.5367942400003</v>
      </c>
      <c r="AC10" s="39">
        <f t="shared" si="5"/>
        <v>2137.8028980672007</v>
      </c>
      <c r="AD10" s="39">
        <f t="shared" si="5"/>
        <v>2180.5589560285448</v>
      </c>
      <c r="AE10" s="39">
        <f t="shared" si="5"/>
        <v>2202.36454558883</v>
      </c>
    </row>
    <row r="11" spans="2:78" s="2" customFormat="1" x14ac:dyDescent="0.2">
      <c r="B11" s="2" t="s">
        <v>43</v>
      </c>
      <c r="C11" s="2">
        <f t="shared" ref="C11:L11" si="6">C9-C10</f>
        <v>210</v>
      </c>
      <c r="D11" s="36">
        <f t="shared" si="6"/>
        <v>172</v>
      </c>
      <c r="E11" s="2">
        <f t="shared" si="6"/>
        <v>289</v>
      </c>
      <c r="F11" s="36">
        <f t="shared" si="6"/>
        <v>115</v>
      </c>
      <c r="G11" s="2">
        <f t="shared" si="6"/>
        <v>203</v>
      </c>
      <c r="H11" s="36">
        <f t="shared" si="6"/>
        <v>170</v>
      </c>
      <c r="I11" s="2">
        <f t="shared" si="6"/>
        <v>204</v>
      </c>
      <c r="J11" s="36">
        <f t="shared" si="6"/>
        <v>163</v>
      </c>
      <c r="K11" s="35">
        <f t="shared" si="6"/>
        <v>157</v>
      </c>
      <c r="L11" s="36">
        <f t="shared" si="6"/>
        <v>299</v>
      </c>
      <c r="M11" s="35">
        <f t="shared" ref="M11" si="7">M9-M10</f>
        <v>215</v>
      </c>
      <c r="N11" s="35"/>
      <c r="R11" s="35">
        <f>R9-R10</f>
        <v>427</v>
      </c>
      <c r="S11" s="35">
        <f>S9-S10</f>
        <v>382</v>
      </c>
      <c r="T11" s="35">
        <f>T9-T10</f>
        <v>404</v>
      </c>
      <c r="U11" s="35">
        <f>U9-U10</f>
        <v>373</v>
      </c>
      <c r="V11" s="35">
        <f>V9-V10</f>
        <v>367</v>
      </c>
      <c r="W11" s="35">
        <f t="shared" ref="W11" si="8">W9-W10</f>
        <v>456</v>
      </c>
      <c r="X11" s="55">
        <f t="shared" ref="X11:AE11" si="9">X7*X21</f>
        <v>472.32000000000011</v>
      </c>
      <c r="Y11" s="55">
        <f t="shared" si="9"/>
        <v>495.93600000000009</v>
      </c>
      <c r="Z11" s="55">
        <f t="shared" si="9"/>
        <v>520.73280000000011</v>
      </c>
      <c r="AA11" s="55">
        <f t="shared" si="9"/>
        <v>546.76944000000003</v>
      </c>
      <c r="AB11" s="55">
        <f t="shared" si="9"/>
        <v>568.64021760000003</v>
      </c>
      <c r="AC11" s="55">
        <f t="shared" si="9"/>
        <v>585.69942412800015</v>
      </c>
      <c r="AD11" s="55">
        <f t="shared" si="9"/>
        <v>597.41341261056016</v>
      </c>
      <c r="AE11" s="55">
        <f t="shared" si="9"/>
        <v>603.38754673666574</v>
      </c>
    </row>
    <row r="12" spans="2:78" x14ac:dyDescent="0.2">
      <c r="B12" s="1" t="s">
        <v>44</v>
      </c>
      <c r="C12" s="1">
        <v>4</v>
      </c>
      <c r="D12" s="33">
        <f>S12-C12</f>
        <v>4</v>
      </c>
      <c r="E12" s="1">
        <v>2</v>
      </c>
      <c r="F12" s="33">
        <f>T12-E12</f>
        <v>1</v>
      </c>
      <c r="G12" s="1">
        <v>1</v>
      </c>
      <c r="H12" s="33">
        <f>U12-G12</f>
        <v>0</v>
      </c>
      <c r="I12" s="1">
        <v>0</v>
      </c>
      <c r="J12" s="33">
        <f t="shared" ref="J12:J13" si="10">V12-I12</f>
        <v>1</v>
      </c>
      <c r="K12" s="32">
        <v>4</v>
      </c>
      <c r="L12" s="33">
        <f>W12-K12</f>
        <v>8</v>
      </c>
      <c r="M12" s="32">
        <v>10</v>
      </c>
      <c r="N12" s="32"/>
      <c r="R12" s="32">
        <v>5</v>
      </c>
      <c r="S12" s="32">
        <v>8</v>
      </c>
      <c r="T12" s="32">
        <v>3</v>
      </c>
      <c r="U12" s="32">
        <v>1</v>
      </c>
      <c r="V12" s="32">
        <v>1</v>
      </c>
      <c r="W12" s="32">
        <v>12</v>
      </c>
      <c r="X12" s="39">
        <f t="shared" ref="X12:AE12" si="11">AVERAGE(S12:W12)</f>
        <v>5</v>
      </c>
      <c r="Y12" s="39">
        <f t="shared" si="11"/>
        <v>4.4000000000000004</v>
      </c>
      <c r="Z12" s="39">
        <f t="shared" si="11"/>
        <v>4.68</v>
      </c>
      <c r="AA12" s="39">
        <f t="shared" si="11"/>
        <v>5.4159999999999995</v>
      </c>
      <c r="AB12" s="39">
        <f t="shared" si="11"/>
        <v>6.2991999999999999</v>
      </c>
      <c r="AC12" s="39">
        <f t="shared" si="11"/>
        <v>5.1590399999999992</v>
      </c>
      <c r="AD12" s="39">
        <f t="shared" si="11"/>
        <v>5.1908479999999999</v>
      </c>
      <c r="AE12" s="39">
        <f t="shared" si="11"/>
        <v>5.3490175999999998</v>
      </c>
    </row>
    <row r="13" spans="2:78" x14ac:dyDescent="0.2">
      <c r="B13" s="1" t="s">
        <v>45</v>
      </c>
      <c r="C13" s="1">
        <v>16</v>
      </c>
      <c r="D13" s="33">
        <f>S13-C13</f>
        <v>13</v>
      </c>
      <c r="E13" s="1">
        <v>16</v>
      </c>
      <c r="F13" s="33">
        <f>T13-E13</f>
        <v>18</v>
      </c>
      <c r="G13" s="1">
        <v>14</v>
      </c>
      <c r="H13" s="33">
        <f>U13-G13</f>
        <v>13</v>
      </c>
      <c r="I13" s="1">
        <v>15</v>
      </c>
      <c r="J13" s="33">
        <f t="shared" si="10"/>
        <v>16</v>
      </c>
      <c r="K13" s="32">
        <v>22</v>
      </c>
      <c r="L13" s="33">
        <f>W13-K13</f>
        <v>22</v>
      </c>
      <c r="M13" s="32">
        <v>22</v>
      </c>
      <c r="N13" s="32"/>
      <c r="R13" s="32">
        <v>34</v>
      </c>
      <c r="S13" s="32">
        <v>29</v>
      </c>
      <c r="T13" s="32">
        <v>34</v>
      </c>
      <c r="U13" s="32">
        <v>27</v>
      </c>
      <c r="V13" s="32">
        <v>31</v>
      </c>
      <c r="W13" s="32">
        <v>44</v>
      </c>
      <c r="X13" s="39">
        <f t="shared" ref="X13" si="12">AVERAGE(S13:W13)</f>
        <v>33</v>
      </c>
      <c r="Y13" s="39">
        <f t="shared" ref="Y13" si="13">AVERAGE(T13:X13)</f>
        <v>33.799999999999997</v>
      </c>
      <c r="Z13" s="39">
        <f t="shared" ref="Z13" si="14">AVERAGE(U13:Y13)</f>
        <v>33.760000000000005</v>
      </c>
      <c r="AA13" s="39">
        <f t="shared" ref="AA13" si="15">AVERAGE(V13:Z13)</f>
        <v>35.112000000000002</v>
      </c>
      <c r="AB13" s="39">
        <f t="shared" ref="AB13" si="16">AVERAGE(W13:AA13)</f>
        <v>35.934399999999997</v>
      </c>
      <c r="AC13" s="39">
        <f t="shared" ref="AC13" si="17">AVERAGE(X13:AB13)</f>
        <v>34.321280000000002</v>
      </c>
      <c r="AD13" s="39">
        <f t="shared" ref="AD13" si="18">AVERAGE(Y13:AC13)</f>
        <v>34.585536000000005</v>
      </c>
      <c r="AE13" s="39">
        <f t="shared" ref="AE13" si="19">AVERAGE(Z13:AD13)</f>
        <v>34.742643199999996</v>
      </c>
    </row>
    <row r="14" spans="2:78" x14ac:dyDescent="0.2">
      <c r="B14" s="1" t="s">
        <v>46</v>
      </c>
      <c r="C14" s="1">
        <f t="shared" ref="C14:L14" si="20">C11+C12-C13</f>
        <v>198</v>
      </c>
      <c r="D14" s="33">
        <f t="shared" si="20"/>
        <v>163</v>
      </c>
      <c r="E14" s="1">
        <f t="shared" si="20"/>
        <v>275</v>
      </c>
      <c r="F14" s="33">
        <f t="shared" si="20"/>
        <v>98</v>
      </c>
      <c r="G14" s="1">
        <f t="shared" si="20"/>
        <v>190</v>
      </c>
      <c r="H14" s="33">
        <f t="shared" si="20"/>
        <v>157</v>
      </c>
      <c r="I14" s="1">
        <f t="shared" si="20"/>
        <v>189</v>
      </c>
      <c r="J14" s="33">
        <f t="shared" si="20"/>
        <v>148</v>
      </c>
      <c r="K14" s="32">
        <f t="shared" si="20"/>
        <v>139</v>
      </c>
      <c r="L14" s="33">
        <f t="shared" si="20"/>
        <v>285</v>
      </c>
      <c r="M14" s="32">
        <f t="shared" ref="M14" si="21">M11+M12-M13</f>
        <v>203</v>
      </c>
      <c r="N14" s="32"/>
      <c r="R14" s="32">
        <f t="shared" ref="R14:X14" si="22">R11+R12-R13</f>
        <v>398</v>
      </c>
      <c r="S14" s="32">
        <f t="shared" si="22"/>
        <v>361</v>
      </c>
      <c r="T14" s="32">
        <f t="shared" si="22"/>
        <v>373</v>
      </c>
      <c r="U14" s="32">
        <f t="shared" si="22"/>
        <v>347</v>
      </c>
      <c r="V14" s="32">
        <f t="shared" si="22"/>
        <v>337</v>
      </c>
      <c r="W14" s="32">
        <f t="shared" ref="W14" si="23">W11+W12-W13</f>
        <v>424</v>
      </c>
      <c r="X14" s="39">
        <f t="shared" si="22"/>
        <v>444.32000000000011</v>
      </c>
      <c r="Y14" s="39">
        <f t="shared" ref="Y14:AE14" si="24">Y11+Y12-Y13</f>
        <v>466.53600000000006</v>
      </c>
      <c r="Z14" s="39">
        <f t="shared" si="24"/>
        <v>491.65280000000007</v>
      </c>
      <c r="AA14" s="39">
        <f t="shared" si="24"/>
        <v>517.07344000000012</v>
      </c>
      <c r="AB14" s="39">
        <f t="shared" si="24"/>
        <v>539.00501760000009</v>
      </c>
      <c r="AC14" s="39">
        <f t="shared" si="24"/>
        <v>556.53718412800015</v>
      </c>
      <c r="AD14" s="39">
        <f t="shared" si="24"/>
        <v>568.01872461056007</v>
      </c>
      <c r="AE14" s="39">
        <f t="shared" si="24"/>
        <v>573.99392113666579</v>
      </c>
    </row>
    <row r="15" spans="2:78" x14ac:dyDescent="0.2">
      <c r="B15" s="1" t="s">
        <v>47</v>
      </c>
      <c r="C15" s="1">
        <v>44</v>
      </c>
      <c r="D15" s="33">
        <f>S15-C15</f>
        <v>51</v>
      </c>
      <c r="E15" s="1">
        <v>51</v>
      </c>
      <c r="F15" s="33">
        <f>T15-E15</f>
        <v>12</v>
      </c>
      <c r="G15" s="1">
        <v>44</v>
      </c>
      <c r="H15" s="33">
        <f>U15-G15</f>
        <v>18</v>
      </c>
      <c r="I15" s="1">
        <v>37</v>
      </c>
      <c r="J15" s="33">
        <f>V15-I15</f>
        <v>46</v>
      </c>
      <c r="K15" s="32">
        <v>39</v>
      </c>
      <c r="L15" s="33">
        <f>W15-K15</f>
        <v>56</v>
      </c>
      <c r="M15" s="32">
        <v>47</v>
      </c>
      <c r="N15" s="32"/>
      <c r="R15" s="32">
        <v>103</v>
      </c>
      <c r="S15" s="32">
        <v>95</v>
      </c>
      <c r="T15" s="32">
        <v>63</v>
      </c>
      <c r="U15" s="32">
        <v>62</v>
      </c>
      <c r="V15" s="32">
        <v>83</v>
      </c>
      <c r="W15" s="32">
        <v>95</v>
      </c>
      <c r="X15" s="39">
        <f>X14*X23</f>
        <v>111.08000000000003</v>
      </c>
      <c r="Y15" s="39">
        <f t="shared" ref="Y15:AE15" si="25">Y14*Y23</f>
        <v>116.63400000000001</v>
      </c>
      <c r="Z15" s="39">
        <f t="shared" si="25"/>
        <v>122.91320000000002</v>
      </c>
      <c r="AA15" s="39">
        <f t="shared" si="25"/>
        <v>129.26836000000003</v>
      </c>
      <c r="AB15" s="39">
        <f t="shared" si="25"/>
        <v>134.75125440000002</v>
      </c>
      <c r="AC15" s="39">
        <f t="shared" si="25"/>
        <v>139.13429603200004</v>
      </c>
      <c r="AD15" s="39">
        <f t="shared" si="25"/>
        <v>142.00468115264002</v>
      </c>
      <c r="AE15" s="39">
        <f t="shared" si="25"/>
        <v>143.49848028416645</v>
      </c>
    </row>
    <row r="16" spans="2:78" s="2" customFormat="1" x14ac:dyDescent="0.2">
      <c r="B16" s="2" t="s">
        <v>48</v>
      </c>
      <c r="C16" s="2">
        <f t="shared" ref="C16:L16" si="26">C14-C15</f>
        <v>154</v>
      </c>
      <c r="D16" s="36">
        <f t="shared" si="26"/>
        <v>112</v>
      </c>
      <c r="E16" s="2">
        <f t="shared" si="26"/>
        <v>224</v>
      </c>
      <c r="F16" s="36">
        <f t="shared" si="26"/>
        <v>86</v>
      </c>
      <c r="G16" s="2">
        <f t="shared" si="26"/>
        <v>146</v>
      </c>
      <c r="H16" s="36">
        <f t="shared" si="26"/>
        <v>139</v>
      </c>
      <c r="I16" s="2">
        <f t="shared" si="26"/>
        <v>152</v>
      </c>
      <c r="J16" s="36">
        <f t="shared" si="26"/>
        <v>102</v>
      </c>
      <c r="K16" s="35">
        <f t="shared" si="26"/>
        <v>100</v>
      </c>
      <c r="L16" s="36">
        <f t="shared" si="26"/>
        <v>229</v>
      </c>
      <c r="M16" s="35">
        <f t="shared" ref="M16" si="27">M14-M15</f>
        <v>156</v>
      </c>
      <c r="N16" s="35"/>
      <c r="R16" s="35">
        <f t="shared" ref="R16:X16" si="28">R14-R15</f>
        <v>295</v>
      </c>
      <c r="S16" s="35">
        <f t="shared" si="28"/>
        <v>266</v>
      </c>
      <c r="T16" s="35">
        <f t="shared" si="28"/>
        <v>310</v>
      </c>
      <c r="U16" s="35">
        <f t="shared" si="28"/>
        <v>285</v>
      </c>
      <c r="V16" s="35">
        <f t="shared" si="28"/>
        <v>254</v>
      </c>
      <c r="W16" s="35">
        <f t="shared" ref="W16" si="29">W14-W15</f>
        <v>329</v>
      </c>
      <c r="X16" s="55">
        <f t="shared" si="28"/>
        <v>333.24000000000007</v>
      </c>
      <c r="Y16" s="55">
        <f t="shared" ref="Y16:AE16" si="30">Y14-Y15</f>
        <v>349.90200000000004</v>
      </c>
      <c r="Z16" s="55">
        <f t="shared" si="30"/>
        <v>368.73960000000005</v>
      </c>
      <c r="AA16" s="55">
        <f t="shared" si="30"/>
        <v>387.80508000000009</v>
      </c>
      <c r="AB16" s="55">
        <f t="shared" si="30"/>
        <v>404.25376320000009</v>
      </c>
      <c r="AC16" s="55">
        <f t="shared" si="30"/>
        <v>417.40288809600008</v>
      </c>
      <c r="AD16" s="55">
        <f t="shared" si="30"/>
        <v>426.01404345792002</v>
      </c>
      <c r="AE16" s="55">
        <f t="shared" si="30"/>
        <v>430.49544085249931</v>
      </c>
      <c r="AF16" s="35">
        <f>AE16*(1+$AH$20)</f>
        <v>434.80039526102433</v>
      </c>
      <c r="AG16" s="35">
        <f t="shared" ref="AG16:BZ16" si="31">AF16*(1+$AH$20)</f>
        <v>439.1483992136346</v>
      </c>
      <c r="AH16" s="35">
        <f t="shared" si="31"/>
        <v>443.53988320577093</v>
      </c>
      <c r="AI16" s="35">
        <f t="shared" si="31"/>
        <v>447.97528203782866</v>
      </c>
      <c r="AJ16" s="35">
        <f t="shared" si="31"/>
        <v>452.45503485820694</v>
      </c>
      <c r="AK16" s="35">
        <f t="shared" si="31"/>
        <v>456.97958520678901</v>
      </c>
      <c r="AL16" s="35">
        <f t="shared" si="31"/>
        <v>461.54938105885691</v>
      </c>
      <c r="AM16" s="35">
        <f t="shared" si="31"/>
        <v>466.1648748694455</v>
      </c>
      <c r="AN16" s="35">
        <f t="shared" si="31"/>
        <v>470.82652361813996</v>
      </c>
      <c r="AO16" s="35">
        <f t="shared" si="31"/>
        <v>475.53478885432133</v>
      </c>
      <c r="AP16" s="35">
        <f t="shared" si="31"/>
        <v>480.29013674286455</v>
      </c>
      <c r="AQ16" s="35">
        <f t="shared" si="31"/>
        <v>485.09303811029321</v>
      </c>
      <c r="AR16" s="35">
        <f t="shared" si="31"/>
        <v>489.94396849139616</v>
      </c>
      <c r="AS16" s="35">
        <f t="shared" si="31"/>
        <v>494.84340817631011</v>
      </c>
      <c r="AT16" s="35">
        <f t="shared" si="31"/>
        <v>499.79184225807319</v>
      </c>
      <c r="AU16" s="35">
        <f t="shared" si="31"/>
        <v>504.7897606806539</v>
      </c>
      <c r="AV16" s="35">
        <f t="shared" si="31"/>
        <v>509.83765828746044</v>
      </c>
      <c r="AW16" s="35">
        <f t="shared" si="31"/>
        <v>514.93603487033511</v>
      </c>
      <c r="AX16" s="35">
        <f t="shared" si="31"/>
        <v>520.08539521903845</v>
      </c>
      <c r="AY16" s="35">
        <f t="shared" si="31"/>
        <v>525.28624917122886</v>
      </c>
      <c r="AZ16" s="35">
        <f t="shared" si="31"/>
        <v>530.5391116629412</v>
      </c>
      <c r="BA16" s="35">
        <f t="shared" si="31"/>
        <v>535.84450277957058</v>
      </c>
      <c r="BB16" s="35">
        <f t="shared" si="31"/>
        <v>541.20294780736629</v>
      </c>
      <c r="BC16" s="35">
        <f t="shared" si="31"/>
        <v>546.61497728543998</v>
      </c>
      <c r="BD16" s="35">
        <f t="shared" si="31"/>
        <v>552.08112705829433</v>
      </c>
      <c r="BE16" s="35">
        <f t="shared" si="31"/>
        <v>557.60193832887728</v>
      </c>
      <c r="BF16" s="35">
        <f t="shared" si="31"/>
        <v>563.17795771216606</v>
      </c>
      <c r="BG16" s="35">
        <f t="shared" si="31"/>
        <v>568.80973728928768</v>
      </c>
      <c r="BH16" s="35">
        <f t="shared" si="31"/>
        <v>574.49783466218059</v>
      </c>
      <c r="BI16" s="35">
        <f t="shared" si="31"/>
        <v>580.24281300880239</v>
      </c>
      <c r="BJ16" s="35">
        <f t="shared" si="31"/>
        <v>586.04524113889045</v>
      </c>
      <c r="BK16" s="35">
        <f t="shared" si="31"/>
        <v>591.90569355027935</v>
      </c>
      <c r="BL16" s="35">
        <f t="shared" si="31"/>
        <v>597.82475048578215</v>
      </c>
      <c r="BM16" s="35">
        <f t="shared" si="31"/>
        <v>603.80299799063994</v>
      </c>
      <c r="BN16" s="35">
        <f t="shared" si="31"/>
        <v>609.84102797054629</v>
      </c>
      <c r="BO16" s="35">
        <f t="shared" si="31"/>
        <v>615.93943825025178</v>
      </c>
      <c r="BP16" s="35">
        <f t="shared" si="31"/>
        <v>622.09883263275435</v>
      </c>
      <c r="BQ16" s="35">
        <f t="shared" si="31"/>
        <v>628.31982095908188</v>
      </c>
      <c r="BR16" s="35">
        <f t="shared" si="31"/>
        <v>634.60301916867274</v>
      </c>
      <c r="BS16" s="35">
        <f t="shared" si="31"/>
        <v>640.94904936035948</v>
      </c>
      <c r="BT16" s="35">
        <f t="shared" si="31"/>
        <v>647.35853985396307</v>
      </c>
      <c r="BU16" s="35">
        <f t="shared" si="31"/>
        <v>653.83212525250269</v>
      </c>
      <c r="BV16" s="35">
        <f t="shared" si="31"/>
        <v>660.37044650502776</v>
      </c>
      <c r="BW16" s="35">
        <f t="shared" si="31"/>
        <v>666.97415097007809</v>
      </c>
      <c r="BX16" s="35">
        <f t="shared" si="31"/>
        <v>673.64389247977886</v>
      </c>
      <c r="BY16" s="35">
        <f t="shared" si="31"/>
        <v>680.38033140457662</v>
      </c>
      <c r="BZ16" s="35">
        <f t="shared" si="31"/>
        <v>687.18413471862243</v>
      </c>
    </row>
    <row r="17" spans="2:34" s="51" customFormat="1" x14ac:dyDescent="0.2">
      <c r="B17" s="51" t="s">
        <v>49</v>
      </c>
      <c r="C17" s="51">
        <f t="shared" ref="C17:L17" si="32">C16/C18</f>
        <v>0.14180478821362799</v>
      </c>
      <c r="D17" s="52">
        <f t="shared" si="32"/>
        <v>0.10313075506445672</v>
      </c>
      <c r="E17" s="51">
        <f t="shared" si="32"/>
        <v>0.20550458715596331</v>
      </c>
      <c r="F17" s="52">
        <f t="shared" si="32"/>
        <v>7.8826764436296978E-2</v>
      </c>
      <c r="G17" s="51">
        <f t="shared" si="32"/>
        <v>0.13345521023765997</v>
      </c>
      <c r="H17" s="52">
        <f t="shared" si="32"/>
        <v>0.12870370370370371</v>
      </c>
      <c r="I17" s="51">
        <f t="shared" si="32"/>
        <v>0.14858260019550343</v>
      </c>
      <c r="J17" s="52">
        <f t="shared" si="32"/>
        <v>0.1</v>
      </c>
      <c r="K17" s="51">
        <f t="shared" si="32"/>
        <v>9.8231827111984277E-2</v>
      </c>
      <c r="L17" s="52">
        <f t="shared" si="32"/>
        <v>0.22450980392156863</v>
      </c>
      <c r="M17" s="51">
        <f t="shared" ref="M17" si="33">M16/M18</f>
        <v>0.15354330708661418</v>
      </c>
      <c r="R17" s="51">
        <f t="shared" ref="R17:S17" si="34">R16/R18</f>
        <v>0.2723915050784857</v>
      </c>
      <c r="S17" s="51">
        <f t="shared" si="34"/>
        <v>0.24493554327808473</v>
      </c>
      <c r="T17" s="51">
        <f>T16/T18</f>
        <v>0.28414298808432631</v>
      </c>
      <c r="U17" s="51">
        <f>U16/U18</f>
        <v>0.2638888888888889</v>
      </c>
      <c r="V17" s="51">
        <f>V16/V18</f>
        <v>0.24901960784313726</v>
      </c>
      <c r="W17" s="51">
        <f t="shared" ref="W17" si="35">W16/W18</f>
        <v>0.32254901960784316</v>
      </c>
      <c r="X17" s="56">
        <f>X16/X18</f>
        <v>0.32670588235294123</v>
      </c>
      <c r="Y17" s="56">
        <f t="shared" ref="Y17:AE17" si="36">Y16/Y18</f>
        <v>0.34304117647058829</v>
      </c>
      <c r="Z17" s="56">
        <f t="shared" si="36"/>
        <v>0.36150941176470591</v>
      </c>
      <c r="AA17" s="56">
        <f t="shared" si="36"/>
        <v>0.3802010588235295</v>
      </c>
      <c r="AB17" s="56">
        <f t="shared" si="36"/>
        <v>0.3963272188235295</v>
      </c>
      <c r="AC17" s="56">
        <f t="shared" si="36"/>
        <v>0.40921851774117657</v>
      </c>
      <c r="AD17" s="56">
        <f t="shared" si="36"/>
        <v>0.41766082691952944</v>
      </c>
      <c r="AE17" s="56">
        <f t="shared" si="36"/>
        <v>0.4220543537769601</v>
      </c>
    </row>
    <row r="18" spans="2:34" s="32" customFormat="1" x14ac:dyDescent="0.2">
      <c r="B18" s="32" t="s">
        <v>4</v>
      </c>
      <c r="C18" s="32">
        <v>1086</v>
      </c>
      <c r="D18" s="33">
        <f>S18</f>
        <v>1086</v>
      </c>
      <c r="E18" s="32">
        <v>1090</v>
      </c>
      <c r="F18" s="33">
        <f>T18</f>
        <v>1091</v>
      </c>
      <c r="G18" s="32">
        <v>1094</v>
      </c>
      <c r="H18" s="33">
        <f>U18</f>
        <v>1080</v>
      </c>
      <c r="I18" s="32">
        <v>1023</v>
      </c>
      <c r="J18" s="33">
        <f>V18</f>
        <v>1020</v>
      </c>
      <c r="K18" s="32">
        <v>1018</v>
      </c>
      <c r="L18" s="33">
        <f>W18</f>
        <v>1020</v>
      </c>
      <c r="M18" s="32">
        <v>1016</v>
      </c>
      <c r="R18" s="32">
        <v>1083</v>
      </c>
      <c r="S18" s="32">
        <v>1086</v>
      </c>
      <c r="T18" s="32">
        <v>1091</v>
      </c>
      <c r="U18" s="32">
        <v>1080</v>
      </c>
      <c r="V18" s="32">
        <v>1020</v>
      </c>
      <c r="W18" s="32">
        <v>1020</v>
      </c>
      <c r="X18" s="39">
        <f>W18</f>
        <v>1020</v>
      </c>
      <c r="Y18" s="39">
        <f t="shared" ref="Y18:AE18" si="37">X18</f>
        <v>1020</v>
      </c>
      <c r="Z18" s="39">
        <f t="shared" si="37"/>
        <v>1020</v>
      </c>
      <c r="AA18" s="39">
        <f t="shared" si="37"/>
        <v>1020</v>
      </c>
      <c r="AB18" s="39">
        <f t="shared" si="37"/>
        <v>1020</v>
      </c>
      <c r="AC18" s="39">
        <f t="shared" si="37"/>
        <v>1020</v>
      </c>
      <c r="AD18" s="39">
        <f t="shared" si="37"/>
        <v>1020</v>
      </c>
      <c r="AE18" s="39">
        <f t="shared" si="37"/>
        <v>1020</v>
      </c>
    </row>
    <row r="20" spans="2:34" x14ac:dyDescent="0.2">
      <c r="B20" s="1" t="s">
        <v>52</v>
      </c>
      <c r="C20" s="31">
        <f t="shared" ref="C20:M20" si="38">C9/C7</f>
        <v>0.92685475444096133</v>
      </c>
      <c r="D20" s="42">
        <f t="shared" si="38"/>
        <v>0.93054136874361593</v>
      </c>
      <c r="E20" s="31">
        <f t="shared" si="38"/>
        <v>0.9343589743589743</v>
      </c>
      <c r="F20" s="42">
        <f t="shared" si="38"/>
        <v>0.93318965517241381</v>
      </c>
      <c r="G20" s="31">
        <f t="shared" si="38"/>
        <v>0.9231590181430096</v>
      </c>
      <c r="H20" s="42">
        <f t="shared" si="38"/>
        <v>0.93509350935093505</v>
      </c>
      <c r="I20" s="31">
        <f t="shared" si="38"/>
        <v>0.9271948608137045</v>
      </c>
      <c r="J20" s="42">
        <f t="shared" si="38"/>
        <v>0.93089832181638699</v>
      </c>
      <c r="K20" s="31">
        <f t="shared" si="38"/>
        <v>0.93008279668813243</v>
      </c>
      <c r="L20" s="42">
        <f t="shared" si="38"/>
        <v>0.92707383773928898</v>
      </c>
      <c r="M20" s="31">
        <f t="shared" si="38"/>
        <v>0.92881944444444442</v>
      </c>
      <c r="R20" s="31">
        <f t="shared" ref="R20:W20" si="39">R9/R7</f>
        <v>0.92957746478873238</v>
      </c>
      <c r="S20" s="31">
        <f t="shared" si="39"/>
        <v>0.92871900826446285</v>
      </c>
      <c r="T20" s="31">
        <f t="shared" si="39"/>
        <v>0.93378875459800315</v>
      </c>
      <c r="U20" s="31">
        <f t="shared" si="39"/>
        <v>0.92903575297941499</v>
      </c>
      <c r="V20" s="31">
        <f t="shared" si="39"/>
        <v>0.92912172573189522</v>
      </c>
      <c r="W20" s="31">
        <f t="shared" si="39"/>
        <v>0.9285714285714286</v>
      </c>
      <c r="X20" s="57">
        <v>0.93</v>
      </c>
      <c r="Y20" s="57">
        <v>0.93</v>
      </c>
      <c r="Z20" s="57">
        <v>0.93</v>
      </c>
      <c r="AA20" s="57">
        <v>0.93</v>
      </c>
      <c r="AB20" s="57">
        <v>0.93</v>
      </c>
      <c r="AC20" s="57">
        <v>0.93</v>
      </c>
      <c r="AD20" s="57">
        <v>0.93</v>
      </c>
      <c r="AE20" s="57">
        <v>0.93</v>
      </c>
      <c r="AG20" s="60" t="s">
        <v>107</v>
      </c>
      <c r="AH20" s="61">
        <v>0.01</v>
      </c>
    </row>
    <row r="21" spans="2:34" x14ac:dyDescent="0.2">
      <c r="B21" s="1" t="s">
        <v>53</v>
      </c>
      <c r="C21" s="31">
        <f t="shared" ref="C21:M21" si="40">C11/C7</f>
        <v>0.21943573667711599</v>
      </c>
      <c r="D21" s="42">
        <f t="shared" si="40"/>
        <v>0.17568947906026558</v>
      </c>
      <c r="E21" s="31">
        <f t="shared" si="40"/>
        <v>0.29641025641025642</v>
      </c>
      <c r="F21" s="42">
        <f t="shared" si="40"/>
        <v>0.12392241379310345</v>
      </c>
      <c r="G21" s="31">
        <f t="shared" si="40"/>
        <v>0.21664887940234792</v>
      </c>
      <c r="H21" s="42">
        <f t="shared" si="40"/>
        <v>0.18701870187018702</v>
      </c>
      <c r="I21" s="31">
        <f t="shared" si="40"/>
        <v>0.21841541755888652</v>
      </c>
      <c r="J21" s="42">
        <f t="shared" si="40"/>
        <v>0.16090819348469892</v>
      </c>
      <c r="K21" s="31">
        <f t="shared" si="40"/>
        <v>0.14443422263109476</v>
      </c>
      <c r="L21" s="42">
        <f t="shared" si="40"/>
        <v>0.27256153144940748</v>
      </c>
      <c r="M21" s="31">
        <f t="shared" si="40"/>
        <v>0.18663194444444445</v>
      </c>
      <c r="R21" s="31">
        <f t="shared" ref="R21:W21" si="41">R11/R7</f>
        <v>0.2313109425785482</v>
      </c>
      <c r="S21" s="31">
        <f t="shared" si="41"/>
        <v>0.19731404958677687</v>
      </c>
      <c r="T21" s="31">
        <f t="shared" si="41"/>
        <v>0.21229637414608513</v>
      </c>
      <c r="U21" s="31">
        <f t="shared" si="41"/>
        <v>0.20205850487540628</v>
      </c>
      <c r="V21" s="31">
        <f t="shared" si="41"/>
        <v>0.18849512069851052</v>
      </c>
      <c r="W21" s="31">
        <f t="shared" si="41"/>
        <v>0.2087912087912088</v>
      </c>
      <c r="X21" s="57">
        <v>0.2</v>
      </c>
      <c r="Y21" s="57">
        <v>0.2</v>
      </c>
      <c r="Z21" s="57">
        <v>0.2</v>
      </c>
      <c r="AA21" s="57">
        <v>0.2</v>
      </c>
      <c r="AB21" s="57">
        <v>0.2</v>
      </c>
      <c r="AC21" s="57">
        <v>0.2</v>
      </c>
      <c r="AD21" s="57">
        <v>0.2</v>
      </c>
      <c r="AE21" s="57">
        <v>0.2</v>
      </c>
      <c r="AG21" s="62" t="s">
        <v>108</v>
      </c>
      <c r="AH21" s="63">
        <v>7.0000000000000007E-2</v>
      </c>
    </row>
    <row r="22" spans="2:34" x14ac:dyDescent="0.2">
      <c r="B22" s="1" t="s">
        <v>54</v>
      </c>
      <c r="C22" s="31">
        <f t="shared" ref="C22:M22" si="42">C16/C7</f>
        <v>0.16091954022988506</v>
      </c>
      <c r="D22" s="42">
        <f t="shared" si="42"/>
        <v>0.11440245148110317</v>
      </c>
      <c r="E22" s="31">
        <f t="shared" si="42"/>
        <v>0.22974358974358974</v>
      </c>
      <c r="F22" s="42">
        <f t="shared" si="42"/>
        <v>9.2672413793103453E-2</v>
      </c>
      <c r="G22" s="31">
        <f t="shared" si="42"/>
        <v>0.15581643543223053</v>
      </c>
      <c r="H22" s="42">
        <f t="shared" si="42"/>
        <v>0.15291529152915292</v>
      </c>
      <c r="I22" s="31">
        <f t="shared" si="42"/>
        <v>0.16274089935760172</v>
      </c>
      <c r="J22" s="42">
        <f t="shared" si="42"/>
        <v>0.10069101678183613</v>
      </c>
      <c r="K22" s="31">
        <f t="shared" si="42"/>
        <v>9.1996320147194111E-2</v>
      </c>
      <c r="L22" s="42">
        <f t="shared" si="42"/>
        <v>0.20875113947128532</v>
      </c>
      <c r="M22" s="31">
        <f t="shared" si="42"/>
        <v>0.13541666666666666</v>
      </c>
      <c r="R22" s="31">
        <f t="shared" ref="R22:AE22" si="43">R16/R7</f>
        <v>0.15980498374864571</v>
      </c>
      <c r="S22" s="31">
        <f t="shared" si="43"/>
        <v>0.13739669421487602</v>
      </c>
      <c r="T22" s="31">
        <f t="shared" si="43"/>
        <v>0.16290068313189701</v>
      </c>
      <c r="U22" s="31">
        <f t="shared" si="43"/>
        <v>0.1543878656554713</v>
      </c>
      <c r="V22" s="31">
        <f t="shared" si="43"/>
        <v>0.13045711350796096</v>
      </c>
      <c r="W22" s="31">
        <f t="shared" si="43"/>
        <v>0.15064102564102563</v>
      </c>
      <c r="X22" s="31">
        <f t="shared" si="43"/>
        <v>0.14110772357723578</v>
      </c>
      <c r="Y22" s="31">
        <f t="shared" si="43"/>
        <v>0.14110772357723578</v>
      </c>
      <c r="Z22" s="31">
        <f t="shared" si="43"/>
        <v>0.14162334310417934</v>
      </c>
      <c r="AA22" s="31">
        <f t="shared" si="43"/>
        <v>0.14185323890815846</v>
      </c>
      <c r="AB22" s="31">
        <f t="shared" si="43"/>
        <v>0.14218261413383368</v>
      </c>
      <c r="AC22" s="31">
        <f t="shared" si="43"/>
        <v>0.14253143196015158</v>
      </c>
      <c r="AD22" s="31">
        <f t="shared" si="43"/>
        <v>0.14261951086646549</v>
      </c>
      <c r="AE22" s="31">
        <f t="shared" si="43"/>
        <v>0.14269284912516728</v>
      </c>
      <c r="AG22" s="62" t="s">
        <v>109</v>
      </c>
      <c r="AH22" s="68">
        <f>NPV(AH21,W16:BZ16)</f>
        <v>6133.4303478510274</v>
      </c>
    </row>
    <row r="23" spans="2:34" x14ac:dyDescent="0.2">
      <c r="B23" s="1" t="s">
        <v>100</v>
      </c>
      <c r="C23" s="31">
        <f t="shared" ref="C23:I23" si="44">C15/C14</f>
        <v>0.22222222222222221</v>
      </c>
      <c r="D23" s="42">
        <f t="shared" si="44"/>
        <v>0.31288343558282211</v>
      </c>
      <c r="E23" s="31">
        <f t="shared" si="44"/>
        <v>0.18545454545454546</v>
      </c>
      <c r="F23" s="42">
        <f t="shared" si="44"/>
        <v>0.12244897959183673</v>
      </c>
      <c r="G23" s="31">
        <f t="shared" si="44"/>
        <v>0.23157894736842105</v>
      </c>
      <c r="H23" s="42">
        <f t="shared" si="44"/>
        <v>0.11464968152866242</v>
      </c>
      <c r="I23" s="31">
        <f t="shared" si="44"/>
        <v>0.19576719576719576</v>
      </c>
      <c r="J23" s="42">
        <f t="shared" ref="J23:K23" si="45">J15/J14</f>
        <v>0.3108108108108108</v>
      </c>
      <c r="K23" s="31">
        <f t="shared" si="45"/>
        <v>0.2805755395683453</v>
      </c>
      <c r="L23" s="42">
        <f t="shared" ref="L23" si="46">L15/L14</f>
        <v>0.19649122807017544</v>
      </c>
      <c r="M23" s="31">
        <f t="shared" ref="M23" si="47">M15/M14</f>
        <v>0.23152709359605911</v>
      </c>
      <c r="R23" s="31">
        <f t="shared" ref="R23:U23" si="48">R15/R14</f>
        <v>0.25879396984924624</v>
      </c>
      <c r="S23" s="31">
        <f t="shared" si="48"/>
        <v>0.26315789473684209</v>
      </c>
      <c r="T23" s="31">
        <f t="shared" si="48"/>
        <v>0.16890080428954424</v>
      </c>
      <c r="U23" s="31">
        <f t="shared" si="48"/>
        <v>0.17867435158501441</v>
      </c>
      <c r="V23" s="31">
        <f t="shared" ref="V23:W23" si="49">V15/V14</f>
        <v>0.24629080118694363</v>
      </c>
      <c r="W23" s="31">
        <f t="shared" si="49"/>
        <v>0.22405660377358491</v>
      </c>
      <c r="X23" s="57">
        <v>0.25</v>
      </c>
      <c r="Y23" s="57">
        <v>0.25</v>
      </c>
      <c r="Z23" s="57">
        <v>0.25</v>
      </c>
      <c r="AA23" s="57">
        <v>0.25</v>
      </c>
      <c r="AB23" s="57">
        <v>0.25</v>
      </c>
      <c r="AC23" s="57">
        <v>0.25</v>
      </c>
      <c r="AD23" s="57">
        <v>0.25</v>
      </c>
      <c r="AE23" s="57">
        <v>0.25</v>
      </c>
      <c r="AG23" s="62" t="s">
        <v>8</v>
      </c>
      <c r="AH23" s="68">
        <f>Main!C11</f>
        <v>-792</v>
      </c>
    </row>
    <row r="24" spans="2:34" x14ac:dyDescent="0.2">
      <c r="AG24" s="62" t="s">
        <v>110</v>
      </c>
      <c r="AH24" s="68">
        <f>AH22-AH23</f>
        <v>6925.4303478510274</v>
      </c>
    </row>
    <row r="25" spans="2:34" s="2" customFormat="1" x14ac:dyDescent="0.2">
      <c r="B25" s="2" t="s">
        <v>50</v>
      </c>
      <c r="C25" s="48" t="s">
        <v>92</v>
      </c>
      <c r="D25" s="49" t="s">
        <v>92</v>
      </c>
      <c r="E25" s="41">
        <f t="shared" ref="E25:M25" si="50">E7/C7-1</f>
        <v>1.8808777429467183E-2</v>
      </c>
      <c r="F25" s="50">
        <f t="shared" si="50"/>
        <v>-5.2093973442288055E-2</v>
      </c>
      <c r="G25" s="41">
        <f t="shared" si="50"/>
        <v>-3.8974358974358969E-2</v>
      </c>
      <c r="H25" s="50">
        <f t="shared" si="50"/>
        <v>-2.0474137931034475E-2</v>
      </c>
      <c r="I25" s="41">
        <f t="shared" si="50"/>
        <v>-3.2017075773745907E-3</v>
      </c>
      <c r="J25" s="50">
        <f t="shared" si="50"/>
        <v>0.11441144114411439</v>
      </c>
      <c r="K25" s="41">
        <f t="shared" si="50"/>
        <v>0.16381156316916479</v>
      </c>
      <c r="L25" s="50">
        <f t="shared" si="50"/>
        <v>8.2922013820335705E-2</v>
      </c>
      <c r="M25" s="41">
        <f t="shared" si="50"/>
        <v>5.9797608095676136E-2</v>
      </c>
      <c r="R25" s="19" t="s">
        <v>92</v>
      </c>
      <c r="S25" s="41">
        <f>S7/R7-1</f>
        <v>4.8754062838569867E-2</v>
      </c>
      <c r="T25" s="41">
        <f>T7/S7-1</f>
        <v>-1.7045454545454586E-2</v>
      </c>
      <c r="U25" s="41">
        <f>U7/T7-1</f>
        <v>-2.9952706253284278E-2</v>
      </c>
      <c r="V25" s="41">
        <f>V7/U7-1</f>
        <v>5.4712892741061836E-2</v>
      </c>
      <c r="W25" s="41">
        <f>W7/V7-1</f>
        <v>0.1217257318952234</v>
      </c>
      <c r="X25" s="58">
        <f>+X7/W7-1</f>
        <v>8.1318681318681474E-2</v>
      </c>
      <c r="Y25" s="58">
        <v>0.05</v>
      </c>
      <c r="Z25" s="58">
        <v>0.05</v>
      </c>
      <c r="AA25" s="58">
        <v>0.05</v>
      </c>
      <c r="AB25" s="58">
        <v>0.04</v>
      </c>
      <c r="AC25" s="58">
        <v>0.03</v>
      </c>
      <c r="AD25" s="58">
        <v>0.02</v>
      </c>
      <c r="AE25" s="58">
        <v>0.01</v>
      </c>
      <c r="AG25" s="4" t="s">
        <v>111</v>
      </c>
      <c r="AH25" s="67">
        <f>AH24/Main!C7</f>
        <v>6.8163684526092787</v>
      </c>
    </row>
    <row r="26" spans="2:34" s="82" customFormat="1" x14ac:dyDescent="0.2">
      <c r="B26" s="85" t="s">
        <v>134</v>
      </c>
      <c r="C26" s="86"/>
      <c r="D26" s="81"/>
      <c r="F26" s="81"/>
      <c r="H26" s="81"/>
      <c r="J26" s="81"/>
      <c r="L26" s="81"/>
      <c r="M26" s="82">
        <f>+M4/K4-1</f>
        <v>7.660455486542439E-2</v>
      </c>
      <c r="R26" s="19" t="s">
        <v>92</v>
      </c>
      <c r="S26" s="86">
        <f t="shared" ref="S26:W28" si="51">+S4/R4-1</f>
        <v>0.14459930313588854</v>
      </c>
      <c r="T26" s="86">
        <f t="shared" si="51"/>
        <v>5.3272450532724447E-2</v>
      </c>
      <c r="U26" s="86">
        <f t="shared" si="51"/>
        <v>-7.225433526011571E-3</v>
      </c>
      <c r="V26" s="86">
        <f t="shared" si="51"/>
        <v>0.19068413391557493</v>
      </c>
      <c r="W26" s="86">
        <f t="shared" si="51"/>
        <v>0.18948655256723712</v>
      </c>
      <c r="X26" s="86"/>
      <c r="Y26" s="87"/>
      <c r="Z26" s="87"/>
      <c r="AA26" s="87"/>
      <c r="AB26" s="87"/>
      <c r="AC26" s="87"/>
      <c r="AD26" s="87"/>
      <c r="AE26" s="87"/>
      <c r="AG26" s="88" t="s">
        <v>113</v>
      </c>
      <c r="AH26" s="83">
        <f>AH25/Main!C6-1</f>
        <v>-0.35936386723597014</v>
      </c>
    </row>
    <row r="27" spans="2:34" s="82" customFormat="1" x14ac:dyDescent="0.2">
      <c r="B27" s="85" t="s">
        <v>135</v>
      </c>
      <c r="C27" s="86"/>
      <c r="D27" s="81"/>
      <c r="F27" s="81"/>
      <c r="H27" s="81"/>
      <c r="J27" s="81"/>
      <c r="L27" s="81"/>
      <c r="M27" s="82">
        <f>+M5/K5-1</f>
        <v>5.4662379421221763E-2</v>
      </c>
      <c r="R27" s="19" t="s">
        <v>92</v>
      </c>
      <c r="S27" s="86">
        <f t="shared" si="51"/>
        <v>6.8421052631578938E-2</v>
      </c>
      <c r="T27" s="86">
        <f t="shared" si="51"/>
        <v>1.4778325123152802E-2</v>
      </c>
      <c r="U27" s="86">
        <f t="shared" si="51"/>
        <v>-2.4271844660194164E-2</v>
      </c>
      <c r="V27" s="86">
        <f t="shared" si="51"/>
        <v>0.45771144278606957</v>
      </c>
      <c r="W27" s="86">
        <f t="shared" si="51"/>
        <v>6.9965870307167277E-2</v>
      </c>
      <c r="X27" s="86"/>
      <c r="Y27" s="87"/>
      <c r="Z27" s="87"/>
      <c r="AA27" s="87"/>
      <c r="AB27" s="87"/>
      <c r="AC27" s="87"/>
      <c r="AD27" s="87"/>
      <c r="AE27" s="87"/>
      <c r="AG27" s="89"/>
      <c r="AH27" s="84"/>
    </row>
    <row r="28" spans="2:34" s="82" customFormat="1" x14ac:dyDescent="0.2">
      <c r="B28" s="85" t="s">
        <v>136</v>
      </c>
      <c r="C28" s="86"/>
      <c r="D28" s="81"/>
      <c r="F28" s="81"/>
      <c r="H28" s="81"/>
      <c r="J28" s="81"/>
      <c r="L28" s="81"/>
      <c r="M28" s="82">
        <f>+M6/K6-1</f>
        <v>3.7542662116040848E-2</v>
      </c>
      <c r="R28" s="19" t="s">
        <v>92</v>
      </c>
      <c r="S28" s="86">
        <f t="shared" si="51"/>
        <v>-2.4663677130044803E-2</v>
      </c>
      <c r="T28" s="86">
        <f t="shared" si="51"/>
        <v>-8.1609195402298829E-2</v>
      </c>
      <c r="U28" s="86">
        <f t="shared" si="51"/>
        <v>-5.2565707133917394E-2</v>
      </c>
      <c r="V28" s="86">
        <f t="shared" si="51"/>
        <v>-0.28269484808454426</v>
      </c>
      <c r="W28" s="86">
        <f t="shared" si="51"/>
        <v>7.5506445672191447E-2</v>
      </c>
      <c r="X28" s="87"/>
      <c r="Y28" s="87"/>
      <c r="Z28" s="87"/>
      <c r="AA28" s="87"/>
      <c r="AB28" s="87"/>
      <c r="AC28" s="87"/>
      <c r="AD28" s="87"/>
      <c r="AE28" s="87"/>
      <c r="AG28" s="89"/>
      <c r="AH28" s="84"/>
    </row>
    <row r="29" spans="2:34" x14ac:dyDescent="0.2">
      <c r="B29" s="1" t="s">
        <v>51</v>
      </c>
      <c r="C29" s="19" t="s">
        <v>92</v>
      </c>
      <c r="D29" s="42">
        <f t="shared" ref="D29:M29" si="52">D7/C7-1</f>
        <v>2.2988505747126409E-2</v>
      </c>
      <c r="E29" s="31">
        <f t="shared" si="52"/>
        <v>-4.0858018386108474E-3</v>
      </c>
      <c r="F29" s="42">
        <f t="shared" si="52"/>
        <v>-4.8205128205128234E-2</v>
      </c>
      <c r="G29" s="31">
        <f t="shared" si="52"/>
        <v>9.6982758620689502E-3</v>
      </c>
      <c r="H29" s="42">
        <f t="shared" si="52"/>
        <v>-2.9882604055496254E-2</v>
      </c>
      <c r="I29" s="31">
        <f t="shared" si="52"/>
        <v>2.7502750275027577E-2</v>
      </c>
      <c r="J29" s="42">
        <f t="shared" si="52"/>
        <v>8.4582441113490336E-2</v>
      </c>
      <c r="K29" s="31">
        <f t="shared" si="52"/>
        <v>7.3050345508390846E-2</v>
      </c>
      <c r="L29" s="42">
        <f t="shared" si="52"/>
        <v>9.1996320147194055E-3</v>
      </c>
      <c r="M29" s="31">
        <f t="shared" si="52"/>
        <v>5.0136736554238892E-2</v>
      </c>
      <c r="N29" s="31">
        <v>0.05</v>
      </c>
      <c r="R29" s="19" t="s">
        <v>92</v>
      </c>
      <c r="S29" s="19" t="s">
        <v>92</v>
      </c>
      <c r="T29" s="19" t="s">
        <v>92</v>
      </c>
      <c r="U29" s="19" t="s">
        <v>92</v>
      </c>
      <c r="V29" s="19" t="s">
        <v>92</v>
      </c>
      <c r="W29" s="19" t="s">
        <v>92</v>
      </c>
      <c r="AG29" s="62" t="s">
        <v>112</v>
      </c>
      <c r="AH29" s="64">
        <f>Main!C6</f>
        <v>10.64</v>
      </c>
    </row>
    <row r="30" spans="2:34" x14ac:dyDescent="0.2">
      <c r="C30" s="19"/>
      <c r="D30" s="42"/>
      <c r="E30" s="31"/>
      <c r="F30" s="42"/>
      <c r="G30" s="31"/>
      <c r="H30" s="42"/>
      <c r="I30" s="31"/>
      <c r="J30" s="42"/>
      <c r="R30" s="19"/>
      <c r="S30" s="19"/>
      <c r="T30" s="19"/>
      <c r="U30" s="19"/>
      <c r="V30" s="19"/>
      <c r="W30" s="19"/>
      <c r="AG30" s="65" t="s">
        <v>113</v>
      </c>
      <c r="AH30" s="66">
        <f>AH25/AH29-1</f>
        <v>-0.35936386723597014</v>
      </c>
    </row>
    <row r="31" spans="2:34" x14ac:dyDescent="0.2">
      <c r="C31" s="19"/>
      <c r="D31" s="42"/>
      <c r="E31" s="31"/>
      <c r="F31" s="42"/>
      <c r="G31" s="31"/>
      <c r="H31" s="42"/>
      <c r="I31" s="31"/>
      <c r="J31" s="42"/>
      <c r="R31" s="19"/>
      <c r="S31" s="19"/>
      <c r="T31" s="19"/>
      <c r="U31" s="19"/>
      <c r="V31" s="19"/>
      <c r="W31" s="19"/>
    </row>
    <row r="32" spans="2:34" x14ac:dyDescent="0.2">
      <c r="B32" s="34" t="s">
        <v>114</v>
      </c>
      <c r="C32" s="19"/>
      <c r="D32" s="42"/>
      <c r="E32" s="31"/>
      <c r="F32" s="42"/>
      <c r="G32" s="31"/>
      <c r="H32" s="42"/>
      <c r="I32" s="31"/>
      <c r="J32" s="42"/>
      <c r="R32" s="19"/>
      <c r="S32" s="19"/>
      <c r="T32" s="19"/>
      <c r="U32" s="19"/>
      <c r="V32" s="19"/>
      <c r="W32" s="19"/>
    </row>
    <row r="33" spans="2:31" s="35" customFormat="1" x14ac:dyDescent="0.2">
      <c r="B33" s="35" t="s">
        <v>115</v>
      </c>
      <c r="C33" s="77"/>
      <c r="D33" s="36"/>
      <c r="F33" s="36"/>
      <c r="H33" s="36"/>
      <c r="J33" s="36"/>
      <c r="L33" s="36"/>
      <c r="R33" s="77">
        <f t="shared" ref="R33:W33" si="53">SUM(R34:R37)</f>
        <v>13660</v>
      </c>
      <c r="S33" s="77">
        <f t="shared" si="53"/>
        <v>12755</v>
      </c>
      <c r="T33" s="77">
        <f t="shared" si="53"/>
        <v>12506</v>
      </c>
      <c r="U33" s="77">
        <f t="shared" si="53"/>
        <v>11785</v>
      </c>
      <c r="V33" s="77">
        <f t="shared" si="53"/>
        <v>11228</v>
      </c>
      <c r="W33" s="77">
        <f t="shared" si="53"/>
        <v>11565</v>
      </c>
      <c r="X33" s="55"/>
      <c r="Y33" s="55"/>
      <c r="Z33" s="55"/>
      <c r="AA33" s="55"/>
      <c r="AB33" s="55"/>
      <c r="AC33" s="55"/>
      <c r="AD33" s="55"/>
      <c r="AE33" s="55"/>
    </row>
    <row r="34" spans="2:31" s="71" customFormat="1" x14ac:dyDescent="0.2">
      <c r="B34" s="70" t="s">
        <v>120</v>
      </c>
      <c r="D34" s="72"/>
      <c r="F34" s="72"/>
      <c r="H34" s="72"/>
      <c r="J34" s="72"/>
      <c r="L34" s="72"/>
      <c r="R34" s="71">
        <v>2704</v>
      </c>
      <c r="S34" s="71">
        <v>2551</v>
      </c>
      <c r="T34" s="71">
        <v>2592</v>
      </c>
      <c r="U34" s="71">
        <v>2671</v>
      </c>
      <c r="V34" s="71">
        <v>2640</v>
      </c>
      <c r="W34" s="71">
        <v>2823</v>
      </c>
    </row>
    <row r="35" spans="2:31" s="71" customFormat="1" x14ac:dyDescent="0.2">
      <c r="B35" s="70" t="s">
        <v>121</v>
      </c>
      <c r="D35" s="72"/>
      <c r="F35" s="72"/>
      <c r="H35" s="72"/>
      <c r="J35" s="72"/>
      <c r="L35" s="72"/>
      <c r="R35" s="71">
        <v>3109</v>
      </c>
      <c r="S35" s="71">
        <v>2865</v>
      </c>
      <c r="T35" s="71">
        <v>3279</v>
      </c>
      <c r="U35" s="71">
        <v>3446</v>
      </c>
      <c r="V35" s="71">
        <v>3686</v>
      </c>
      <c r="W35" s="71">
        <v>3998</v>
      </c>
    </row>
    <row r="36" spans="2:31" s="71" customFormat="1" x14ac:dyDescent="0.2">
      <c r="B36" s="70" t="s">
        <v>122</v>
      </c>
      <c r="D36" s="72"/>
      <c r="F36" s="72"/>
      <c r="H36" s="72"/>
      <c r="J36" s="72"/>
      <c r="L36" s="72"/>
      <c r="R36" s="71">
        <v>4396</v>
      </c>
      <c r="S36" s="71">
        <v>4334</v>
      </c>
      <c r="T36" s="71">
        <v>4407</v>
      </c>
      <c r="U36" s="71">
        <v>4169</v>
      </c>
      <c r="V36" s="71">
        <v>3715</v>
      </c>
      <c r="W36" s="71">
        <v>3490</v>
      </c>
    </row>
    <row r="37" spans="2:31" s="71" customFormat="1" x14ac:dyDescent="0.2">
      <c r="B37" s="70" t="s">
        <v>123</v>
      </c>
      <c r="D37" s="72"/>
      <c r="F37" s="72"/>
      <c r="H37" s="72"/>
      <c r="J37" s="72"/>
      <c r="L37" s="72"/>
      <c r="R37" s="71">
        <v>3451</v>
      </c>
      <c r="S37" s="71">
        <v>3005</v>
      </c>
      <c r="T37" s="71">
        <v>2228</v>
      </c>
      <c r="U37" s="71">
        <v>1499</v>
      </c>
      <c r="V37" s="71">
        <v>1187</v>
      </c>
      <c r="W37" s="71">
        <v>1254</v>
      </c>
    </row>
    <row r="38" spans="2:31" s="73" customFormat="1" x14ac:dyDescent="0.2">
      <c r="B38" s="73" t="s">
        <v>124</v>
      </c>
      <c r="D38" s="74"/>
      <c r="F38" s="74"/>
      <c r="H38" s="74"/>
      <c r="J38" s="74"/>
      <c r="L38" s="74"/>
      <c r="S38" s="76">
        <f>S33/R33-1</f>
        <v>-6.6251830161054182E-2</v>
      </c>
      <c r="T38" s="76">
        <f>T33/S33-1</f>
        <v>-1.9521756174049387E-2</v>
      </c>
      <c r="U38" s="76">
        <f>U33/T33-1</f>
        <v>-5.7652326883096072E-2</v>
      </c>
      <c r="V38" s="76">
        <f>V33/U33-1</f>
        <v>-4.7263470513364436E-2</v>
      </c>
      <c r="W38" s="76">
        <f>W33/V33-1</f>
        <v>3.0014250089062999E-2</v>
      </c>
      <c r="X38" s="75"/>
      <c r="Y38" s="75"/>
      <c r="Z38" s="75"/>
      <c r="AA38" s="75"/>
      <c r="AB38" s="75"/>
      <c r="AC38" s="75"/>
      <c r="AD38" s="75"/>
      <c r="AE38" s="75"/>
    </row>
    <row r="40" spans="2:31" x14ac:dyDescent="0.2">
      <c r="B40" s="34" t="s">
        <v>69</v>
      </c>
    </row>
    <row r="41" spans="2:31" x14ac:dyDescent="0.2">
      <c r="B41" s="1" t="s">
        <v>70</v>
      </c>
      <c r="C41" s="32">
        <f>2002+238</f>
        <v>2240</v>
      </c>
      <c r="D41" s="33">
        <f>2098+228</f>
        <v>2326</v>
      </c>
      <c r="E41" s="32">
        <f>2059+216</f>
        <v>2275</v>
      </c>
      <c r="F41" s="33">
        <f>T41</f>
        <v>2174</v>
      </c>
      <c r="G41" s="32">
        <f>1843+188</f>
        <v>2031</v>
      </c>
      <c r="H41" s="33">
        <f>1877+190</f>
        <v>2067</v>
      </c>
      <c r="I41" s="32">
        <f>2082+281</f>
        <v>2363</v>
      </c>
      <c r="J41" s="33">
        <f>V41</f>
        <v>2710</v>
      </c>
      <c r="K41" s="32">
        <f>2238+288</f>
        <v>2526</v>
      </c>
      <c r="L41" s="33">
        <f>W41</f>
        <v>2519</v>
      </c>
      <c r="M41" s="32">
        <f>2190+245</f>
        <v>2435</v>
      </c>
      <c r="N41" s="32"/>
      <c r="O41" s="32"/>
      <c r="P41" s="32"/>
      <c r="Q41" s="32"/>
      <c r="R41" s="32">
        <f>2008+260</f>
        <v>2268</v>
      </c>
      <c r="S41" s="32">
        <f>2098+228</f>
        <v>2326</v>
      </c>
      <c r="T41" s="32">
        <f>1962+212</f>
        <v>2174</v>
      </c>
      <c r="U41" s="32">
        <f>1877+190</f>
        <v>2067</v>
      </c>
      <c r="V41" s="32">
        <f>2416+294</f>
        <v>2710</v>
      </c>
      <c r="W41" s="32">
        <f>2245+274</f>
        <v>2519</v>
      </c>
    </row>
    <row r="42" spans="2:31" x14ac:dyDescent="0.2">
      <c r="B42" s="1" t="s">
        <v>71</v>
      </c>
      <c r="C42" s="32">
        <v>131</v>
      </c>
      <c r="D42" s="33">
        <v>117</v>
      </c>
      <c r="E42" s="32">
        <v>198</v>
      </c>
      <c r="F42" s="33">
        <f>T42</f>
        <v>173</v>
      </c>
      <c r="G42" s="32">
        <v>165</v>
      </c>
      <c r="H42" s="33">
        <v>164</v>
      </c>
      <c r="I42" s="32">
        <v>155</v>
      </c>
      <c r="J42" s="23">
        <f>-V42</f>
        <v>-152</v>
      </c>
      <c r="K42" s="32">
        <v>124</v>
      </c>
      <c r="L42" s="33">
        <f>W42</f>
        <v>104</v>
      </c>
      <c r="M42" s="32">
        <v>101</v>
      </c>
      <c r="N42" s="32"/>
      <c r="O42" s="32"/>
      <c r="P42" s="32"/>
      <c r="Q42" s="32"/>
      <c r="R42" s="32">
        <v>129</v>
      </c>
      <c r="S42" s="32">
        <v>117</v>
      </c>
      <c r="T42" s="32">
        <v>173</v>
      </c>
      <c r="U42" s="32">
        <v>164</v>
      </c>
      <c r="V42" s="32">
        <v>152</v>
      </c>
      <c r="W42" s="32">
        <v>104</v>
      </c>
    </row>
    <row r="43" spans="2:31" s="2" customFormat="1" x14ac:dyDescent="0.2">
      <c r="B43" s="2" t="s">
        <v>72</v>
      </c>
      <c r="C43" s="35">
        <v>0</v>
      </c>
      <c r="D43" s="36">
        <v>0</v>
      </c>
      <c r="E43" s="35">
        <v>0</v>
      </c>
      <c r="F43" s="36">
        <f>T43</f>
        <v>0</v>
      </c>
      <c r="G43" s="35">
        <v>19</v>
      </c>
      <c r="H43" s="36">
        <v>21</v>
      </c>
      <c r="I43" s="35">
        <v>4</v>
      </c>
      <c r="J43" s="30">
        <f>V43</f>
        <v>4</v>
      </c>
      <c r="K43" s="35">
        <v>4</v>
      </c>
      <c r="L43" s="36">
        <f t="shared" ref="L43:L44" si="54">W43</f>
        <v>4</v>
      </c>
      <c r="M43" s="35">
        <v>6</v>
      </c>
      <c r="N43" s="35"/>
      <c r="O43" s="35"/>
      <c r="P43" s="35"/>
      <c r="Q43" s="35"/>
      <c r="R43" s="35">
        <v>0</v>
      </c>
      <c r="S43" s="35">
        <v>0</v>
      </c>
      <c r="T43" s="35">
        <v>0</v>
      </c>
      <c r="U43" s="35">
        <v>21</v>
      </c>
      <c r="V43" s="35">
        <v>4</v>
      </c>
      <c r="W43" s="35">
        <v>4</v>
      </c>
      <c r="X43" s="59"/>
      <c r="Y43" s="59"/>
      <c r="Z43" s="59"/>
      <c r="AA43" s="59"/>
      <c r="AB43" s="59"/>
      <c r="AC43" s="59"/>
      <c r="AD43" s="59"/>
      <c r="AE43" s="59"/>
    </row>
    <row r="44" spans="2:31" s="2" customFormat="1" x14ac:dyDescent="0.2">
      <c r="B44" s="2" t="s">
        <v>73</v>
      </c>
      <c r="C44" s="35">
        <v>3</v>
      </c>
      <c r="D44" s="36">
        <v>4</v>
      </c>
      <c r="E44" s="35">
        <v>3</v>
      </c>
      <c r="F44" s="36">
        <f>T44</f>
        <v>1</v>
      </c>
      <c r="G44" s="35">
        <v>1</v>
      </c>
      <c r="H44" s="36">
        <v>0</v>
      </c>
      <c r="I44" s="35">
        <v>0</v>
      </c>
      <c r="J44" s="23">
        <f t="shared" ref="J44:J51" si="55">-V44</f>
        <v>0</v>
      </c>
      <c r="K44" s="35">
        <v>2</v>
      </c>
      <c r="L44" s="36">
        <f t="shared" si="54"/>
        <v>1</v>
      </c>
      <c r="M44" s="35">
        <v>13</v>
      </c>
      <c r="N44" s="35"/>
      <c r="O44" s="35"/>
      <c r="P44" s="35"/>
      <c r="Q44" s="35"/>
      <c r="R44" s="35">
        <v>1</v>
      </c>
      <c r="S44" s="35">
        <v>4</v>
      </c>
      <c r="T44" s="35">
        <v>1</v>
      </c>
      <c r="U44" s="35">
        <v>0</v>
      </c>
      <c r="V44" s="35">
        <v>0</v>
      </c>
      <c r="W44" s="35">
        <v>1</v>
      </c>
      <c r="X44" s="59"/>
      <c r="Y44" s="59"/>
      <c r="Z44" s="59"/>
      <c r="AA44" s="59"/>
      <c r="AB44" s="59"/>
      <c r="AC44" s="59"/>
      <c r="AD44" s="59"/>
      <c r="AE44" s="59"/>
    </row>
    <row r="45" spans="2:31" x14ac:dyDescent="0.2">
      <c r="B45" s="1" t="s">
        <v>74</v>
      </c>
      <c r="C45" s="32">
        <v>40</v>
      </c>
      <c r="D45" s="33">
        <v>73</v>
      </c>
      <c r="E45" s="32">
        <v>83</v>
      </c>
      <c r="F45" s="33">
        <f t="shared" ref="F45:F51" si="56">T45</f>
        <v>86</v>
      </c>
      <c r="G45" s="32">
        <v>101</v>
      </c>
      <c r="H45" s="33">
        <v>113</v>
      </c>
      <c r="I45" s="32">
        <v>116</v>
      </c>
      <c r="J45" s="23">
        <f t="shared" si="55"/>
        <v>-128</v>
      </c>
      <c r="K45" s="32">
        <v>125</v>
      </c>
      <c r="L45" s="33">
        <f>W45</f>
        <v>138</v>
      </c>
      <c r="M45" s="32">
        <v>136</v>
      </c>
      <c r="N45" s="32"/>
      <c r="O45" s="32"/>
      <c r="P45" s="32"/>
      <c r="Q45" s="32"/>
      <c r="R45" s="32">
        <v>2</v>
      </c>
      <c r="S45" s="32">
        <v>73</v>
      </c>
      <c r="T45" s="32">
        <v>86</v>
      </c>
      <c r="U45" s="32">
        <v>113</v>
      </c>
      <c r="V45" s="32">
        <v>128</v>
      </c>
      <c r="W45" s="32">
        <v>138</v>
      </c>
    </row>
    <row r="46" spans="2:31" x14ac:dyDescent="0.2">
      <c r="B46" s="1" t="s">
        <v>75</v>
      </c>
      <c r="C46" s="32">
        <v>57</v>
      </c>
      <c r="D46" s="33">
        <v>31</v>
      </c>
      <c r="E46" s="32">
        <v>26</v>
      </c>
      <c r="F46" s="33">
        <f t="shared" si="56"/>
        <v>35</v>
      </c>
      <c r="G46" s="32">
        <v>36</v>
      </c>
      <c r="H46" s="33">
        <v>40</v>
      </c>
      <c r="I46" s="32">
        <v>34</v>
      </c>
      <c r="J46" s="23">
        <f t="shared" si="55"/>
        <v>-19</v>
      </c>
      <c r="K46" s="32">
        <v>35</v>
      </c>
      <c r="L46" s="33">
        <f>W46</f>
        <v>56</v>
      </c>
      <c r="M46" s="32">
        <v>73</v>
      </c>
      <c r="N46" s="32"/>
      <c r="O46" s="32"/>
      <c r="P46" s="32"/>
      <c r="Q46" s="32"/>
      <c r="R46" s="32">
        <v>51</v>
      </c>
      <c r="S46" s="32">
        <v>31</v>
      </c>
      <c r="T46" s="32">
        <v>35</v>
      </c>
      <c r="U46" s="32">
        <v>40</v>
      </c>
      <c r="V46" s="32">
        <v>19</v>
      </c>
      <c r="W46" s="32">
        <v>56</v>
      </c>
    </row>
    <row r="47" spans="2:31" x14ac:dyDescent="0.2">
      <c r="B47" s="1" t="s">
        <v>76</v>
      </c>
      <c r="C47" s="32">
        <f t="shared" ref="C47:M47" si="57">SUM(C41:C46)</f>
        <v>2471</v>
      </c>
      <c r="D47" s="33">
        <f t="shared" si="57"/>
        <v>2551</v>
      </c>
      <c r="E47" s="32">
        <f t="shared" si="57"/>
        <v>2585</v>
      </c>
      <c r="F47" s="33">
        <f t="shared" si="57"/>
        <v>2469</v>
      </c>
      <c r="G47" s="32">
        <f t="shared" si="57"/>
        <v>2353</v>
      </c>
      <c r="H47" s="33">
        <f t="shared" si="57"/>
        <v>2405</v>
      </c>
      <c r="I47" s="32">
        <f t="shared" si="57"/>
        <v>2672</v>
      </c>
      <c r="J47" s="33">
        <f t="shared" si="57"/>
        <v>2415</v>
      </c>
      <c r="K47" s="32">
        <f t="shared" si="57"/>
        <v>2816</v>
      </c>
      <c r="L47" s="33">
        <f t="shared" si="57"/>
        <v>2822</v>
      </c>
      <c r="M47" s="32">
        <f t="shared" si="57"/>
        <v>2764</v>
      </c>
      <c r="N47" s="32"/>
      <c r="O47" s="32"/>
      <c r="P47" s="32"/>
      <c r="Q47" s="32"/>
      <c r="R47" s="32">
        <f t="shared" ref="R47:W47" si="58">SUM(R41:R46)</f>
        <v>2451</v>
      </c>
      <c r="S47" s="32">
        <f t="shared" si="58"/>
        <v>2551</v>
      </c>
      <c r="T47" s="32">
        <f t="shared" si="58"/>
        <v>2469</v>
      </c>
      <c r="U47" s="32">
        <f t="shared" si="58"/>
        <v>2405</v>
      </c>
      <c r="V47" s="32">
        <f t="shared" si="58"/>
        <v>3013</v>
      </c>
      <c r="W47" s="32">
        <f t="shared" si="58"/>
        <v>2822</v>
      </c>
    </row>
    <row r="48" spans="2:31" x14ac:dyDescent="0.2">
      <c r="B48" s="1" t="s">
        <v>74</v>
      </c>
      <c r="C48" s="32">
        <v>402</v>
      </c>
      <c r="D48" s="33">
        <v>364</v>
      </c>
      <c r="E48" s="32">
        <v>329</v>
      </c>
      <c r="F48" s="33">
        <f t="shared" si="56"/>
        <v>302</v>
      </c>
      <c r="G48" s="32">
        <v>290</v>
      </c>
      <c r="H48" s="33">
        <v>295</v>
      </c>
      <c r="I48" s="1">
        <v>329</v>
      </c>
      <c r="J48" s="23">
        <f t="shared" si="55"/>
        <v>-335</v>
      </c>
      <c r="K48" s="32">
        <v>367</v>
      </c>
      <c r="L48" s="33">
        <f>W48</f>
        <v>376</v>
      </c>
      <c r="M48" s="32">
        <v>391</v>
      </c>
      <c r="N48" s="32"/>
      <c r="O48" s="32"/>
      <c r="P48" s="32"/>
      <c r="Q48" s="32"/>
      <c r="R48" s="32">
        <v>460</v>
      </c>
      <c r="S48" s="32">
        <v>364</v>
      </c>
      <c r="T48" s="32">
        <v>302</v>
      </c>
      <c r="U48" s="32">
        <v>295</v>
      </c>
      <c r="V48" s="32">
        <v>335</v>
      </c>
      <c r="W48" s="32">
        <v>376</v>
      </c>
    </row>
    <row r="49" spans="2:31" x14ac:dyDescent="0.2">
      <c r="B49" s="1" t="s">
        <v>77</v>
      </c>
      <c r="C49" s="32">
        <v>4</v>
      </c>
      <c r="D49" s="33">
        <v>3</v>
      </c>
      <c r="E49" s="32">
        <v>15</v>
      </c>
      <c r="F49" s="33">
        <f t="shared" si="56"/>
        <v>5</v>
      </c>
      <c r="G49" s="32">
        <v>13</v>
      </c>
      <c r="H49" s="33">
        <v>37</v>
      </c>
      <c r="I49" s="1">
        <v>28</v>
      </c>
      <c r="J49" s="23">
        <f t="shared" si="55"/>
        <v>-39</v>
      </c>
      <c r="K49" s="32">
        <v>37</v>
      </c>
      <c r="L49" s="33">
        <f>W49</f>
        <v>42</v>
      </c>
      <c r="M49" s="32">
        <v>37</v>
      </c>
      <c r="N49" s="32"/>
      <c r="O49" s="32"/>
      <c r="P49" s="32"/>
      <c r="Q49" s="32"/>
      <c r="R49" s="32">
        <v>4</v>
      </c>
      <c r="S49" s="32">
        <v>3</v>
      </c>
      <c r="T49" s="32">
        <v>5</v>
      </c>
      <c r="U49" s="32">
        <v>37</v>
      </c>
      <c r="V49" s="32">
        <v>39</v>
      </c>
      <c r="W49" s="32">
        <v>42</v>
      </c>
    </row>
    <row r="50" spans="2:31" s="2" customFormat="1" x14ac:dyDescent="0.2">
      <c r="B50" s="2" t="s">
        <v>6</v>
      </c>
      <c r="C50" s="35">
        <v>351</v>
      </c>
      <c r="D50" s="36">
        <v>371</v>
      </c>
      <c r="E50" s="35">
        <v>912</v>
      </c>
      <c r="F50" s="36">
        <f>T50</f>
        <v>831</v>
      </c>
      <c r="G50" s="35">
        <v>693</v>
      </c>
      <c r="H50" s="36">
        <v>553</v>
      </c>
      <c r="I50" s="2">
        <v>515</v>
      </c>
      <c r="J50" s="30">
        <f>V50</f>
        <v>489</v>
      </c>
      <c r="K50" s="35">
        <v>575</v>
      </c>
      <c r="L50" s="36">
        <f>W50</f>
        <v>696</v>
      </c>
      <c r="M50" s="35">
        <v>448</v>
      </c>
      <c r="N50" s="32"/>
      <c r="O50" s="32"/>
      <c r="P50" s="32"/>
      <c r="Q50" s="32"/>
      <c r="R50" s="35">
        <v>272</v>
      </c>
      <c r="S50" s="35">
        <v>371</v>
      </c>
      <c r="T50" s="35">
        <v>831</v>
      </c>
      <c r="U50" s="35">
        <v>553</v>
      </c>
      <c r="V50" s="35">
        <v>489</v>
      </c>
      <c r="W50" s="35">
        <v>696</v>
      </c>
      <c r="X50" s="59"/>
      <c r="Y50" s="59"/>
      <c r="Z50" s="59"/>
      <c r="AA50" s="59"/>
      <c r="AB50" s="59"/>
      <c r="AC50" s="59"/>
      <c r="AD50" s="59"/>
      <c r="AE50" s="59"/>
    </row>
    <row r="51" spans="2:31" x14ac:dyDescent="0.2">
      <c r="B51" s="1" t="s">
        <v>78</v>
      </c>
      <c r="C51" s="32">
        <v>0</v>
      </c>
      <c r="D51" s="33">
        <v>63</v>
      </c>
      <c r="E51" s="32">
        <v>0</v>
      </c>
      <c r="F51" s="33">
        <f t="shared" si="56"/>
        <v>108</v>
      </c>
      <c r="G51" s="32">
        <v>95</v>
      </c>
      <c r="H51" s="33">
        <v>39</v>
      </c>
      <c r="I51" s="1">
        <v>2</v>
      </c>
      <c r="J51" s="23">
        <f t="shared" si="55"/>
        <v>0</v>
      </c>
      <c r="K51" s="32">
        <v>0</v>
      </c>
      <c r="L51" s="33">
        <f>W51</f>
        <v>0</v>
      </c>
      <c r="M51" s="32">
        <v>7</v>
      </c>
      <c r="N51" s="32"/>
      <c r="O51" s="32"/>
      <c r="P51" s="32"/>
      <c r="Q51" s="32"/>
      <c r="R51" s="32">
        <v>113</v>
      </c>
      <c r="S51" s="32">
        <v>63</v>
      </c>
      <c r="T51" s="32">
        <v>108</v>
      </c>
      <c r="U51" s="32">
        <v>39</v>
      </c>
      <c r="V51" s="32">
        <v>0</v>
      </c>
      <c r="W51" s="32">
        <v>0</v>
      </c>
    </row>
    <row r="52" spans="2:31" x14ac:dyDescent="0.2">
      <c r="B52" s="1" t="s">
        <v>79</v>
      </c>
      <c r="C52" s="32">
        <f t="shared" ref="C52:M52" si="59">C47+SUM(C48:C51)</f>
        <v>3228</v>
      </c>
      <c r="D52" s="33">
        <f t="shared" si="59"/>
        <v>3352</v>
      </c>
      <c r="E52" s="32">
        <f t="shared" si="59"/>
        <v>3841</v>
      </c>
      <c r="F52" s="33">
        <f t="shared" si="59"/>
        <v>3715</v>
      </c>
      <c r="G52" s="32">
        <f t="shared" si="59"/>
        <v>3444</v>
      </c>
      <c r="H52" s="33">
        <f t="shared" si="59"/>
        <v>3329</v>
      </c>
      <c r="I52" s="32">
        <f t="shared" si="59"/>
        <v>3546</v>
      </c>
      <c r="J52" s="33">
        <f t="shared" si="59"/>
        <v>2530</v>
      </c>
      <c r="K52" s="32">
        <f t="shared" si="59"/>
        <v>3795</v>
      </c>
      <c r="L52" s="33">
        <f t="shared" si="59"/>
        <v>3936</v>
      </c>
      <c r="M52" s="32">
        <f t="shared" si="59"/>
        <v>3647</v>
      </c>
      <c r="N52" s="32"/>
      <c r="O52" s="32"/>
      <c r="P52" s="32"/>
      <c r="Q52" s="32"/>
      <c r="R52" s="32">
        <f t="shared" ref="R52:W52" si="60">R47+SUM(R48:R51)</f>
        <v>3300</v>
      </c>
      <c r="S52" s="32">
        <f t="shared" si="60"/>
        <v>3352</v>
      </c>
      <c r="T52" s="32">
        <f t="shared" si="60"/>
        <v>3715</v>
      </c>
      <c r="U52" s="32">
        <f t="shared" si="60"/>
        <v>3329</v>
      </c>
      <c r="V52" s="32">
        <f t="shared" si="60"/>
        <v>3876</v>
      </c>
      <c r="W52" s="32">
        <f t="shared" si="60"/>
        <v>3936</v>
      </c>
    </row>
    <row r="53" spans="2:31" x14ac:dyDescent="0.2">
      <c r="G53" s="32"/>
      <c r="H53" s="33"/>
      <c r="K53" s="32"/>
      <c r="L53" s="33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2:31" x14ac:dyDescent="0.2">
      <c r="B54" s="1" t="s">
        <v>80</v>
      </c>
      <c r="C54" s="32">
        <v>276</v>
      </c>
      <c r="D54" s="33">
        <v>291</v>
      </c>
      <c r="E54" s="32">
        <v>242</v>
      </c>
      <c r="F54" s="33">
        <f t="shared" ref="F54:F59" si="61">T54</f>
        <v>297</v>
      </c>
      <c r="G54" s="32">
        <v>529</v>
      </c>
      <c r="H54" s="33">
        <v>592</v>
      </c>
      <c r="I54" s="32">
        <v>311</v>
      </c>
      <c r="J54" s="23">
        <f t="shared" ref="J54:J59" si="62">V54</f>
        <v>368</v>
      </c>
      <c r="K54" s="32">
        <v>302</v>
      </c>
      <c r="L54" s="33">
        <f t="shared" ref="L54:L59" si="63">W54</f>
        <v>378</v>
      </c>
      <c r="M54" s="32">
        <v>371</v>
      </c>
      <c r="N54" s="32"/>
      <c r="O54" s="32"/>
      <c r="P54" s="32"/>
      <c r="Q54" s="32"/>
      <c r="R54" s="32">
        <v>249</v>
      </c>
      <c r="S54" s="32">
        <v>291</v>
      </c>
      <c r="T54" s="32">
        <v>297</v>
      </c>
      <c r="U54" s="32">
        <v>592</v>
      </c>
      <c r="V54" s="32">
        <v>368</v>
      </c>
      <c r="W54" s="32">
        <v>378</v>
      </c>
    </row>
    <row r="55" spans="2:31" x14ac:dyDescent="0.2">
      <c r="B55" s="1" t="s">
        <v>77</v>
      </c>
      <c r="C55" s="32">
        <v>47</v>
      </c>
      <c r="D55" s="33">
        <v>32</v>
      </c>
      <c r="E55" s="32">
        <v>46</v>
      </c>
      <c r="F55" s="33">
        <f t="shared" si="61"/>
        <v>13</v>
      </c>
      <c r="G55" s="32">
        <v>24</v>
      </c>
      <c r="H55" s="33">
        <v>31</v>
      </c>
      <c r="I55" s="32">
        <v>23</v>
      </c>
      <c r="J55" s="23">
        <f t="shared" si="62"/>
        <v>13</v>
      </c>
      <c r="K55" s="32">
        <v>33</v>
      </c>
      <c r="L55" s="33">
        <f t="shared" si="63"/>
        <v>25</v>
      </c>
      <c r="M55" s="32">
        <v>26</v>
      </c>
      <c r="N55" s="32"/>
      <c r="O55" s="32"/>
      <c r="P55" s="32"/>
      <c r="Q55" s="32"/>
      <c r="R55" s="32">
        <v>39</v>
      </c>
      <c r="S55" s="32">
        <v>32</v>
      </c>
      <c r="T55" s="32">
        <v>13</v>
      </c>
      <c r="U55" s="32">
        <v>31</v>
      </c>
      <c r="V55" s="32">
        <v>13</v>
      </c>
      <c r="W55" s="32">
        <v>25</v>
      </c>
    </row>
    <row r="56" spans="2:31" s="2" customFormat="1" x14ac:dyDescent="0.2">
      <c r="B56" s="2" t="s">
        <v>81</v>
      </c>
      <c r="C56" s="35">
        <v>5</v>
      </c>
      <c r="D56" s="36">
        <v>122</v>
      </c>
      <c r="E56" s="35">
        <v>149</v>
      </c>
      <c r="F56" s="36">
        <f>T56</f>
        <v>20</v>
      </c>
      <c r="G56" s="35">
        <v>65</v>
      </c>
      <c r="H56" s="36">
        <v>65</v>
      </c>
      <c r="I56" s="35">
        <v>42</v>
      </c>
      <c r="J56" s="30">
        <f t="shared" si="62"/>
        <v>178</v>
      </c>
      <c r="K56" s="35">
        <v>16</v>
      </c>
      <c r="L56" s="36">
        <f t="shared" si="63"/>
        <v>14</v>
      </c>
      <c r="M56" s="32">
        <v>15</v>
      </c>
      <c r="N56" s="32"/>
      <c r="O56" s="32"/>
      <c r="P56" s="32"/>
      <c r="Q56" s="32"/>
      <c r="R56" s="35">
        <v>8</v>
      </c>
      <c r="S56" s="35">
        <v>122</v>
      </c>
      <c r="T56" s="35">
        <v>20</v>
      </c>
      <c r="U56" s="35">
        <v>65</v>
      </c>
      <c r="V56" s="35">
        <v>178</v>
      </c>
      <c r="W56" s="35">
        <v>14</v>
      </c>
      <c r="X56" s="59"/>
      <c r="Y56" s="59"/>
      <c r="Z56" s="59"/>
      <c r="AA56" s="59"/>
      <c r="AB56" s="59"/>
      <c r="AC56" s="59"/>
      <c r="AD56" s="59"/>
      <c r="AE56" s="59"/>
    </row>
    <row r="57" spans="2:31" x14ac:dyDescent="0.2">
      <c r="B57" s="1" t="s">
        <v>82</v>
      </c>
      <c r="C57" s="32">
        <v>15</v>
      </c>
      <c r="D57" s="33">
        <v>11</v>
      </c>
      <c r="E57" s="32">
        <v>9</v>
      </c>
      <c r="F57" s="33">
        <f t="shared" si="61"/>
        <v>19</v>
      </c>
      <c r="G57" s="32">
        <v>14</v>
      </c>
      <c r="H57" s="33">
        <v>68</v>
      </c>
      <c r="I57" s="32">
        <v>44</v>
      </c>
      <c r="J57" s="23">
        <f t="shared" si="62"/>
        <v>33</v>
      </c>
      <c r="K57" s="32">
        <v>20</v>
      </c>
      <c r="L57" s="33">
        <f t="shared" si="63"/>
        <v>23</v>
      </c>
      <c r="M57" s="32">
        <v>15</v>
      </c>
      <c r="N57" s="32"/>
      <c r="O57" s="32"/>
      <c r="P57" s="32"/>
      <c r="Q57" s="32"/>
      <c r="R57" s="32">
        <v>26</v>
      </c>
      <c r="S57" s="32">
        <v>11</v>
      </c>
      <c r="T57" s="32">
        <v>19</v>
      </c>
      <c r="U57" s="32">
        <v>68</v>
      </c>
      <c r="V57" s="32">
        <v>33</v>
      </c>
      <c r="W57" s="32">
        <v>23</v>
      </c>
    </row>
    <row r="58" spans="2:31" x14ac:dyDescent="0.2">
      <c r="B58" s="1" t="s">
        <v>83</v>
      </c>
      <c r="C58" s="32">
        <v>660</v>
      </c>
      <c r="D58" s="33">
        <v>637</v>
      </c>
      <c r="E58" s="32">
        <v>691</v>
      </c>
      <c r="F58" s="33">
        <f t="shared" si="61"/>
        <v>593</v>
      </c>
      <c r="G58" s="32">
        <v>638</v>
      </c>
      <c r="H58" s="33">
        <v>611</v>
      </c>
      <c r="I58" s="32">
        <v>705</v>
      </c>
      <c r="J58" s="23">
        <f t="shared" si="62"/>
        <v>734</v>
      </c>
      <c r="K58" s="32">
        <v>770</v>
      </c>
      <c r="L58" s="33">
        <f t="shared" si="63"/>
        <v>745</v>
      </c>
      <c r="M58" s="32">
        <v>803</v>
      </c>
      <c r="N58" s="32"/>
      <c r="O58" s="32"/>
      <c r="P58" s="32"/>
      <c r="Q58" s="32"/>
      <c r="R58" s="32">
        <v>620</v>
      </c>
      <c r="S58" s="32">
        <v>637</v>
      </c>
      <c r="T58" s="32">
        <v>593</v>
      </c>
      <c r="U58" s="32">
        <v>611</v>
      </c>
      <c r="V58" s="32">
        <v>734</v>
      </c>
      <c r="W58" s="32">
        <v>745</v>
      </c>
    </row>
    <row r="59" spans="2:31" x14ac:dyDescent="0.2">
      <c r="B59" s="1" t="s">
        <v>86</v>
      </c>
      <c r="C59" s="32">
        <v>0</v>
      </c>
      <c r="D59" s="33">
        <v>33</v>
      </c>
      <c r="E59" s="32">
        <v>0</v>
      </c>
      <c r="F59" s="33">
        <f t="shared" si="61"/>
        <v>73</v>
      </c>
      <c r="G59" s="32">
        <v>52</v>
      </c>
      <c r="H59" s="33">
        <v>13</v>
      </c>
      <c r="I59" s="32">
        <v>0</v>
      </c>
      <c r="J59" s="23">
        <f t="shared" si="62"/>
        <v>0</v>
      </c>
      <c r="K59" s="32">
        <v>0</v>
      </c>
      <c r="L59" s="33">
        <f t="shared" si="63"/>
        <v>0</v>
      </c>
      <c r="M59" s="32">
        <v>0</v>
      </c>
      <c r="N59" s="32"/>
      <c r="O59" s="32"/>
      <c r="P59" s="32"/>
      <c r="Q59" s="32"/>
      <c r="R59" s="32">
        <v>63</v>
      </c>
      <c r="S59" s="32">
        <v>33</v>
      </c>
      <c r="T59" s="32">
        <v>73</v>
      </c>
      <c r="U59" s="32">
        <v>13</v>
      </c>
      <c r="V59" s="32">
        <v>0</v>
      </c>
      <c r="W59" s="32">
        <v>0</v>
      </c>
    </row>
    <row r="60" spans="2:31" x14ac:dyDescent="0.2">
      <c r="B60" s="1" t="s">
        <v>87</v>
      </c>
      <c r="C60" s="32">
        <f t="shared" ref="C60:M60" si="64">SUM(C54:C59)</f>
        <v>1003</v>
      </c>
      <c r="D60" s="33">
        <f t="shared" si="64"/>
        <v>1126</v>
      </c>
      <c r="E60" s="32">
        <f t="shared" si="64"/>
        <v>1137</v>
      </c>
      <c r="F60" s="33">
        <f t="shared" si="64"/>
        <v>1015</v>
      </c>
      <c r="G60" s="32">
        <f t="shared" si="64"/>
        <v>1322</v>
      </c>
      <c r="H60" s="33">
        <f t="shared" si="64"/>
        <v>1380</v>
      </c>
      <c r="I60" s="32">
        <f t="shared" si="64"/>
        <v>1125</v>
      </c>
      <c r="J60" s="33">
        <f t="shared" si="64"/>
        <v>1326</v>
      </c>
      <c r="K60" s="32">
        <f t="shared" si="64"/>
        <v>1141</v>
      </c>
      <c r="L60" s="33">
        <f t="shared" si="64"/>
        <v>1185</v>
      </c>
      <c r="M60" s="32">
        <f t="shared" si="64"/>
        <v>1230</v>
      </c>
      <c r="N60" s="32"/>
      <c r="O60" s="32"/>
      <c r="P60" s="32"/>
      <c r="Q60" s="32"/>
      <c r="R60" s="32">
        <f t="shared" ref="R60:W60" si="65">SUM(R54:R59)</f>
        <v>1005</v>
      </c>
      <c r="S60" s="32">
        <f t="shared" si="65"/>
        <v>1126</v>
      </c>
      <c r="T60" s="32">
        <f t="shared" si="65"/>
        <v>1015</v>
      </c>
      <c r="U60" s="32">
        <f t="shared" si="65"/>
        <v>1380</v>
      </c>
      <c r="V60" s="32">
        <f t="shared" si="65"/>
        <v>1326</v>
      </c>
      <c r="W60" s="32">
        <f t="shared" si="65"/>
        <v>1185</v>
      </c>
    </row>
    <row r="61" spans="2:31" s="2" customFormat="1" x14ac:dyDescent="0.2">
      <c r="B61" s="2" t="s">
        <v>81</v>
      </c>
      <c r="C61" s="35">
        <v>768</v>
      </c>
      <c r="D61" s="36">
        <v>643</v>
      </c>
      <c r="E61" s="35">
        <v>1001</v>
      </c>
      <c r="F61" s="36">
        <f>T61</f>
        <v>970</v>
      </c>
      <c r="G61" s="35">
        <v>742</v>
      </c>
      <c r="H61" s="36">
        <v>749</v>
      </c>
      <c r="I61" s="35">
        <v>1123</v>
      </c>
      <c r="J61" s="30">
        <f t="shared" ref="J61:J67" si="66">V61</f>
        <v>1044</v>
      </c>
      <c r="K61" s="35">
        <v>1250</v>
      </c>
      <c r="L61" s="36">
        <f>W61</f>
        <v>1243</v>
      </c>
      <c r="M61" s="32">
        <v>1244</v>
      </c>
      <c r="N61" s="32"/>
      <c r="O61" s="32"/>
      <c r="P61" s="32"/>
      <c r="Q61" s="32"/>
      <c r="R61" s="35">
        <v>913</v>
      </c>
      <c r="S61" s="35">
        <v>643</v>
      </c>
      <c r="T61" s="35">
        <v>970</v>
      </c>
      <c r="U61" s="35">
        <v>749</v>
      </c>
      <c r="V61" s="35">
        <v>1044</v>
      </c>
      <c r="W61" s="35">
        <v>1243</v>
      </c>
      <c r="X61" s="59"/>
      <c r="Y61" s="59"/>
      <c r="Z61" s="59"/>
      <c r="AA61" s="59"/>
      <c r="AB61" s="59"/>
      <c r="AC61" s="59"/>
      <c r="AD61" s="59"/>
      <c r="AE61" s="59"/>
    </row>
    <row r="62" spans="2:31" x14ac:dyDescent="0.2">
      <c r="B62" s="1" t="s">
        <v>85</v>
      </c>
      <c r="C62" s="32">
        <v>22</v>
      </c>
      <c r="D62" s="33">
        <v>25</v>
      </c>
      <c r="E62" s="32">
        <v>26</v>
      </c>
      <c r="F62" s="33">
        <f t="shared" ref="F62:F66" si="67">T62</f>
        <v>23</v>
      </c>
      <c r="G62" s="32">
        <v>23</v>
      </c>
      <c r="H62" s="33">
        <v>22</v>
      </c>
      <c r="I62" s="32">
        <v>23</v>
      </c>
      <c r="J62" s="23">
        <f t="shared" si="66"/>
        <v>19</v>
      </c>
      <c r="K62" s="32">
        <v>19</v>
      </c>
      <c r="L62" s="33">
        <f>W62</f>
        <v>19</v>
      </c>
      <c r="M62" s="32">
        <v>20</v>
      </c>
      <c r="N62" s="32"/>
      <c r="O62" s="32"/>
      <c r="P62" s="32"/>
      <c r="Q62" s="32"/>
      <c r="R62" s="32">
        <v>22</v>
      </c>
      <c r="S62" s="32">
        <v>25</v>
      </c>
      <c r="T62" s="32">
        <v>23</v>
      </c>
      <c r="U62" s="32">
        <v>22</v>
      </c>
      <c r="V62" s="32">
        <v>19</v>
      </c>
      <c r="W62" s="32">
        <v>19</v>
      </c>
    </row>
    <row r="63" spans="2:31" x14ac:dyDescent="0.2">
      <c r="B63" s="1" t="s">
        <v>75</v>
      </c>
      <c r="C63" s="32">
        <v>26</v>
      </c>
      <c r="D63" s="33">
        <v>24</v>
      </c>
      <c r="E63" s="32">
        <v>27</v>
      </c>
      <c r="F63" s="33">
        <f t="shared" si="67"/>
        <v>14</v>
      </c>
      <c r="G63" s="32">
        <v>10</v>
      </c>
      <c r="H63" s="33">
        <v>5</v>
      </c>
      <c r="I63" s="32">
        <v>24</v>
      </c>
      <c r="J63" s="23">
        <f t="shared" si="66"/>
        <v>16</v>
      </c>
      <c r="K63" s="32">
        <v>14</v>
      </c>
      <c r="L63" s="33">
        <f t="shared" ref="L63:L67" si="68">W63</f>
        <v>18</v>
      </c>
      <c r="M63" s="32">
        <v>19</v>
      </c>
      <c r="N63" s="32"/>
      <c r="O63" s="32"/>
      <c r="P63" s="32"/>
      <c r="Q63" s="32"/>
      <c r="R63" s="32">
        <v>25</v>
      </c>
      <c r="S63" s="32">
        <v>24</v>
      </c>
      <c r="T63" s="32">
        <v>14</v>
      </c>
      <c r="U63" s="32">
        <v>5</v>
      </c>
      <c r="V63" s="32">
        <v>16</v>
      </c>
      <c r="W63" s="32">
        <v>18</v>
      </c>
    </row>
    <row r="64" spans="2:31" x14ac:dyDescent="0.2">
      <c r="B64" s="1" t="s">
        <v>82</v>
      </c>
      <c r="C64" s="32">
        <v>12</v>
      </c>
      <c r="D64" s="33">
        <v>15</v>
      </c>
      <c r="E64" s="32">
        <v>13</v>
      </c>
      <c r="F64" s="33">
        <f t="shared" si="67"/>
        <v>31</v>
      </c>
      <c r="G64" s="32">
        <v>29</v>
      </c>
      <c r="H64" s="33">
        <v>49</v>
      </c>
      <c r="I64" s="32">
        <v>36</v>
      </c>
      <c r="J64" s="23">
        <f t="shared" si="66"/>
        <v>20</v>
      </c>
      <c r="K64" s="32">
        <v>24</v>
      </c>
      <c r="L64" s="33">
        <f t="shared" si="68"/>
        <v>24</v>
      </c>
      <c r="M64" s="32">
        <v>27</v>
      </c>
      <c r="N64" s="32"/>
      <c r="O64" s="32"/>
      <c r="P64" s="32"/>
      <c r="Q64" s="32"/>
      <c r="R64" s="32">
        <v>11</v>
      </c>
      <c r="S64" s="32">
        <v>15</v>
      </c>
      <c r="T64" s="32">
        <v>31</v>
      </c>
      <c r="U64" s="32">
        <v>49</v>
      </c>
      <c r="V64" s="32">
        <v>20</v>
      </c>
      <c r="W64" s="32">
        <v>24</v>
      </c>
    </row>
    <row r="65" spans="2:31" x14ac:dyDescent="0.2">
      <c r="B65" s="1" t="s">
        <v>80</v>
      </c>
      <c r="C65" s="32">
        <v>7</v>
      </c>
      <c r="D65" s="33">
        <v>7</v>
      </c>
      <c r="E65" s="32">
        <v>6</v>
      </c>
      <c r="F65" s="33">
        <f t="shared" si="67"/>
        <v>3</v>
      </c>
      <c r="G65" s="32">
        <v>3</v>
      </c>
      <c r="H65" s="33">
        <v>3</v>
      </c>
      <c r="I65" s="32">
        <v>2</v>
      </c>
      <c r="J65" s="23">
        <f t="shared" si="66"/>
        <v>6</v>
      </c>
      <c r="K65" s="32">
        <v>14</v>
      </c>
      <c r="L65" s="33">
        <f t="shared" si="68"/>
        <v>13</v>
      </c>
      <c r="M65" s="32">
        <v>6</v>
      </c>
      <c r="N65" s="32"/>
      <c r="O65" s="32"/>
      <c r="P65" s="32"/>
      <c r="Q65" s="32"/>
      <c r="R65" s="32">
        <v>8</v>
      </c>
      <c r="S65" s="32">
        <v>7</v>
      </c>
      <c r="T65" s="32">
        <v>3</v>
      </c>
      <c r="U65" s="32">
        <v>3</v>
      </c>
      <c r="V65" s="32">
        <v>6</v>
      </c>
      <c r="W65" s="32">
        <v>13</v>
      </c>
    </row>
    <row r="66" spans="2:31" x14ac:dyDescent="0.2">
      <c r="B66" s="1" t="s">
        <v>83</v>
      </c>
      <c r="C66" s="32">
        <v>7</v>
      </c>
      <c r="D66" s="33">
        <v>8</v>
      </c>
      <c r="E66" s="32">
        <v>7</v>
      </c>
      <c r="F66" s="33">
        <f t="shared" si="67"/>
        <v>7</v>
      </c>
      <c r="G66" s="32">
        <v>11</v>
      </c>
      <c r="H66" s="33">
        <v>10</v>
      </c>
      <c r="I66" s="32">
        <v>9</v>
      </c>
      <c r="J66" s="23">
        <f t="shared" si="66"/>
        <v>8</v>
      </c>
      <c r="K66" s="32">
        <v>7</v>
      </c>
      <c r="L66" s="33">
        <f t="shared" si="68"/>
        <v>7</v>
      </c>
      <c r="M66" s="32">
        <v>5</v>
      </c>
      <c r="N66" s="32"/>
      <c r="O66" s="32"/>
      <c r="P66" s="32"/>
      <c r="Q66" s="32"/>
      <c r="R66" s="32">
        <v>6</v>
      </c>
      <c r="S66" s="32">
        <v>8</v>
      </c>
      <c r="T66" s="32">
        <v>7</v>
      </c>
      <c r="U66" s="32">
        <v>10</v>
      </c>
      <c r="V66" s="32">
        <v>8</v>
      </c>
      <c r="W66" s="32">
        <v>7</v>
      </c>
    </row>
    <row r="67" spans="2:31" x14ac:dyDescent="0.2">
      <c r="B67" s="1" t="s">
        <v>101</v>
      </c>
      <c r="C67" s="32">
        <v>0</v>
      </c>
      <c r="D67" s="33">
        <v>0</v>
      </c>
      <c r="E67" s="32">
        <v>0</v>
      </c>
      <c r="F67" s="33">
        <v>0</v>
      </c>
      <c r="G67" s="32">
        <v>0</v>
      </c>
      <c r="H67" s="33">
        <v>0</v>
      </c>
      <c r="I67" s="32">
        <v>0</v>
      </c>
      <c r="J67" s="23">
        <f t="shared" si="66"/>
        <v>60</v>
      </c>
      <c r="K67" s="32">
        <v>20</v>
      </c>
      <c r="L67" s="33">
        <f t="shared" si="68"/>
        <v>20</v>
      </c>
      <c r="M67" s="32">
        <v>8</v>
      </c>
      <c r="N67" s="32"/>
      <c r="O67" s="32"/>
      <c r="P67" s="32"/>
      <c r="Q67" s="32"/>
      <c r="R67" s="32">
        <v>0</v>
      </c>
      <c r="S67" s="32">
        <v>0</v>
      </c>
      <c r="T67" s="32">
        <v>0</v>
      </c>
      <c r="U67" s="32">
        <v>0</v>
      </c>
      <c r="V67" s="32">
        <v>60</v>
      </c>
      <c r="W67" s="32">
        <v>20</v>
      </c>
    </row>
    <row r="68" spans="2:31" x14ac:dyDescent="0.2">
      <c r="B68" s="1" t="s">
        <v>84</v>
      </c>
      <c r="C68" s="32">
        <f t="shared" ref="C68:M68" si="69">C60+SUM(C61:C67)</f>
        <v>1845</v>
      </c>
      <c r="D68" s="33">
        <f t="shared" si="69"/>
        <v>1848</v>
      </c>
      <c r="E68" s="32">
        <f t="shared" si="69"/>
        <v>2217</v>
      </c>
      <c r="F68" s="33">
        <f t="shared" si="69"/>
        <v>2063</v>
      </c>
      <c r="G68" s="32">
        <f t="shared" si="69"/>
        <v>2140</v>
      </c>
      <c r="H68" s="33">
        <f t="shared" si="69"/>
        <v>2218</v>
      </c>
      <c r="I68" s="32">
        <f t="shared" si="69"/>
        <v>2342</v>
      </c>
      <c r="J68" s="33">
        <f t="shared" si="69"/>
        <v>2499</v>
      </c>
      <c r="K68" s="32">
        <f t="shared" si="69"/>
        <v>2489</v>
      </c>
      <c r="L68" s="33">
        <f t="shared" si="69"/>
        <v>2529</v>
      </c>
      <c r="M68" s="32">
        <f t="shared" si="69"/>
        <v>2559</v>
      </c>
      <c r="N68" s="32"/>
      <c r="O68" s="32"/>
      <c r="P68" s="32"/>
      <c r="Q68" s="32"/>
      <c r="R68" s="32">
        <f t="shared" ref="R68:W68" si="70">R60+SUM(R61:R67)</f>
        <v>1990</v>
      </c>
      <c r="S68" s="32">
        <f t="shared" si="70"/>
        <v>1848</v>
      </c>
      <c r="T68" s="32">
        <f t="shared" si="70"/>
        <v>2063</v>
      </c>
      <c r="U68" s="32">
        <f t="shared" si="70"/>
        <v>2218</v>
      </c>
      <c r="V68" s="32">
        <f t="shared" si="70"/>
        <v>2499</v>
      </c>
      <c r="W68" s="32">
        <f t="shared" si="70"/>
        <v>2529</v>
      </c>
    </row>
    <row r="69" spans="2:31" x14ac:dyDescent="0.2">
      <c r="G69" s="32"/>
      <c r="H69" s="33"/>
      <c r="R69" s="32"/>
      <c r="S69" s="32"/>
      <c r="T69" s="32"/>
      <c r="U69" s="32"/>
    </row>
    <row r="70" spans="2:31" s="32" customFormat="1" x14ac:dyDescent="0.2">
      <c r="B70" s="32" t="s">
        <v>88</v>
      </c>
      <c r="C70" s="32">
        <v>1383</v>
      </c>
      <c r="D70" s="33">
        <v>1504</v>
      </c>
      <c r="E70" s="32">
        <v>1624</v>
      </c>
      <c r="F70" s="33">
        <f>T70</f>
        <v>1652</v>
      </c>
      <c r="G70" s="32">
        <v>1304</v>
      </c>
      <c r="H70" s="33">
        <v>1111</v>
      </c>
      <c r="I70" s="32">
        <v>1204</v>
      </c>
      <c r="J70" s="33">
        <f>V70</f>
        <v>1397</v>
      </c>
      <c r="K70" s="32">
        <v>1306</v>
      </c>
      <c r="L70" s="33">
        <f>W70</f>
        <v>1407</v>
      </c>
      <c r="M70" s="32">
        <v>1088</v>
      </c>
      <c r="R70" s="32">
        <v>1327</v>
      </c>
      <c r="S70" s="32">
        <v>1504</v>
      </c>
      <c r="T70" s="32">
        <v>1652</v>
      </c>
      <c r="U70" s="32">
        <v>1111</v>
      </c>
      <c r="V70" s="32">
        <v>1397</v>
      </c>
      <c r="W70" s="32">
        <v>1407</v>
      </c>
      <c r="X70" s="39"/>
      <c r="Y70" s="39"/>
      <c r="Z70" s="39"/>
      <c r="AA70" s="39"/>
      <c r="AB70" s="39"/>
      <c r="AC70" s="39"/>
      <c r="AD70" s="39"/>
      <c r="AE70" s="39"/>
    </row>
    <row r="71" spans="2:31" x14ac:dyDescent="0.2">
      <c r="B71" s="1" t="s">
        <v>89</v>
      </c>
      <c r="C71" s="32">
        <f t="shared" ref="C71:M71" si="71">C70+C68</f>
        <v>3228</v>
      </c>
      <c r="D71" s="33">
        <f t="shared" si="71"/>
        <v>3352</v>
      </c>
      <c r="E71" s="32">
        <f t="shared" si="71"/>
        <v>3841</v>
      </c>
      <c r="F71" s="33">
        <f t="shared" si="71"/>
        <v>3715</v>
      </c>
      <c r="G71" s="32">
        <f t="shared" si="71"/>
        <v>3444</v>
      </c>
      <c r="H71" s="33">
        <f t="shared" si="71"/>
        <v>3329</v>
      </c>
      <c r="I71" s="32">
        <f t="shared" si="71"/>
        <v>3546</v>
      </c>
      <c r="J71" s="33">
        <f t="shared" si="71"/>
        <v>3896</v>
      </c>
      <c r="K71" s="32">
        <f t="shared" si="71"/>
        <v>3795</v>
      </c>
      <c r="L71" s="33">
        <f t="shared" si="71"/>
        <v>3936</v>
      </c>
      <c r="M71" s="32">
        <f t="shared" si="71"/>
        <v>3647</v>
      </c>
      <c r="R71" s="32">
        <f t="shared" ref="R71:W71" si="72">R70+R68</f>
        <v>3317</v>
      </c>
      <c r="S71" s="32">
        <f t="shared" si="72"/>
        <v>3352</v>
      </c>
      <c r="T71" s="32">
        <f t="shared" si="72"/>
        <v>3715</v>
      </c>
      <c r="U71" s="32">
        <f t="shared" si="72"/>
        <v>3329</v>
      </c>
      <c r="V71" s="32">
        <f t="shared" si="72"/>
        <v>3896</v>
      </c>
      <c r="W71" s="32">
        <f t="shared" si="72"/>
        <v>3936</v>
      </c>
    </row>
    <row r="72" spans="2:31" x14ac:dyDescent="0.2">
      <c r="G72" s="32"/>
      <c r="H72" s="33"/>
    </row>
    <row r="73" spans="2:31" x14ac:dyDescent="0.2">
      <c r="B73" s="1" t="s">
        <v>90</v>
      </c>
      <c r="C73" s="32">
        <f t="shared" ref="C73:I73" si="73">C52-C68</f>
        <v>1383</v>
      </c>
      <c r="D73" s="33">
        <f t="shared" si="73"/>
        <v>1504</v>
      </c>
      <c r="E73" s="32">
        <f t="shared" si="73"/>
        <v>1624</v>
      </c>
      <c r="F73" s="33">
        <f t="shared" si="73"/>
        <v>1652</v>
      </c>
      <c r="G73" s="32">
        <f t="shared" si="73"/>
        <v>1304</v>
      </c>
      <c r="H73" s="33">
        <f t="shared" si="73"/>
        <v>1111</v>
      </c>
      <c r="I73" s="32">
        <f t="shared" si="73"/>
        <v>1204</v>
      </c>
      <c r="J73" s="33">
        <f t="shared" ref="J73:L73" si="74">J52-J68</f>
        <v>31</v>
      </c>
      <c r="K73" s="32">
        <f t="shared" ref="K73" si="75">K52-K68</f>
        <v>1306</v>
      </c>
      <c r="L73" s="33">
        <f t="shared" si="74"/>
        <v>1407</v>
      </c>
      <c r="M73" s="32">
        <f t="shared" ref="M73" si="76">M52-M68</f>
        <v>1088</v>
      </c>
      <c r="R73" s="32">
        <f>R52-R68</f>
        <v>1310</v>
      </c>
      <c r="S73" s="32">
        <f>S52-S68</f>
        <v>1504</v>
      </c>
      <c r="T73" s="32">
        <f>T52-T68</f>
        <v>1652</v>
      </c>
      <c r="U73" s="32">
        <f>U52-U68</f>
        <v>1111</v>
      </c>
      <c r="V73" s="32">
        <f t="shared" ref="V73:W73" si="77">V52-V68</f>
        <v>1377</v>
      </c>
      <c r="W73" s="32">
        <f t="shared" si="77"/>
        <v>1407</v>
      </c>
    </row>
    <row r="74" spans="2:31" x14ac:dyDescent="0.2">
      <c r="B74" s="1" t="s">
        <v>91</v>
      </c>
      <c r="C74" s="1">
        <f t="shared" ref="C74:M74" si="78">C73/C18</f>
        <v>1.2734806629834254</v>
      </c>
      <c r="D74" s="23">
        <f t="shared" si="78"/>
        <v>1.3848987108655617</v>
      </c>
      <c r="E74" s="1">
        <f t="shared" si="78"/>
        <v>1.489908256880734</v>
      </c>
      <c r="F74" s="23">
        <f t="shared" si="78"/>
        <v>1.5142071494042164</v>
      </c>
      <c r="G74" s="1">
        <f t="shared" si="78"/>
        <v>1.1919561243144423</v>
      </c>
      <c r="H74" s="23">
        <f t="shared" si="78"/>
        <v>1.0287037037037037</v>
      </c>
      <c r="I74" s="1">
        <f t="shared" si="78"/>
        <v>1.1769305962854351</v>
      </c>
      <c r="J74" s="23">
        <f t="shared" si="78"/>
        <v>3.0392156862745098E-2</v>
      </c>
      <c r="K74" s="1">
        <f t="shared" si="78"/>
        <v>1.2829076620825148</v>
      </c>
      <c r="L74" s="23">
        <f t="shared" si="78"/>
        <v>1.3794117647058823</v>
      </c>
      <c r="M74" s="1">
        <f t="shared" si="78"/>
        <v>1.0708661417322836</v>
      </c>
      <c r="R74" s="1">
        <f t="shared" ref="R74:W74" si="79">R73/R18</f>
        <v>1.2096029547553093</v>
      </c>
      <c r="S74" s="1">
        <f t="shared" si="79"/>
        <v>1.3848987108655617</v>
      </c>
      <c r="T74" s="1">
        <f t="shared" si="79"/>
        <v>1.5142071494042164</v>
      </c>
      <c r="U74" s="1">
        <f t="shared" si="79"/>
        <v>1.0287037037037037</v>
      </c>
      <c r="V74" s="1">
        <f t="shared" si="79"/>
        <v>1.35</v>
      </c>
      <c r="W74" s="1">
        <f t="shared" si="79"/>
        <v>1.3794117647058823</v>
      </c>
    </row>
    <row r="75" spans="2:31" x14ac:dyDescent="0.2">
      <c r="G75" s="32"/>
    </row>
    <row r="76" spans="2:31" s="38" customFormat="1" x14ac:dyDescent="0.2">
      <c r="B76" s="38" t="s">
        <v>6</v>
      </c>
      <c r="C76" s="39">
        <f t="shared" ref="C76:I76" si="80">C50+C43+C44</f>
        <v>354</v>
      </c>
      <c r="D76" s="40">
        <f t="shared" si="80"/>
        <v>375</v>
      </c>
      <c r="E76" s="39">
        <f t="shared" si="80"/>
        <v>915</v>
      </c>
      <c r="F76" s="40">
        <f t="shared" si="80"/>
        <v>832</v>
      </c>
      <c r="G76" s="39">
        <f t="shared" si="80"/>
        <v>713</v>
      </c>
      <c r="H76" s="40">
        <f t="shared" si="80"/>
        <v>574</v>
      </c>
      <c r="I76" s="39">
        <f t="shared" si="80"/>
        <v>519</v>
      </c>
      <c r="J76" s="40">
        <f t="shared" ref="J76:K76" si="81">J50+J43+J44</f>
        <v>493</v>
      </c>
      <c r="K76" s="39">
        <f t="shared" si="81"/>
        <v>581</v>
      </c>
      <c r="L76" s="40">
        <f t="shared" ref="L76" si="82">L50+L43+L44</f>
        <v>701</v>
      </c>
      <c r="M76" s="39">
        <f t="shared" ref="M76" si="83">M50+M43+M44</f>
        <v>467</v>
      </c>
      <c r="R76" s="39">
        <f>R50+R43+R44</f>
        <v>273</v>
      </c>
      <c r="S76" s="39">
        <f>S50+S43+S44</f>
        <v>375</v>
      </c>
      <c r="T76" s="39">
        <f>T50+T43+T44</f>
        <v>832</v>
      </c>
      <c r="U76" s="39">
        <f>U50+U43+U44</f>
        <v>574</v>
      </c>
      <c r="V76" s="39">
        <f t="shared" ref="V76:W76" si="84">V50+V43+V44</f>
        <v>493</v>
      </c>
      <c r="W76" s="39">
        <f t="shared" si="84"/>
        <v>701</v>
      </c>
    </row>
    <row r="77" spans="2:31" s="38" customFormat="1" x14ac:dyDescent="0.2">
      <c r="B77" s="38" t="s">
        <v>7</v>
      </c>
      <c r="C77" s="39">
        <f t="shared" ref="C77:I77" si="85">C56+C61</f>
        <v>773</v>
      </c>
      <c r="D77" s="40">
        <f t="shared" si="85"/>
        <v>765</v>
      </c>
      <c r="E77" s="39">
        <f t="shared" si="85"/>
        <v>1150</v>
      </c>
      <c r="F77" s="40">
        <f t="shared" si="85"/>
        <v>990</v>
      </c>
      <c r="G77" s="39">
        <f t="shared" si="85"/>
        <v>807</v>
      </c>
      <c r="H77" s="40">
        <f t="shared" si="85"/>
        <v>814</v>
      </c>
      <c r="I77" s="39">
        <f t="shared" si="85"/>
        <v>1165</v>
      </c>
      <c r="J77" s="40">
        <f t="shared" ref="J77:K77" si="86">J56+J61</f>
        <v>1222</v>
      </c>
      <c r="K77" s="39">
        <f t="shared" si="86"/>
        <v>1266</v>
      </c>
      <c r="L77" s="40">
        <f t="shared" ref="L77" si="87">L56+L61</f>
        <v>1257</v>
      </c>
      <c r="M77" s="39">
        <f t="shared" ref="M77" si="88">M56+M61</f>
        <v>1259</v>
      </c>
      <c r="R77" s="39">
        <f>R56+R61</f>
        <v>921</v>
      </c>
      <c r="S77" s="39">
        <f>S56+S61</f>
        <v>765</v>
      </c>
      <c r="T77" s="39">
        <f>T56+T61</f>
        <v>990</v>
      </c>
      <c r="U77" s="39">
        <f>U56+U61</f>
        <v>814</v>
      </c>
      <c r="V77" s="39">
        <f t="shared" ref="V77:W77" si="89">V56+V61</f>
        <v>1222</v>
      </c>
      <c r="W77" s="39">
        <f t="shared" si="89"/>
        <v>1257</v>
      </c>
    </row>
    <row r="78" spans="2:31" x14ac:dyDescent="0.2">
      <c r="B78" s="1" t="s">
        <v>8</v>
      </c>
      <c r="C78" s="32">
        <f t="shared" ref="C78:I78" si="90">C76-C77</f>
        <v>-419</v>
      </c>
      <c r="D78" s="33">
        <f t="shared" si="90"/>
        <v>-390</v>
      </c>
      <c r="E78" s="32">
        <f t="shared" si="90"/>
        <v>-235</v>
      </c>
      <c r="F78" s="33">
        <f t="shared" si="90"/>
        <v>-158</v>
      </c>
      <c r="G78" s="32">
        <f t="shared" si="90"/>
        <v>-94</v>
      </c>
      <c r="H78" s="33">
        <f t="shared" si="90"/>
        <v>-240</v>
      </c>
      <c r="I78" s="32">
        <f t="shared" si="90"/>
        <v>-646</v>
      </c>
      <c r="J78" s="33">
        <f t="shared" ref="J78:K78" si="91">J76-J77</f>
        <v>-729</v>
      </c>
      <c r="K78" s="32">
        <f t="shared" si="91"/>
        <v>-685</v>
      </c>
      <c r="L78" s="33">
        <f t="shared" ref="L78" si="92">L76-L77</f>
        <v>-556</v>
      </c>
      <c r="M78" s="32">
        <f t="shared" ref="M78" si="93">M76-M77</f>
        <v>-792</v>
      </c>
      <c r="R78" s="32">
        <f>R76-R77</f>
        <v>-648</v>
      </c>
      <c r="S78" s="32">
        <f>S76-S77</f>
        <v>-390</v>
      </c>
      <c r="T78" s="32">
        <f>T76-T77</f>
        <v>-158</v>
      </c>
      <c r="U78" s="32">
        <f>U76-U77</f>
        <v>-240</v>
      </c>
      <c r="V78" s="32">
        <f t="shared" ref="V78:W78" si="94">V76-V77</f>
        <v>-729</v>
      </c>
      <c r="W78" s="32">
        <f t="shared" si="94"/>
        <v>-556</v>
      </c>
    </row>
    <row r="79" spans="2:31" x14ac:dyDescent="0.2">
      <c r="G79" s="32"/>
    </row>
    <row r="80" spans="2:31" x14ac:dyDescent="0.2">
      <c r="B80" s="1" t="s">
        <v>98</v>
      </c>
      <c r="K80" s="1">
        <v>7.56</v>
      </c>
      <c r="L80" s="23">
        <f>W80</f>
        <v>9.7170000000000005</v>
      </c>
      <c r="M80" s="1">
        <v>12.57</v>
      </c>
      <c r="R80" s="1">
        <v>5.3022</v>
      </c>
      <c r="S80" s="1">
        <v>6.9139999999999997</v>
      </c>
      <c r="T80" s="1">
        <v>7.2080000000000002</v>
      </c>
      <c r="U80" s="1">
        <v>7.0960000000000001</v>
      </c>
      <c r="V80" s="1">
        <v>6.9720000000000004</v>
      </c>
      <c r="W80" s="1">
        <v>9.7170000000000005</v>
      </c>
    </row>
    <row r="81" spans="2:31" x14ac:dyDescent="0.2">
      <c r="B81" s="1" t="s">
        <v>99</v>
      </c>
      <c r="K81" s="16">
        <f>K80*K18</f>
        <v>7696.08</v>
      </c>
      <c r="L81" s="33">
        <f>L80*L18</f>
        <v>9911.34</v>
      </c>
      <c r="M81" s="16">
        <f>M80*M18</f>
        <v>12771.12</v>
      </c>
      <c r="R81" s="16">
        <f t="shared" ref="R81:W81" si="95">R80*R18</f>
        <v>5742.2826000000005</v>
      </c>
      <c r="S81" s="16">
        <f t="shared" si="95"/>
        <v>7508.6039999999994</v>
      </c>
      <c r="T81" s="16">
        <f t="shared" si="95"/>
        <v>7863.9279999999999</v>
      </c>
      <c r="U81" s="16">
        <f t="shared" si="95"/>
        <v>7663.68</v>
      </c>
      <c r="V81" s="16">
        <f t="shared" si="95"/>
        <v>7111.4400000000005</v>
      </c>
      <c r="W81" s="16">
        <f t="shared" si="95"/>
        <v>9911.34</v>
      </c>
    </row>
    <row r="82" spans="2:31" x14ac:dyDescent="0.2">
      <c r="B82" s="1" t="s">
        <v>9</v>
      </c>
      <c r="K82" s="32">
        <f t="shared" ref="K82" si="96">K81-K78</f>
        <v>8381.08</v>
      </c>
      <c r="L82" s="33">
        <f>L81-L78</f>
        <v>10467.34</v>
      </c>
      <c r="M82" s="32">
        <f t="shared" ref="M82" si="97">M81-M78</f>
        <v>13563.12</v>
      </c>
      <c r="R82" s="32">
        <f t="shared" ref="R82:U82" si="98">R81-R78</f>
        <v>6390.2826000000005</v>
      </c>
      <c r="S82" s="32">
        <f t="shared" si="98"/>
        <v>7898.6039999999994</v>
      </c>
      <c r="T82" s="32">
        <f t="shared" si="98"/>
        <v>8021.9279999999999</v>
      </c>
      <c r="U82" s="32">
        <f t="shared" si="98"/>
        <v>7903.68</v>
      </c>
      <c r="V82" s="32">
        <f>V81-V78</f>
        <v>7840.4400000000005</v>
      </c>
      <c r="W82" s="32">
        <f>W81-W78</f>
        <v>10467.34</v>
      </c>
    </row>
    <row r="84" spans="2:31" s="47" customFormat="1" x14ac:dyDescent="0.2">
      <c r="B84" s="47" t="s">
        <v>23</v>
      </c>
      <c r="D84" s="78"/>
      <c r="F84" s="78"/>
      <c r="H84" s="78"/>
      <c r="J84" s="78"/>
      <c r="K84" s="47">
        <f>K80/K74</f>
        <v>5.8928637059724345</v>
      </c>
      <c r="L84" s="78">
        <f>L80/L74</f>
        <v>7.0443070362473348</v>
      </c>
      <c r="M84" s="47">
        <f>M80/M74</f>
        <v>11.738161764705881</v>
      </c>
      <c r="R84" s="47">
        <f t="shared" ref="R84:U84" si="99">R80/R74</f>
        <v>4.3834218320610692</v>
      </c>
      <c r="S84" s="47">
        <f t="shared" si="99"/>
        <v>4.9924228723404251</v>
      </c>
      <c r="T84" s="47">
        <f t="shared" si="99"/>
        <v>4.760246973365617</v>
      </c>
      <c r="U84" s="47">
        <f t="shared" si="99"/>
        <v>6.8980018001800181</v>
      </c>
      <c r="V84" s="47">
        <f>V80/V74</f>
        <v>5.1644444444444444</v>
      </c>
      <c r="W84" s="47">
        <f>W80/W74</f>
        <v>7.0443070362473348</v>
      </c>
      <c r="X84" s="79"/>
      <c r="Y84" s="79"/>
      <c r="Z84" s="79"/>
      <c r="AA84" s="79"/>
      <c r="AB84" s="79"/>
      <c r="AC84" s="79"/>
      <c r="AD84" s="79"/>
      <c r="AE84" s="79"/>
    </row>
    <row r="85" spans="2:31" s="47" customFormat="1" x14ac:dyDescent="0.2">
      <c r="B85" s="47" t="s">
        <v>22</v>
      </c>
      <c r="D85" s="78"/>
      <c r="F85" s="78"/>
      <c r="H85" s="78"/>
      <c r="J85" s="78"/>
      <c r="K85" s="47">
        <f>K81/SUM(J7:K7)</f>
        <v>3.6648000000000001</v>
      </c>
      <c r="L85" s="78">
        <f>L81/SUM(K7:L7)</f>
        <v>4.538159340659341</v>
      </c>
      <c r="M85" s="47">
        <f>M81/SUM(L7:M7)</f>
        <v>5.6785771453979548</v>
      </c>
      <c r="R85" s="47">
        <f t="shared" ref="R85:W85" si="100">R81/R7</f>
        <v>3.1106622968580719</v>
      </c>
      <c r="S85" s="47">
        <f t="shared" si="100"/>
        <v>3.878411157024793</v>
      </c>
      <c r="T85" s="47">
        <f t="shared" si="100"/>
        <v>4.1323846558066206</v>
      </c>
      <c r="U85" s="47">
        <f t="shared" si="100"/>
        <v>4.1515059588299028</v>
      </c>
      <c r="V85" s="47">
        <f t="shared" si="100"/>
        <v>3.6525115562403703</v>
      </c>
      <c r="W85" s="47">
        <f t="shared" si="100"/>
        <v>4.538159340659341</v>
      </c>
      <c r="X85" s="79"/>
      <c r="Y85" s="79"/>
      <c r="Z85" s="79"/>
      <c r="AA85" s="79"/>
      <c r="AB85" s="79"/>
      <c r="AC85" s="79"/>
      <c r="AD85" s="79"/>
      <c r="AE85" s="79"/>
    </row>
    <row r="86" spans="2:31" s="47" customFormat="1" x14ac:dyDescent="0.2">
      <c r="B86" s="47" t="s">
        <v>103</v>
      </c>
      <c r="D86" s="78"/>
      <c r="F86" s="78"/>
      <c r="H86" s="78"/>
      <c r="J86" s="78"/>
      <c r="K86" s="47">
        <f>K82/SUM(J7:K7)</f>
        <v>3.990990476190476</v>
      </c>
      <c r="L86" s="78">
        <f>L82/SUM(K7:L7)</f>
        <v>4.7927380952380956</v>
      </c>
      <c r="M86" s="47">
        <f>M82/SUM(L7:M7)</f>
        <v>6.0307336594041798</v>
      </c>
      <c r="R86" s="47">
        <f t="shared" ref="R86:W86" si="101">R82/R7</f>
        <v>3.4616915492957747</v>
      </c>
      <c r="S86" s="47">
        <f t="shared" si="101"/>
        <v>4.0798574380165284</v>
      </c>
      <c r="T86" s="47">
        <f t="shared" si="101"/>
        <v>4.2154114555964268</v>
      </c>
      <c r="U86" s="47">
        <f t="shared" si="101"/>
        <v>4.2815167930660891</v>
      </c>
      <c r="V86" s="47">
        <f t="shared" si="101"/>
        <v>4.0269337442218802</v>
      </c>
      <c r="W86" s="47">
        <f t="shared" si="101"/>
        <v>4.7927380952380956</v>
      </c>
      <c r="X86" s="79"/>
      <c r="Y86" s="79"/>
      <c r="Z86" s="79"/>
      <c r="AA86" s="79"/>
      <c r="AB86" s="79"/>
      <c r="AC86" s="79"/>
      <c r="AD86" s="79"/>
      <c r="AE86" s="79"/>
    </row>
    <row r="87" spans="2:31" s="47" customFormat="1" x14ac:dyDescent="0.2">
      <c r="B87" s="47" t="s">
        <v>21</v>
      </c>
      <c r="D87" s="78"/>
      <c r="F87" s="78"/>
      <c r="H87" s="78"/>
      <c r="J87" s="78"/>
      <c r="K87" s="47">
        <f>K80/SUM(J17:K17)</f>
        <v>38.137165510406341</v>
      </c>
      <c r="L87" s="78">
        <f>L80/SUM(K17:L17)</f>
        <v>30.10767457821331</v>
      </c>
      <c r="M87" s="47">
        <f>M80/SUM(L17:M17)</f>
        <v>33.249296551160839</v>
      </c>
      <c r="R87" s="47">
        <f t="shared" ref="R87:W87" si="102">R80/R17</f>
        <v>19.465364745762713</v>
      </c>
      <c r="S87" s="47">
        <f t="shared" si="102"/>
        <v>28.227834586466162</v>
      </c>
      <c r="T87" s="47">
        <f t="shared" si="102"/>
        <v>25.367509677419356</v>
      </c>
      <c r="U87" s="47">
        <f t="shared" si="102"/>
        <v>26.890105263157896</v>
      </c>
      <c r="V87" s="47">
        <f t="shared" si="102"/>
        <v>27.997795275590551</v>
      </c>
      <c r="W87" s="47">
        <f t="shared" si="102"/>
        <v>30.12565349544073</v>
      </c>
      <c r="X87" s="79"/>
      <c r="Y87" s="79"/>
      <c r="Z87" s="79"/>
      <c r="AA87" s="79"/>
      <c r="AB87" s="79"/>
      <c r="AC87" s="79"/>
      <c r="AD87" s="79"/>
      <c r="AE87" s="79"/>
    </row>
    <row r="90" spans="2:31" x14ac:dyDescent="0.2">
      <c r="B90" s="34" t="s">
        <v>125</v>
      </c>
    </row>
    <row r="91" spans="2:31" x14ac:dyDescent="0.2">
      <c r="B91" s="1" t="s">
        <v>126</v>
      </c>
      <c r="R91" s="1">
        <v>393</v>
      </c>
      <c r="S91" s="1">
        <v>472</v>
      </c>
      <c r="T91" s="1">
        <v>406</v>
      </c>
      <c r="U91" s="1">
        <v>376</v>
      </c>
      <c r="V91" s="1">
        <v>285</v>
      </c>
      <c r="W91" s="1">
        <v>387</v>
      </c>
    </row>
    <row r="92" spans="2:31" x14ac:dyDescent="0.2">
      <c r="B92" s="1" t="s">
        <v>127</v>
      </c>
      <c r="R92" s="1">
        <f>20-2</f>
        <v>18</v>
      </c>
      <c r="S92" s="1">
        <v>27</v>
      </c>
      <c r="T92" s="1">
        <v>24</v>
      </c>
      <c r="U92" s="1">
        <v>39</v>
      </c>
      <c r="V92" s="1">
        <f>40+12-10</f>
        <v>42</v>
      </c>
      <c r="W92" s="1">
        <f>17+5</f>
        <v>22</v>
      </c>
    </row>
    <row r="93" spans="2:31" x14ac:dyDescent="0.2">
      <c r="B93" s="1" t="s">
        <v>128</v>
      </c>
      <c r="R93" s="1">
        <f t="shared" ref="R93:W93" si="103">R91-R92</f>
        <v>375</v>
      </c>
      <c r="S93" s="1">
        <f t="shared" si="103"/>
        <v>445</v>
      </c>
      <c r="T93" s="1">
        <f t="shared" si="103"/>
        <v>382</v>
      </c>
      <c r="U93" s="1">
        <f t="shared" si="103"/>
        <v>337</v>
      </c>
      <c r="V93" s="1">
        <f t="shared" si="103"/>
        <v>243</v>
      </c>
      <c r="W93" s="1">
        <f t="shared" si="103"/>
        <v>365</v>
      </c>
    </row>
    <row r="95" spans="2:31" x14ac:dyDescent="0.2">
      <c r="B95" s="1" t="s">
        <v>131</v>
      </c>
      <c r="R95" s="1">
        <f t="shared" ref="R95:W95" si="104">+R93/R18</f>
        <v>0.34626038781163437</v>
      </c>
      <c r="S95" s="1">
        <f t="shared" si="104"/>
        <v>0.40976058931860038</v>
      </c>
      <c r="T95" s="1">
        <f t="shared" si="104"/>
        <v>0.35013748854262144</v>
      </c>
      <c r="U95" s="1">
        <f t="shared" si="104"/>
        <v>0.31203703703703706</v>
      </c>
      <c r="V95" s="1">
        <f t="shared" si="104"/>
        <v>0.23823529411764705</v>
      </c>
      <c r="W95" s="1">
        <f t="shared" si="104"/>
        <v>0.35784313725490197</v>
      </c>
    </row>
    <row r="96" spans="2:31" s="47" customFormat="1" x14ac:dyDescent="0.2">
      <c r="B96" s="47" t="s">
        <v>132</v>
      </c>
      <c r="D96" s="78"/>
      <c r="F96" s="78"/>
      <c r="H96" s="78"/>
      <c r="J96" s="78"/>
      <c r="L96" s="78"/>
      <c r="R96" s="47">
        <f t="shared" ref="R96:W96" si="105">+R80/R95</f>
        <v>15.312753599999999</v>
      </c>
      <c r="S96" s="47">
        <f t="shared" si="105"/>
        <v>16.873267415730336</v>
      </c>
      <c r="T96" s="47">
        <f t="shared" si="105"/>
        <v>20.586198952879581</v>
      </c>
      <c r="U96" s="47">
        <f t="shared" si="105"/>
        <v>22.740890207715132</v>
      </c>
      <c r="V96" s="47">
        <f t="shared" si="105"/>
        <v>29.265185185185189</v>
      </c>
      <c r="W96" s="47">
        <f t="shared" si="105"/>
        <v>27.154356164383564</v>
      </c>
      <c r="X96" s="79"/>
      <c r="Y96" s="79"/>
      <c r="Z96" s="79"/>
      <c r="AA96" s="79"/>
      <c r="AB96" s="79"/>
      <c r="AC96" s="79"/>
      <c r="AD96" s="79"/>
      <c r="AE96" s="79"/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  <hyperlink ref="K1" r:id="rId6" xr:uid="{EAE8E190-3EE7-45DA-93BE-DF62CC9877E2}"/>
    <hyperlink ref="M1" r:id="rId7" xr:uid="{CF6FF048-1BEC-49D5-995D-CD189447E5D2}"/>
    <hyperlink ref="W1" r:id="rId8" xr:uid="{595D9CB4-21C2-46F0-A481-B81120B90342}"/>
  </hyperlinks>
  <pageMargins left="0.7" right="0.7" top="0.75" bottom="0.75" header="0.3" footer="0.3"/>
  <pageSetup paperSize="256" orientation="portrait" horizontalDpi="203" verticalDpi="203" r:id="rId9"/>
  <ignoredErrors>
    <ignoredError sqref="H9:H11 H14 F9:F11 F14 F16 D9:D11 D14 J9:J14 F47:F66 J42:J52 J60 X9:AE11 L9:L19 L47:L50 L60:L68" formula="1"/>
    <ignoredError sqref="X12:X13" formulaRange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2024-11-19T14:19:44Z</dcterms:modified>
</cp:coreProperties>
</file>