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456794CE-9D31-49CB-9F25-F9ED131C077B}" xr6:coauthVersionLast="47" xr6:coauthVersionMax="47" xr10:uidLastSave="{00000000-0000-0000-0000-000000000000}"/>
  <bookViews>
    <workbookView xWindow="-120" yWindow="-120" windowWidth="29040" windowHeight="15720" activeTab="1" xr2:uid="{DBC686BB-2718-4D0D-A16A-D84819AF3AE6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5" i="2" l="1"/>
  <c r="V85" i="2"/>
  <c r="W85" i="2"/>
  <c r="U84" i="2"/>
  <c r="V84" i="2"/>
  <c r="W84" i="2"/>
  <c r="U82" i="2"/>
  <c r="V82" i="2"/>
  <c r="W82" i="2"/>
  <c r="C36" i="1"/>
  <c r="C35" i="1"/>
  <c r="V30" i="2"/>
  <c r="W30" i="2"/>
  <c r="W28" i="2"/>
  <c r="W27" i="2"/>
  <c r="W26" i="2"/>
  <c r="W25" i="2"/>
  <c r="V28" i="2"/>
  <c r="V27" i="2"/>
  <c r="V26" i="2"/>
  <c r="V25" i="2"/>
  <c r="U28" i="2"/>
  <c r="U27" i="2"/>
  <c r="U26" i="2"/>
  <c r="U25" i="2"/>
  <c r="U11" i="2"/>
  <c r="U7" i="2"/>
  <c r="V11" i="2"/>
  <c r="V7" i="2"/>
  <c r="K31" i="2"/>
  <c r="J31" i="2"/>
  <c r="J28" i="2"/>
  <c r="J27" i="2"/>
  <c r="J26" i="2"/>
  <c r="J25" i="2"/>
  <c r="J23" i="2"/>
  <c r="J8" i="2"/>
  <c r="I21" i="2"/>
  <c r="J20" i="2"/>
  <c r="J18" i="2"/>
  <c r="J16" i="2"/>
  <c r="J15" i="2"/>
  <c r="J14" i="2"/>
  <c r="J13" i="2"/>
  <c r="J10" i="2"/>
  <c r="J9" i="2"/>
  <c r="J6" i="2"/>
  <c r="J5" i="2"/>
  <c r="J4" i="2"/>
  <c r="W22" i="2"/>
  <c r="W11" i="2"/>
  <c r="W7" i="2"/>
  <c r="W3" i="2"/>
  <c r="I30" i="2"/>
  <c r="E28" i="2"/>
  <c r="E27" i="2"/>
  <c r="E26" i="2"/>
  <c r="E25" i="2"/>
  <c r="E22" i="2"/>
  <c r="F19" i="2"/>
  <c r="E19" i="2"/>
  <c r="D19" i="2"/>
  <c r="C19" i="2"/>
  <c r="F21" i="2"/>
  <c r="E21" i="2"/>
  <c r="D21" i="2"/>
  <c r="C21" i="2"/>
  <c r="F17" i="2"/>
  <c r="D17" i="2"/>
  <c r="C17" i="2"/>
  <c r="F11" i="2"/>
  <c r="E11" i="2"/>
  <c r="D11" i="2"/>
  <c r="C11" i="2"/>
  <c r="F12" i="2"/>
  <c r="D12" i="2"/>
  <c r="C12" i="2"/>
  <c r="F7" i="2"/>
  <c r="E7" i="2"/>
  <c r="D7" i="2"/>
  <c r="C7" i="2"/>
  <c r="I31" i="2"/>
  <c r="I28" i="2"/>
  <c r="I26" i="2"/>
  <c r="I25" i="2"/>
  <c r="H12" i="2"/>
  <c r="H25" i="2" s="1"/>
  <c r="I12" i="2"/>
  <c r="I17" i="2" s="1"/>
  <c r="I19" i="2" s="1"/>
  <c r="I11" i="2"/>
  <c r="I7" i="2"/>
  <c r="K74" i="2"/>
  <c r="K73" i="2"/>
  <c r="K75" i="2" s="1"/>
  <c r="K70" i="2"/>
  <c r="K71" i="2" s="1"/>
  <c r="K68" i="2"/>
  <c r="K46" i="2"/>
  <c r="J65" i="2"/>
  <c r="I65" i="2"/>
  <c r="H65" i="2"/>
  <c r="G65" i="2"/>
  <c r="F65" i="2"/>
  <c r="E65" i="2"/>
  <c r="D65" i="2"/>
  <c r="C65" i="2"/>
  <c r="K58" i="2"/>
  <c r="K65" i="2" s="1"/>
  <c r="J58" i="2"/>
  <c r="I58" i="2"/>
  <c r="H58" i="2"/>
  <c r="G58" i="2"/>
  <c r="F58" i="2"/>
  <c r="E58" i="2"/>
  <c r="D58" i="2"/>
  <c r="C58" i="2"/>
  <c r="J49" i="2"/>
  <c r="I49" i="2"/>
  <c r="H49" i="2"/>
  <c r="G49" i="2"/>
  <c r="F49" i="2"/>
  <c r="E49" i="2"/>
  <c r="D49" i="2"/>
  <c r="C49" i="2"/>
  <c r="L49" i="2"/>
  <c r="K42" i="2"/>
  <c r="K49" i="2" s="1"/>
  <c r="J42" i="2"/>
  <c r="I42" i="2"/>
  <c r="H42" i="2"/>
  <c r="G42" i="2"/>
  <c r="F42" i="2"/>
  <c r="E42" i="2"/>
  <c r="D42" i="2"/>
  <c r="C42" i="2"/>
  <c r="H31" i="2"/>
  <c r="K30" i="2"/>
  <c r="L31" i="2"/>
  <c r="G11" i="2"/>
  <c r="G7" i="2"/>
  <c r="K11" i="2"/>
  <c r="K7" i="2"/>
  <c r="H81" i="2"/>
  <c r="L81" i="2"/>
  <c r="H80" i="2"/>
  <c r="H82" i="2" s="1"/>
  <c r="L80" i="2"/>
  <c r="L82" i="2" s="1"/>
  <c r="G82" i="2"/>
  <c r="K82" i="2"/>
  <c r="D11" i="1"/>
  <c r="D10" i="1"/>
  <c r="D9" i="1"/>
  <c r="D7" i="1"/>
  <c r="L74" i="2"/>
  <c r="C10" i="1" s="1"/>
  <c r="L73" i="2"/>
  <c r="C9" i="1" s="1"/>
  <c r="L58" i="2"/>
  <c r="L65" i="2" s="1"/>
  <c r="L46" i="2"/>
  <c r="L42" i="2"/>
  <c r="H11" i="2"/>
  <c r="H7" i="2"/>
  <c r="L11" i="2"/>
  <c r="L7" i="2"/>
  <c r="L30" i="2" s="1"/>
  <c r="U12" i="2" l="1"/>
  <c r="U17" i="2" s="1"/>
  <c r="U19" i="2" s="1"/>
  <c r="U21" i="2" s="1"/>
  <c r="U22" i="2" s="1"/>
  <c r="V12" i="2"/>
  <c r="J11" i="2"/>
  <c r="J7" i="2"/>
  <c r="W12" i="2"/>
  <c r="W17" i="2" s="1"/>
  <c r="W19" i="2" s="1"/>
  <c r="E12" i="2"/>
  <c r="E17" i="2" s="1"/>
  <c r="G12" i="2"/>
  <c r="K12" i="2"/>
  <c r="L68" i="2"/>
  <c r="L70" i="2"/>
  <c r="L71" i="2" s="1"/>
  <c r="C34" i="1" s="1"/>
  <c r="L75" i="2"/>
  <c r="H17" i="2"/>
  <c r="L12" i="2"/>
  <c r="V17" i="2" l="1"/>
  <c r="V19" i="2" s="1"/>
  <c r="V21" i="2" s="1"/>
  <c r="V22" i="2" s="1"/>
  <c r="J12" i="2"/>
  <c r="J17" i="2" s="1"/>
  <c r="J19" i="2" s="1"/>
  <c r="J21" i="2" s="1"/>
  <c r="J22" i="2" s="1"/>
  <c r="G17" i="2"/>
  <c r="G25" i="2"/>
  <c r="K17" i="2"/>
  <c r="K25" i="2"/>
  <c r="L25" i="2"/>
  <c r="L17" i="2"/>
  <c r="H19" i="2"/>
  <c r="H26" i="2"/>
  <c r="G19" i="2" l="1"/>
  <c r="G26" i="2"/>
  <c r="K19" i="2"/>
  <c r="K26" i="2"/>
  <c r="H21" i="2"/>
  <c r="H28" i="2"/>
  <c r="L19" i="2"/>
  <c r="L26" i="2"/>
  <c r="G21" i="2" l="1"/>
  <c r="G28" i="2"/>
  <c r="K21" i="2"/>
  <c r="K28" i="2"/>
  <c r="H27" i="2"/>
  <c r="H22" i="2"/>
  <c r="L28" i="2"/>
  <c r="L21" i="2"/>
  <c r="G27" i="2" l="1"/>
  <c r="G22" i="2"/>
  <c r="K22" i="2"/>
  <c r="K27" i="2"/>
  <c r="L22" i="2"/>
  <c r="L27" i="2"/>
  <c r="C8" i="1" l="1"/>
  <c r="C11" i="1"/>
  <c r="C12" i="1" l="1"/>
  <c r="W21" i="2"/>
  <c r="I22" i="2"/>
  <c r="I27" i="2"/>
</calcChain>
</file>

<file path=xl/sharedStrings.xml><?xml version="1.0" encoding="utf-8"?>
<sst xmlns="http://schemas.openxmlformats.org/spreadsheetml/2006/main" count="120" uniqueCount="114">
  <si>
    <t>$ADSK</t>
  </si>
  <si>
    <t>Autodesk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</si>
  <si>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</si>
  <si>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</si>
  <si>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</si>
  <si>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</si>
  <si>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</si>
  <si>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</si>
  <si>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</si>
  <si>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</si>
  <si>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</si>
  <si>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</si>
  <si>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</si>
  <si>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</si>
  <si>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CTO</t>
  </si>
  <si>
    <t>Key Events</t>
  </si>
  <si>
    <t>Profile</t>
  </si>
  <si>
    <t>HQ</t>
  </si>
  <si>
    <t>IPO</t>
  </si>
  <si>
    <t>Founded</t>
  </si>
  <si>
    <t>Update</t>
  </si>
  <si>
    <t>IR</t>
  </si>
  <si>
    <t>Link</t>
  </si>
  <si>
    <t>Employe.</t>
  </si>
  <si>
    <t>Valuation Metrics</t>
  </si>
  <si>
    <t>`</t>
  </si>
  <si>
    <t>P/B</t>
  </si>
  <si>
    <t>P/S</t>
  </si>
  <si>
    <t>P/E</t>
  </si>
  <si>
    <t>Stockopedia</t>
  </si>
  <si>
    <t>San Fransisco, CA</t>
  </si>
  <si>
    <t>Q224</t>
  </si>
  <si>
    <t>Q124</t>
  </si>
  <si>
    <t>Q423</t>
  </si>
  <si>
    <t>Q323</t>
  </si>
  <si>
    <t>Q223</t>
  </si>
  <si>
    <t>Q123</t>
  </si>
  <si>
    <t>Subscription Revenue</t>
  </si>
  <si>
    <t>Maintenance Revenue</t>
  </si>
  <si>
    <t>Revenue</t>
  </si>
  <si>
    <t>Other Revenue</t>
  </si>
  <si>
    <t>Subscription COGS</t>
  </si>
  <si>
    <t>Other COGS</t>
  </si>
  <si>
    <t>COGS</t>
  </si>
  <si>
    <t>Amortization</t>
  </si>
  <si>
    <t>Gross Profit</t>
  </si>
  <si>
    <t>M&amp;S</t>
  </si>
  <si>
    <t>R&amp;D</t>
  </si>
  <si>
    <t>G&amp;A</t>
  </si>
  <si>
    <t>Amortization of Intangibles</t>
  </si>
  <si>
    <t>Operating Income</t>
  </si>
  <si>
    <t>Interest Income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</si>
  <si>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</si>
  <si>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</si>
  <si>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</si>
  <si>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</si>
  <si>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</si>
  <si>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</si>
  <si>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</si>
  <si>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</si>
  <si>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</si>
  <si>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Revenue Q/Q</t>
  </si>
  <si>
    <t>Balance Sheet</t>
  </si>
  <si>
    <t>Marketable Securities</t>
  </si>
  <si>
    <t>A/R</t>
  </si>
  <si>
    <t>Prepaid Expenses</t>
  </si>
  <si>
    <t>TCA</t>
  </si>
  <si>
    <t>Long-Term Marketable Securities</t>
  </si>
  <si>
    <t>Operating Lease ROU</t>
  </si>
  <si>
    <t>PP&amp;E</t>
  </si>
  <si>
    <t>Goodwill+Intangibles</t>
  </si>
  <si>
    <t>Deferred Taxes</t>
  </si>
  <si>
    <t>Long-Term Other Assets</t>
  </si>
  <si>
    <t>Assets</t>
  </si>
  <si>
    <t>A/P</t>
  </si>
  <si>
    <t>Accrued Compensation</t>
  </si>
  <si>
    <t>Accrued Taxes</t>
  </si>
  <si>
    <t>Deferred Revenue</t>
  </si>
  <si>
    <t>Operating Lease Liabilities</t>
  </si>
  <si>
    <t>Other Liabilities</t>
  </si>
  <si>
    <t>TCL</t>
  </si>
  <si>
    <t>Current portion of Notes</t>
  </si>
  <si>
    <t>Long-Term Deferred Revenue</t>
  </si>
  <si>
    <t>Long-Term Operating Lease</t>
  </si>
  <si>
    <t>Long-Term Income Tax</t>
  </si>
  <si>
    <t>Long-Term Notes Payable</t>
  </si>
  <si>
    <t>Long-Term Other Liabilities</t>
  </si>
  <si>
    <t>Liabilities</t>
  </si>
  <si>
    <t>S/E</t>
  </si>
  <si>
    <t>S/E+L</t>
  </si>
  <si>
    <t>Long-Term Deferred Taxes</t>
  </si>
  <si>
    <t>Book Value</t>
  </si>
  <si>
    <t>Book Value per Share</t>
  </si>
  <si>
    <t>Cashflow</t>
  </si>
  <si>
    <t>CFFO</t>
  </si>
  <si>
    <t>CapEx</t>
  </si>
  <si>
    <t>FCF</t>
  </si>
  <si>
    <t>FCF per Share</t>
  </si>
  <si>
    <t>Price to FCF</t>
  </si>
  <si>
    <t>FCF TTM</t>
  </si>
  <si>
    <t>Q125</t>
  </si>
  <si>
    <t>Q225</t>
  </si>
  <si>
    <t>Q424</t>
  </si>
  <si>
    <t>Q324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</si>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</sst>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\x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2" fillId="0" borderId="0" xfId="0" applyFont="1" applyBorder="1"/>
    <xf numFmtId="0" fontId="1" fillId="2" borderId="6" xfId="0" applyFont="1" applyFill="1" applyBorder="1"/>
    <xf numFmtId="0" fontId="1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2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1" fillId="2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3" fontId="2" fillId="0" borderId="0" xfId="0" applyNumberFormat="1" applyFont="1" applyBorder="1"/>
    <xf numFmtId="3" fontId="2" fillId="0" borderId="7" xfId="0" applyNumberFormat="1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5" fontId="3" fillId="0" borderId="0" xfId="0" applyNumberFormat="1" applyFont="1" applyAlignment="1">
      <alignment horizontal="right"/>
    </xf>
    <xf numFmtId="0" fontId="5" fillId="0" borderId="0" xfId="1" applyFont="1" applyAlignment="1">
      <alignment horizontal="right"/>
    </xf>
    <xf numFmtId="14" fontId="3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 indent="1"/>
    </xf>
    <xf numFmtId="3" fontId="2" fillId="0" borderId="0" xfId="0" applyNumberFormat="1" applyFont="1"/>
    <xf numFmtId="3" fontId="1" fillId="0" borderId="0" xfId="0" applyNumberFormat="1" applyFont="1"/>
    <xf numFmtId="4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5" fontId="2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70" fontId="2" fillId="4" borderId="0" xfId="0" applyNumberFormat="1" applyFont="1" applyFill="1" applyBorder="1" applyAlignment="1">
      <alignment horizontal="center"/>
    </xf>
    <xf numFmtId="170" fontId="2" fillId="4" borderId="5" xfId="0" applyNumberFormat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0</xdr:row>
      <xdr:rowOff>47625</xdr:rowOff>
    </xdr:from>
    <xdr:to>
      <xdr:col>3</xdr:col>
      <xdr:colOff>533400</xdr:colOff>
      <xdr:row>3</xdr:row>
      <xdr:rowOff>104775</xdr:rowOff>
    </xdr:to>
    <xdr:pic>
      <xdr:nvPicPr>
        <xdr:cNvPr id="2" name="Picture 1" descr="Autodesk logo">
          <a:extLst>
            <a:ext uri="{FF2B5EF4-FFF2-40B4-BE49-F238E27FC236}">
              <a16:creationId xmlns:a16="http://schemas.microsoft.com/office/drawing/2014/main" id="{66826965-404F-C3AC-92DA-5C6362E9C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47625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nvestors.autodes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769397/000076939723000193/adsk-20231031.htm" TargetMode="External"/><Relationship Id="rId2" Type="http://schemas.openxmlformats.org/officeDocument/2006/relationships/hyperlink" Target="https://www.sec.gov/Archives/edgar/data/769397/000076939724000091/adsk-20240430.htm" TargetMode="External"/><Relationship Id="rId1" Type="http://schemas.openxmlformats.org/officeDocument/2006/relationships/hyperlink" Target="https://www.sec.gov/Archives/edgar/data/769397/000076939724000150/adsk-20240731.htm" TargetMode="External"/><Relationship Id="rId4" Type="http://schemas.openxmlformats.org/officeDocument/2006/relationships/hyperlink" Target="https://www.sec.gov/Archives/edgar/data/769397/000076939724000090/adsk-2024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D011-71B1-4504-B133-A0FB7BFF1926}">
  <dimension ref="B2:O40"/>
  <sheetViews>
    <sheetView workbookViewId="0">
      <selection activeCell="C37" sqref="C37:D37"/>
    </sheetView>
  </sheetViews>
  <sheetFormatPr defaultRowHeight="12.75" x14ac:dyDescent="0.2"/>
  <cols>
    <col min="1" max="3" width="9.140625" style="2"/>
    <col min="4" max="4" width="9.42578125" style="2" bestFit="1" customWidth="1"/>
    <col min="5" max="16384" width="9.140625" style="2"/>
  </cols>
  <sheetData>
    <row r="2" spans="2:15" x14ac:dyDescent="0.2">
      <c r="B2" s="1" t="s">
        <v>0</v>
      </c>
    </row>
    <row r="3" spans="2:15" x14ac:dyDescent="0.2">
      <c r="B3" s="1" t="s">
        <v>1</v>
      </c>
    </row>
    <row r="5" spans="2:15" x14ac:dyDescent="0.2">
      <c r="B5" s="3" t="s">
        <v>2</v>
      </c>
      <c r="C5" s="4"/>
      <c r="D5" s="5"/>
      <c r="G5" s="3" t="s">
        <v>15</v>
      </c>
      <c r="H5" s="4"/>
      <c r="I5" s="4"/>
      <c r="J5" s="4"/>
      <c r="K5" s="4"/>
      <c r="L5" s="4"/>
      <c r="M5" s="4"/>
      <c r="N5" s="4"/>
      <c r="O5" s="5"/>
    </row>
    <row r="6" spans="2:15" x14ac:dyDescent="0.2">
      <c r="B6" s="6" t="s">
        <v>3</v>
      </c>
      <c r="C6" s="7">
        <v>321.27</v>
      </c>
      <c r="D6" s="39"/>
      <c r="G6" s="15"/>
      <c r="H6" s="16"/>
      <c r="I6" s="16"/>
      <c r="J6" s="16"/>
      <c r="K6" s="16"/>
      <c r="L6" s="16"/>
      <c r="M6" s="16"/>
      <c r="N6" s="16"/>
      <c r="O6" s="17"/>
    </row>
    <row r="7" spans="2:15" x14ac:dyDescent="0.2">
      <c r="B7" s="6" t="s">
        <v>4</v>
      </c>
      <c r="C7" s="7">
        <v>216</v>
      </c>
      <c r="D7" s="39" t="str">
        <f>+$C$29</f>
        <v>Q224</v>
      </c>
      <c r="G7" s="15"/>
      <c r="H7" s="16"/>
      <c r="I7" s="16"/>
      <c r="J7" s="16"/>
      <c r="K7" s="16"/>
      <c r="L7" s="16"/>
      <c r="M7" s="16"/>
      <c r="N7" s="16"/>
      <c r="O7" s="17"/>
    </row>
    <row r="8" spans="2:15" x14ac:dyDescent="0.2">
      <c r="B8" s="6" t="s">
        <v>5</v>
      </c>
      <c r="C8" s="23">
        <f>C6*C7</f>
        <v>69394.319999999992</v>
      </c>
      <c r="D8" s="39"/>
      <c r="G8" s="15"/>
      <c r="H8" s="16"/>
      <c r="I8" s="16"/>
      <c r="J8" s="16"/>
      <c r="K8" s="16"/>
      <c r="L8" s="16"/>
      <c r="M8" s="16"/>
      <c r="N8" s="16"/>
      <c r="O8" s="17"/>
    </row>
    <row r="9" spans="2:15" x14ac:dyDescent="0.2">
      <c r="B9" s="6" t="s">
        <v>6</v>
      </c>
      <c r="C9" s="23">
        <f>+'Financial Model'!L73</f>
        <v>2109</v>
      </c>
      <c r="D9" s="39" t="str">
        <f t="shared" ref="D9:D11" si="0">+$C$29</f>
        <v>Q224</v>
      </c>
      <c r="G9" s="15"/>
      <c r="H9" s="16"/>
      <c r="I9" s="16"/>
      <c r="J9" s="16"/>
      <c r="K9" s="16"/>
      <c r="L9" s="16"/>
      <c r="M9" s="16"/>
      <c r="N9" s="16"/>
      <c r="O9" s="17"/>
    </row>
    <row r="10" spans="2:15" x14ac:dyDescent="0.2">
      <c r="B10" s="6" t="s">
        <v>7</v>
      </c>
      <c r="C10" s="23">
        <f>+'Financial Model'!L74</f>
        <v>2286</v>
      </c>
      <c r="D10" s="39" t="str">
        <f t="shared" si="0"/>
        <v>Q224</v>
      </c>
      <c r="G10" s="15"/>
      <c r="H10" s="16"/>
      <c r="I10" s="16"/>
      <c r="J10" s="16"/>
      <c r="K10" s="16"/>
      <c r="L10" s="16"/>
      <c r="M10" s="16"/>
      <c r="N10" s="16"/>
      <c r="O10" s="17"/>
    </row>
    <row r="11" spans="2:15" x14ac:dyDescent="0.2">
      <c r="B11" s="6" t="s">
        <v>8</v>
      </c>
      <c r="C11" s="23">
        <f>C9-C10</f>
        <v>-177</v>
      </c>
      <c r="D11" s="39" t="str">
        <f t="shared" si="0"/>
        <v>Q224</v>
      </c>
      <c r="G11" s="15"/>
      <c r="H11" s="16"/>
      <c r="I11" s="16"/>
      <c r="J11" s="16"/>
      <c r="K11" s="16"/>
      <c r="L11" s="16"/>
      <c r="M11" s="16"/>
      <c r="N11" s="16"/>
      <c r="O11" s="17"/>
    </row>
    <row r="12" spans="2:15" x14ac:dyDescent="0.2">
      <c r="B12" s="8" t="s">
        <v>9</v>
      </c>
      <c r="C12" s="24">
        <f>C8-C11</f>
        <v>69571.319999999992</v>
      </c>
      <c r="D12" s="40"/>
      <c r="G12" s="15"/>
      <c r="H12" s="16"/>
      <c r="I12" s="16"/>
      <c r="J12" s="16"/>
      <c r="K12" s="16"/>
      <c r="L12" s="16"/>
      <c r="M12" s="16"/>
      <c r="N12" s="16"/>
      <c r="O12" s="17"/>
    </row>
    <row r="13" spans="2:15" x14ac:dyDescent="0.2">
      <c r="G13" s="15"/>
      <c r="H13" s="16"/>
      <c r="I13" s="16"/>
      <c r="J13" s="16"/>
      <c r="K13" s="16"/>
      <c r="L13" s="16"/>
      <c r="M13" s="16"/>
      <c r="N13" s="16"/>
      <c r="O13" s="17"/>
    </row>
    <row r="14" spans="2:15" x14ac:dyDescent="0.2">
      <c r="G14" s="15"/>
      <c r="H14" s="16"/>
      <c r="I14" s="16"/>
      <c r="J14" s="16"/>
      <c r="K14" s="16"/>
      <c r="L14" s="16"/>
      <c r="M14" s="16"/>
      <c r="N14" s="16"/>
      <c r="O14" s="17"/>
    </row>
    <row r="15" spans="2:15" x14ac:dyDescent="0.2">
      <c r="B15" s="3" t="s">
        <v>10</v>
      </c>
      <c r="C15" s="4"/>
      <c r="D15" s="5"/>
      <c r="G15" s="15"/>
      <c r="H15" s="16"/>
      <c r="I15" s="16"/>
      <c r="J15" s="16"/>
      <c r="K15" s="16"/>
      <c r="L15" s="16"/>
      <c r="M15" s="16"/>
      <c r="N15" s="16"/>
      <c r="O15" s="17"/>
    </row>
    <row r="16" spans="2:15" x14ac:dyDescent="0.2">
      <c r="B16" s="9" t="s">
        <v>11</v>
      </c>
      <c r="C16" s="10"/>
      <c r="D16" s="11"/>
      <c r="G16" s="15"/>
      <c r="H16" s="16"/>
      <c r="I16" s="16"/>
      <c r="J16" s="16"/>
      <c r="K16" s="16"/>
      <c r="L16" s="16"/>
      <c r="M16" s="16"/>
      <c r="N16" s="16"/>
      <c r="O16" s="17"/>
    </row>
    <row r="17" spans="2:15" x14ac:dyDescent="0.2">
      <c r="B17" s="9" t="s">
        <v>12</v>
      </c>
      <c r="C17" s="10"/>
      <c r="D17" s="11"/>
      <c r="G17" s="15"/>
      <c r="H17" s="16"/>
      <c r="I17" s="16"/>
      <c r="J17" s="16"/>
      <c r="K17" s="16"/>
      <c r="L17" s="16"/>
      <c r="M17" s="16"/>
      <c r="N17" s="16"/>
      <c r="O17" s="17"/>
    </row>
    <row r="18" spans="2:15" x14ac:dyDescent="0.2">
      <c r="B18" s="9" t="s">
        <v>13</v>
      </c>
      <c r="C18" s="10"/>
      <c r="D18" s="11"/>
      <c r="G18" s="15"/>
      <c r="H18" s="16"/>
      <c r="I18" s="16"/>
      <c r="J18" s="16"/>
      <c r="K18" s="16"/>
      <c r="L18" s="16"/>
      <c r="M18" s="16"/>
      <c r="N18" s="16"/>
      <c r="O18" s="17"/>
    </row>
    <row r="19" spans="2:15" x14ac:dyDescent="0.2">
      <c r="B19" s="12" t="s">
        <v>14</v>
      </c>
      <c r="C19" s="13"/>
      <c r="D19" s="14"/>
      <c r="G19" s="15"/>
      <c r="H19" s="16"/>
      <c r="I19" s="16"/>
      <c r="J19" s="16"/>
      <c r="K19" s="16"/>
      <c r="L19" s="16"/>
      <c r="M19" s="16"/>
      <c r="N19" s="16"/>
      <c r="O19" s="17"/>
    </row>
    <row r="20" spans="2:15" x14ac:dyDescent="0.2">
      <c r="G20" s="15"/>
      <c r="H20" s="16"/>
      <c r="I20" s="16"/>
      <c r="J20" s="16"/>
      <c r="K20" s="16"/>
      <c r="L20" s="16"/>
      <c r="M20" s="16"/>
      <c r="N20" s="16"/>
      <c r="O20" s="17"/>
    </row>
    <row r="21" spans="2:15" x14ac:dyDescent="0.2">
      <c r="G21" s="15"/>
      <c r="H21" s="16"/>
      <c r="I21" s="16"/>
      <c r="J21" s="16"/>
      <c r="K21" s="16"/>
      <c r="L21" s="16"/>
      <c r="M21" s="16"/>
      <c r="N21" s="16"/>
      <c r="O21" s="17"/>
    </row>
    <row r="22" spans="2:15" x14ac:dyDescent="0.2">
      <c r="B22" s="3" t="s">
        <v>16</v>
      </c>
      <c r="C22" s="4"/>
      <c r="D22" s="5"/>
      <c r="G22" s="15"/>
      <c r="H22" s="16"/>
      <c r="I22" s="16"/>
      <c r="J22" s="16"/>
      <c r="K22" s="16"/>
      <c r="L22" s="16"/>
      <c r="M22" s="16"/>
      <c r="N22" s="16"/>
      <c r="O22" s="17"/>
    </row>
    <row r="23" spans="2:15" x14ac:dyDescent="0.2">
      <c r="B23" s="21" t="s">
        <v>17</v>
      </c>
      <c r="C23" s="10">
        <v>1982</v>
      </c>
      <c r="D23" s="11"/>
      <c r="G23" s="15"/>
      <c r="H23" s="16"/>
      <c r="I23" s="16"/>
      <c r="J23" s="16"/>
      <c r="K23" s="16"/>
      <c r="L23" s="16"/>
      <c r="M23" s="16"/>
      <c r="N23" s="16"/>
      <c r="O23" s="17"/>
    </row>
    <row r="24" spans="2:15" x14ac:dyDescent="0.2">
      <c r="B24" s="21" t="s">
        <v>19</v>
      </c>
      <c r="C24" s="10" t="s">
        <v>30</v>
      </c>
      <c r="D24" s="11"/>
      <c r="G24" s="15"/>
      <c r="H24" s="16"/>
      <c r="I24" s="16"/>
      <c r="J24" s="16"/>
      <c r="K24" s="16"/>
      <c r="L24" s="16"/>
      <c r="M24" s="16"/>
      <c r="N24" s="16"/>
      <c r="O24" s="17"/>
    </row>
    <row r="25" spans="2:15" x14ac:dyDescent="0.2">
      <c r="B25" s="21" t="s">
        <v>18</v>
      </c>
      <c r="C25" s="10">
        <v>1985</v>
      </c>
      <c r="D25" s="11"/>
      <c r="G25" s="15"/>
      <c r="H25" s="16"/>
      <c r="I25" s="16"/>
      <c r="J25" s="16"/>
      <c r="K25" s="16"/>
      <c r="L25" s="16"/>
      <c r="M25" s="16"/>
      <c r="N25" s="16"/>
      <c r="O25" s="17"/>
    </row>
    <row r="26" spans="2:15" x14ac:dyDescent="0.2">
      <c r="B26" s="21"/>
      <c r="C26" s="10"/>
      <c r="D26" s="11"/>
      <c r="G26" s="15"/>
      <c r="H26" s="16"/>
      <c r="I26" s="16"/>
      <c r="J26" s="16"/>
      <c r="K26" s="16"/>
      <c r="L26" s="16"/>
      <c r="M26" s="16"/>
      <c r="N26" s="16"/>
      <c r="O26" s="17"/>
    </row>
    <row r="27" spans="2:15" x14ac:dyDescent="0.2">
      <c r="B27" s="21" t="s">
        <v>23</v>
      </c>
      <c r="C27" s="10"/>
      <c r="D27" s="11"/>
      <c r="G27" s="15"/>
      <c r="H27" s="16"/>
      <c r="I27" s="16"/>
      <c r="J27" s="16"/>
      <c r="K27" s="16"/>
      <c r="L27" s="16"/>
      <c r="M27" s="16"/>
      <c r="N27" s="16"/>
      <c r="O27" s="17"/>
    </row>
    <row r="28" spans="2:15" x14ac:dyDescent="0.2">
      <c r="B28" s="21"/>
      <c r="C28" s="10"/>
      <c r="D28" s="11"/>
      <c r="G28" s="15"/>
      <c r="H28" s="16"/>
      <c r="I28" s="16"/>
      <c r="J28" s="16"/>
      <c r="K28" s="16"/>
      <c r="L28" s="16"/>
      <c r="M28" s="16"/>
      <c r="N28" s="16"/>
      <c r="O28" s="17"/>
    </row>
    <row r="29" spans="2:15" x14ac:dyDescent="0.2">
      <c r="B29" s="21" t="s">
        <v>20</v>
      </c>
      <c r="C29" s="22" t="s">
        <v>31</v>
      </c>
      <c r="D29" s="37">
        <v>45538</v>
      </c>
      <c r="G29" s="15"/>
      <c r="H29" s="16"/>
      <c r="I29" s="16"/>
      <c r="J29" s="16"/>
      <c r="K29" s="16"/>
      <c r="L29" s="16"/>
      <c r="M29" s="16"/>
      <c r="N29" s="16"/>
      <c r="O29" s="17"/>
    </row>
    <row r="30" spans="2:15" x14ac:dyDescent="0.2">
      <c r="B30" s="21" t="s">
        <v>21</v>
      </c>
      <c r="C30" s="43" t="s">
        <v>22</v>
      </c>
      <c r="D30" s="44"/>
      <c r="G30" s="15"/>
      <c r="H30" s="16"/>
      <c r="I30" s="16"/>
      <c r="J30" s="16"/>
      <c r="K30" s="16"/>
      <c r="L30" s="16"/>
      <c r="M30" s="16"/>
      <c r="N30" s="16"/>
      <c r="O30" s="17"/>
    </row>
    <row r="31" spans="2:15" x14ac:dyDescent="0.2">
      <c r="G31" s="15"/>
      <c r="H31" s="16"/>
      <c r="I31" s="16"/>
      <c r="J31" s="16"/>
      <c r="K31" s="16"/>
      <c r="L31" s="16"/>
      <c r="M31" s="16"/>
      <c r="N31" s="16"/>
      <c r="O31" s="17"/>
    </row>
    <row r="32" spans="2:15" x14ac:dyDescent="0.2">
      <c r="G32" s="15"/>
      <c r="H32" s="16"/>
      <c r="I32" s="16"/>
      <c r="J32" s="16"/>
      <c r="K32" s="16"/>
      <c r="L32" s="16"/>
      <c r="M32" s="16"/>
      <c r="N32" s="16"/>
      <c r="O32" s="17"/>
    </row>
    <row r="33" spans="2:15" x14ac:dyDescent="0.2">
      <c r="B33" s="3" t="s">
        <v>24</v>
      </c>
      <c r="C33" s="4"/>
      <c r="D33" s="5"/>
      <c r="G33" s="15"/>
      <c r="H33" s="16"/>
      <c r="I33" s="16"/>
      <c r="J33" s="16"/>
      <c r="K33" s="16"/>
      <c r="L33" s="16"/>
      <c r="M33" s="16"/>
      <c r="N33" s="16"/>
      <c r="O33" s="17"/>
    </row>
    <row r="34" spans="2:15" x14ac:dyDescent="0.2">
      <c r="B34" s="21" t="s">
        <v>26</v>
      </c>
      <c r="C34" s="41">
        <f>+C6/'Financial Model'!L71</f>
        <v>28.049442198868228</v>
      </c>
      <c r="D34" s="42"/>
      <c r="G34" s="15"/>
      <c r="H34" s="16"/>
      <c r="I34" s="16"/>
      <c r="J34" s="16"/>
      <c r="K34" s="16"/>
      <c r="L34" s="16"/>
      <c r="M34" s="16"/>
      <c r="N34" s="16"/>
      <c r="O34" s="17"/>
    </row>
    <row r="35" spans="2:15" x14ac:dyDescent="0.2">
      <c r="B35" s="21" t="s">
        <v>27</v>
      </c>
      <c r="C35" s="41">
        <f>+C8/SUM('Financial Model'!I7:L7)</f>
        <v>11.954232558139534</v>
      </c>
      <c r="D35" s="42"/>
      <c r="G35" s="15"/>
      <c r="H35" s="16"/>
      <c r="I35" s="16"/>
      <c r="J35" s="16"/>
      <c r="K35" s="16"/>
      <c r="L35" s="16"/>
      <c r="M35" s="16"/>
      <c r="N35" s="16"/>
      <c r="O35" s="17"/>
    </row>
    <row r="36" spans="2:15" x14ac:dyDescent="0.2">
      <c r="B36" s="21" t="s">
        <v>28</v>
      </c>
      <c r="C36" s="41">
        <f>+C6/SUM('Financial Model'!I22:L22)</f>
        <v>65.277899355462978</v>
      </c>
      <c r="D36" s="42"/>
      <c r="G36" s="15"/>
      <c r="H36" s="16"/>
      <c r="I36" s="16"/>
      <c r="J36" s="16"/>
      <c r="K36" s="16"/>
      <c r="L36" s="16"/>
      <c r="M36" s="16"/>
      <c r="N36" s="16"/>
      <c r="O36" s="17"/>
    </row>
    <row r="37" spans="2:15" x14ac:dyDescent="0.2">
      <c r="B37" s="21" t="s">
        <v>29</v>
      </c>
      <c r="C37" s="10">
        <v>76</v>
      </c>
      <c r="D37" s="11"/>
      <c r="G37" s="15"/>
      <c r="H37" s="16"/>
      <c r="I37" s="16"/>
      <c r="J37" s="16"/>
      <c r="K37" s="16"/>
      <c r="L37" s="16"/>
      <c r="M37" s="16"/>
      <c r="N37" s="16"/>
      <c r="O37" s="17"/>
    </row>
    <row r="38" spans="2:15" x14ac:dyDescent="0.2">
      <c r="B38" s="21" t="s">
        <v>25</v>
      </c>
      <c r="C38" s="10"/>
      <c r="D38" s="11"/>
      <c r="G38" s="15"/>
      <c r="H38" s="16"/>
      <c r="I38" s="16"/>
      <c r="J38" s="16"/>
      <c r="K38" s="16"/>
      <c r="L38" s="16"/>
      <c r="M38" s="16"/>
      <c r="N38" s="16"/>
      <c r="O38" s="17"/>
    </row>
    <row r="39" spans="2:15" x14ac:dyDescent="0.2">
      <c r="B39" s="21"/>
      <c r="C39" s="10"/>
      <c r="D39" s="11"/>
      <c r="G39" s="15"/>
      <c r="H39" s="16"/>
      <c r="I39" s="16"/>
      <c r="J39" s="16"/>
      <c r="K39" s="16"/>
      <c r="L39" s="16"/>
      <c r="M39" s="16"/>
      <c r="N39" s="16"/>
      <c r="O39" s="17"/>
    </row>
    <row r="40" spans="2:15" x14ac:dyDescent="0.2">
      <c r="G40" s="18"/>
      <c r="H40" s="19"/>
      <c r="I40" s="19"/>
      <c r="J40" s="19"/>
      <c r="K40" s="19"/>
      <c r="L40" s="19"/>
      <c r="M40" s="19"/>
      <c r="N40" s="19"/>
      <c r="O40" s="20"/>
    </row>
  </sheetData>
  <mergeCells count="22">
    <mergeCell ref="C34:D34"/>
    <mergeCell ref="C35:D35"/>
    <mergeCell ref="C36:D36"/>
    <mergeCell ref="C37:D37"/>
    <mergeCell ref="C38:D38"/>
    <mergeCell ref="C39:D39"/>
    <mergeCell ref="C26:D26"/>
    <mergeCell ref="C27:D27"/>
    <mergeCell ref="C28:D28"/>
    <mergeCell ref="C30:D30"/>
    <mergeCell ref="B33:D33"/>
    <mergeCell ref="G5:O5"/>
    <mergeCell ref="B22:D22"/>
    <mergeCell ref="C23:D23"/>
    <mergeCell ref="C24:D24"/>
    <mergeCell ref="C25:D25"/>
    <mergeCell ref="B5:D5"/>
    <mergeCell ref="B15:D15"/>
    <mergeCell ref="C16:D16"/>
    <mergeCell ref="C17:D17"/>
    <mergeCell ref="C18:D18"/>
    <mergeCell ref="C19:D19"/>
  </mergeCells>
  <hyperlinks>
    <hyperlink ref="C30:D30" r:id="rId1" display="Link" xr:uid="{136B0ED8-5FD6-4628-BBD0-474E201794E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6E9D-1442-4F5B-A570-7043CF769B1D}">
  <dimension ref="B1:Z86"/>
  <sheetViews>
    <sheetView tabSelected="1" workbookViewId="0">
      <pane xSplit="2" ySplit="3" topLeftCell="C48" activePane="bottomRight" state="frozen"/>
      <selection pane="topRight" activeCell="C1" sqref="C1"/>
      <selection pane="bottomLeft" activeCell="A4" sqref="A4"/>
      <selection pane="bottomRight" activeCell="U85" sqref="U85"/>
    </sheetView>
  </sheetViews>
  <sheetFormatPr defaultRowHeight="12.75" x14ac:dyDescent="0.2"/>
  <cols>
    <col min="1" max="1" width="4.28515625" style="2" customWidth="1"/>
    <col min="2" max="2" width="31.85546875" style="2" bestFit="1" customWidth="1"/>
    <col min="3" max="11" width="9.140625" style="2"/>
    <col min="12" max="12" width="9.42578125" style="2" bestFit="1" customWidth="1"/>
    <col min="13" max="16384" width="9.140625" style="2"/>
  </cols>
  <sheetData>
    <row r="1" spans="2:26" s="26" customFormat="1" x14ac:dyDescent="0.2">
      <c r="C1" s="26" t="s">
        <v>36</v>
      </c>
      <c r="D1" s="26" t="s">
        <v>35</v>
      </c>
      <c r="E1" s="26" t="s">
        <v>34</v>
      </c>
      <c r="F1" s="26" t="s">
        <v>33</v>
      </c>
      <c r="G1" s="26" t="s">
        <v>32</v>
      </c>
      <c r="H1" s="26" t="s">
        <v>31</v>
      </c>
      <c r="I1" s="29" t="s">
        <v>103</v>
      </c>
      <c r="J1" s="29" t="s">
        <v>102</v>
      </c>
      <c r="K1" s="29" t="s">
        <v>100</v>
      </c>
      <c r="L1" s="29" t="s">
        <v>101</v>
      </c>
      <c r="Q1" s="26" t="s">
        <v>104</v>
      </c>
      <c r="R1" s="26" t="s">
        <v>105</v>
      </c>
      <c r="S1" s="26" t="s">
        <v>106</v>
      </c>
      <c r="T1" s="26" t="s">
        <v>107</v>
      </c>
      <c r="U1" s="26" t="s">
        <v>108</v>
      </c>
      <c r="V1" s="26" t="s">
        <v>109</v>
      </c>
      <c r="W1" s="26" t="s">
        <v>110</v>
      </c>
      <c r="X1" s="26" t="s">
        <v>111</v>
      </c>
      <c r="Y1" s="26" t="s">
        <v>112</v>
      </c>
      <c r="Z1" s="26" t="s">
        <v>113</v>
      </c>
    </row>
    <row r="2" spans="2:26" s="27" customFormat="1" x14ac:dyDescent="0.2">
      <c r="B2" s="25"/>
      <c r="E2" s="30">
        <v>44865</v>
      </c>
      <c r="F2" s="30">
        <v>44926</v>
      </c>
      <c r="G2" s="30">
        <v>45046</v>
      </c>
      <c r="H2" s="30">
        <v>45138</v>
      </c>
      <c r="I2" s="30">
        <v>45230</v>
      </c>
      <c r="J2" s="30">
        <v>45291</v>
      </c>
      <c r="K2" s="30">
        <v>45412</v>
      </c>
      <c r="L2" s="30">
        <v>45504</v>
      </c>
      <c r="U2" s="30">
        <v>44592</v>
      </c>
      <c r="V2" s="30">
        <v>44957</v>
      </c>
      <c r="W2" s="30">
        <v>45322</v>
      </c>
    </row>
    <row r="3" spans="2:26" s="27" customFormat="1" x14ac:dyDescent="0.2">
      <c r="B3" s="25"/>
      <c r="I3" s="28">
        <v>45264</v>
      </c>
      <c r="J3" s="28">
        <v>45351</v>
      </c>
      <c r="K3" s="28">
        <v>45453</v>
      </c>
      <c r="L3" s="28">
        <v>45538</v>
      </c>
      <c r="W3" s="28">
        <f>+J3</f>
        <v>45351</v>
      </c>
    </row>
    <row r="4" spans="2:26" s="32" customFormat="1" x14ac:dyDescent="0.2">
      <c r="B4" s="31" t="s">
        <v>37</v>
      </c>
      <c r="E4" s="32">
        <v>1188</v>
      </c>
      <c r="G4" s="32">
        <v>1193</v>
      </c>
      <c r="H4" s="32">
        <v>1270</v>
      </c>
      <c r="I4" s="32">
        <v>1314</v>
      </c>
      <c r="J4" s="32">
        <f>+W4-SUM(G4:I4)</f>
        <v>1339</v>
      </c>
      <c r="K4" s="32">
        <v>1330</v>
      </c>
      <c r="L4" s="32">
        <v>1408</v>
      </c>
      <c r="U4" s="32">
        <v>4060</v>
      </c>
      <c r="V4" s="32">
        <v>4651</v>
      </c>
      <c r="W4" s="32">
        <v>5116</v>
      </c>
    </row>
    <row r="5" spans="2:26" s="32" customFormat="1" x14ac:dyDescent="0.2">
      <c r="B5" s="31" t="s">
        <v>38</v>
      </c>
      <c r="E5" s="32">
        <v>16</v>
      </c>
      <c r="G5" s="32">
        <v>14</v>
      </c>
      <c r="H5" s="32">
        <v>14</v>
      </c>
      <c r="I5" s="32">
        <v>12</v>
      </c>
      <c r="J5" s="32">
        <f>+W5-SUM(G5:I5)</f>
        <v>14</v>
      </c>
      <c r="K5" s="32">
        <v>11</v>
      </c>
      <c r="L5" s="32">
        <v>11</v>
      </c>
      <c r="U5" s="32">
        <v>76</v>
      </c>
      <c r="V5" s="32">
        <v>65</v>
      </c>
      <c r="W5" s="32">
        <v>54</v>
      </c>
    </row>
    <row r="6" spans="2:26" s="32" customFormat="1" x14ac:dyDescent="0.2">
      <c r="B6" s="31" t="s">
        <v>40</v>
      </c>
      <c r="E6" s="32">
        <v>76</v>
      </c>
      <c r="G6" s="32">
        <v>62</v>
      </c>
      <c r="H6" s="32">
        <v>61</v>
      </c>
      <c r="I6" s="32">
        <v>88</v>
      </c>
      <c r="J6" s="32">
        <f>+W6-SUM(G6:I6)</f>
        <v>116</v>
      </c>
      <c r="K6" s="32">
        <v>76</v>
      </c>
      <c r="L6" s="32">
        <v>86</v>
      </c>
      <c r="U6" s="32">
        <v>250</v>
      </c>
      <c r="V6" s="32">
        <v>289</v>
      </c>
      <c r="W6" s="32">
        <v>327</v>
      </c>
    </row>
    <row r="7" spans="2:26" s="33" customFormat="1" x14ac:dyDescent="0.2">
      <c r="B7" s="33" t="s">
        <v>39</v>
      </c>
      <c r="C7" s="33">
        <f t="shared" ref="C7:F7" si="0">+SUM(C4:C6)</f>
        <v>0</v>
      </c>
      <c r="D7" s="33">
        <f t="shared" si="0"/>
        <v>0</v>
      </c>
      <c r="E7" s="33">
        <f t="shared" si="0"/>
        <v>1280</v>
      </c>
      <c r="F7" s="33">
        <f t="shared" si="0"/>
        <v>0</v>
      </c>
      <c r="G7" s="33">
        <f>+SUM(G4:G6)</f>
        <v>1269</v>
      </c>
      <c r="H7" s="33">
        <f>+SUM(H4:H6)</f>
        <v>1345</v>
      </c>
      <c r="I7" s="33">
        <f>+SUM(I4:I6)</f>
        <v>1414</v>
      </c>
      <c r="J7" s="33">
        <f t="shared" ref="J7" si="1">+SUM(J4:J6)</f>
        <v>1469</v>
      </c>
      <c r="K7" s="33">
        <f>+SUM(K4:K6)</f>
        <v>1417</v>
      </c>
      <c r="L7" s="33">
        <f>+SUM(L4:L6)</f>
        <v>1505</v>
      </c>
      <c r="U7" s="33">
        <f t="shared" ref="U7:W7" si="2">+SUM(U4:U6)</f>
        <v>4386</v>
      </c>
      <c r="V7" s="33">
        <f t="shared" si="2"/>
        <v>5005</v>
      </c>
      <c r="W7" s="33">
        <f t="shared" si="2"/>
        <v>5497</v>
      </c>
    </row>
    <row r="8" spans="2:26" s="32" customFormat="1" x14ac:dyDescent="0.2">
      <c r="B8" s="31" t="s">
        <v>41</v>
      </c>
      <c r="E8" s="32">
        <v>86</v>
      </c>
      <c r="G8" s="32">
        <v>96</v>
      </c>
      <c r="H8" s="32">
        <v>95</v>
      </c>
      <c r="I8" s="32">
        <v>94</v>
      </c>
      <c r="J8" s="32">
        <f>+W8-SUM(G8:I8)</f>
        <v>96</v>
      </c>
      <c r="K8" s="32">
        <v>100</v>
      </c>
      <c r="L8" s="32">
        <v>100</v>
      </c>
      <c r="U8" s="32">
        <v>299</v>
      </c>
      <c r="V8" s="32">
        <v>343</v>
      </c>
      <c r="W8" s="32">
        <v>381</v>
      </c>
    </row>
    <row r="9" spans="2:26" s="32" customFormat="1" x14ac:dyDescent="0.2">
      <c r="B9" s="31" t="s">
        <v>42</v>
      </c>
      <c r="E9" s="32">
        <v>19</v>
      </c>
      <c r="G9" s="32">
        <v>20</v>
      </c>
      <c r="H9" s="32">
        <v>21</v>
      </c>
      <c r="I9" s="32">
        <v>21</v>
      </c>
      <c r="J9" s="32">
        <f>+W9-SUM(G9:I9)</f>
        <v>20</v>
      </c>
      <c r="K9" s="32">
        <v>20</v>
      </c>
      <c r="L9" s="32">
        <v>18</v>
      </c>
      <c r="U9" s="32">
        <v>67</v>
      </c>
      <c r="V9" s="32">
        <v>79</v>
      </c>
      <c r="W9" s="32">
        <v>82</v>
      </c>
    </row>
    <row r="10" spans="2:26" s="32" customFormat="1" x14ac:dyDescent="0.2">
      <c r="B10" s="31" t="s">
        <v>44</v>
      </c>
      <c r="E10" s="32">
        <v>15</v>
      </c>
      <c r="G10" s="32">
        <v>11</v>
      </c>
      <c r="H10" s="32">
        <v>11</v>
      </c>
      <c r="I10" s="32">
        <v>12</v>
      </c>
      <c r="J10" s="32">
        <f>+W10-SUM(G10:I10)</f>
        <v>14</v>
      </c>
      <c r="K10" s="32">
        <v>17</v>
      </c>
      <c r="L10" s="32">
        <v>22</v>
      </c>
      <c r="U10" s="32">
        <v>52</v>
      </c>
      <c r="V10" s="32">
        <v>58</v>
      </c>
      <c r="W10" s="32">
        <v>48</v>
      </c>
    </row>
    <row r="11" spans="2:26" s="32" customFormat="1" x14ac:dyDescent="0.2">
      <c r="B11" s="32" t="s">
        <v>43</v>
      </c>
      <c r="C11" s="32">
        <f t="shared" ref="C11:F11" si="3">SUM(C8:C10)</f>
        <v>0</v>
      </c>
      <c r="D11" s="32">
        <f t="shared" si="3"/>
        <v>0</v>
      </c>
      <c r="E11" s="32">
        <f t="shared" si="3"/>
        <v>120</v>
      </c>
      <c r="F11" s="32">
        <f t="shared" si="3"/>
        <v>0</v>
      </c>
      <c r="G11" s="32">
        <f>SUM(G8:G10)</f>
        <v>127</v>
      </c>
      <c r="H11" s="32">
        <f>SUM(H8:H10)</f>
        <v>127</v>
      </c>
      <c r="I11" s="32">
        <f>SUM(I8:I10)</f>
        <v>127</v>
      </c>
      <c r="J11" s="32">
        <f t="shared" ref="J11" si="4">SUM(J8:J10)</f>
        <v>130</v>
      </c>
      <c r="K11" s="32">
        <f>SUM(K8:K10)</f>
        <v>137</v>
      </c>
      <c r="L11" s="32">
        <f>SUM(L8:L10)</f>
        <v>140</v>
      </c>
      <c r="U11" s="32">
        <f t="shared" ref="U11:W11" si="5">SUM(U8:U10)</f>
        <v>418</v>
      </c>
      <c r="V11" s="32">
        <f t="shared" si="5"/>
        <v>480</v>
      </c>
      <c r="W11" s="32">
        <f t="shared" si="5"/>
        <v>511</v>
      </c>
    </row>
    <row r="12" spans="2:26" s="33" customFormat="1" x14ac:dyDescent="0.2">
      <c r="B12" s="33" t="s">
        <v>45</v>
      </c>
      <c r="C12" s="33">
        <f t="shared" ref="C12:F12" si="6">+C7-C11</f>
        <v>0</v>
      </c>
      <c r="D12" s="33">
        <f t="shared" si="6"/>
        <v>0</v>
      </c>
      <c r="E12" s="33">
        <f t="shared" si="6"/>
        <v>1160</v>
      </c>
      <c r="F12" s="33">
        <f t="shared" si="6"/>
        <v>0</v>
      </c>
      <c r="G12" s="33">
        <f>+G7-G11</f>
        <v>1142</v>
      </c>
      <c r="H12" s="33">
        <f>+H7-H11</f>
        <v>1218</v>
      </c>
      <c r="I12" s="33">
        <f>+I7-I11</f>
        <v>1287</v>
      </c>
      <c r="J12" s="33">
        <f t="shared" ref="J12" si="7">+J7-J11</f>
        <v>1339</v>
      </c>
      <c r="K12" s="33">
        <f>+K7-K11</f>
        <v>1280</v>
      </c>
      <c r="L12" s="33">
        <f>+L7-L11</f>
        <v>1365</v>
      </c>
      <c r="U12" s="33">
        <f t="shared" ref="U12:W12" si="8">+U7-U11</f>
        <v>3968</v>
      </c>
      <c r="V12" s="33">
        <f t="shared" si="8"/>
        <v>4525</v>
      </c>
      <c r="W12" s="33">
        <f t="shared" si="8"/>
        <v>4986</v>
      </c>
    </row>
    <row r="13" spans="2:26" x14ac:dyDescent="0.2">
      <c r="B13" s="2" t="s">
        <v>46</v>
      </c>
      <c r="E13" s="2">
        <v>454</v>
      </c>
      <c r="G13" s="2">
        <v>456</v>
      </c>
      <c r="H13" s="2">
        <v>449</v>
      </c>
      <c r="I13" s="2">
        <v>439</v>
      </c>
      <c r="J13" s="32">
        <f>+W13-SUM(G13:I13)</f>
        <v>479</v>
      </c>
      <c r="K13" s="2">
        <v>469</v>
      </c>
      <c r="L13" s="2">
        <v>480</v>
      </c>
      <c r="U13" s="2">
        <v>1623</v>
      </c>
      <c r="V13" s="2">
        <v>1745</v>
      </c>
      <c r="W13" s="2">
        <v>1823</v>
      </c>
    </row>
    <row r="14" spans="2:26" x14ac:dyDescent="0.2">
      <c r="B14" s="2" t="s">
        <v>47</v>
      </c>
      <c r="E14" s="2">
        <v>311</v>
      </c>
      <c r="G14" s="2">
        <v>327</v>
      </c>
      <c r="H14" s="2">
        <v>355</v>
      </c>
      <c r="I14" s="2">
        <v>339</v>
      </c>
      <c r="J14" s="32">
        <f>+W14-SUM(G14:I14)</f>
        <v>352</v>
      </c>
      <c r="K14" s="2">
        <v>346</v>
      </c>
      <c r="L14" s="2">
        <v>368</v>
      </c>
      <c r="U14" s="2">
        <v>1115</v>
      </c>
      <c r="V14" s="2">
        <v>1219</v>
      </c>
      <c r="W14" s="2">
        <v>1373</v>
      </c>
    </row>
    <row r="15" spans="2:26" x14ac:dyDescent="0.2">
      <c r="B15" s="2" t="s">
        <v>48</v>
      </c>
      <c r="E15" s="2">
        <v>129</v>
      </c>
      <c r="G15" s="2">
        <v>132</v>
      </c>
      <c r="H15" s="2">
        <v>141</v>
      </c>
      <c r="I15" s="2">
        <v>165</v>
      </c>
      <c r="J15" s="32">
        <f>+W15-SUM(G15:I15)</f>
        <v>182</v>
      </c>
      <c r="K15" s="2">
        <v>155</v>
      </c>
      <c r="L15" s="2">
        <v>161</v>
      </c>
      <c r="U15" s="2">
        <v>572</v>
      </c>
      <c r="V15" s="2">
        <v>532</v>
      </c>
      <c r="W15" s="2">
        <v>620</v>
      </c>
    </row>
    <row r="16" spans="2:26" x14ac:dyDescent="0.2">
      <c r="B16" s="2" t="s">
        <v>49</v>
      </c>
      <c r="E16" s="2">
        <v>10</v>
      </c>
      <c r="G16" s="2">
        <v>10</v>
      </c>
      <c r="H16" s="2">
        <v>11</v>
      </c>
      <c r="I16" s="2">
        <v>10</v>
      </c>
      <c r="J16" s="32">
        <f>+W16-SUM(G16:I16)</f>
        <v>11</v>
      </c>
      <c r="K16" s="2">
        <v>11</v>
      </c>
      <c r="L16" s="2">
        <v>13</v>
      </c>
      <c r="U16" s="2">
        <v>40</v>
      </c>
      <c r="V16" s="2">
        <v>40</v>
      </c>
      <c r="W16" s="2">
        <v>42</v>
      </c>
    </row>
    <row r="17" spans="2:23" s="1" customFormat="1" x14ac:dyDescent="0.2">
      <c r="B17" s="1" t="s">
        <v>50</v>
      </c>
      <c r="C17" s="33">
        <f t="shared" ref="C17:F17" si="9">+C12-SUM(C13:C16)</f>
        <v>0</v>
      </c>
      <c r="D17" s="33">
        <f t="shared" si="9"/>
        <v>0</v>
      </c>
      <c r="E17" s="33">
        <f t="shared" si="9"/>
        <v>256</v>
      </c>
      <c r="F17" s="33">
        <f t="shared" si="9"/>
        <v>0</v>
      </c>
      <c r="G17" s="33">
        <f>+G12-SUM(G13:G16)</f>
        <v>217</v>
      </c>
      <c r="H17" s="33">
        <f>+H12-SUM(H13:H16)</f>
        <v>262</v>
      </c>
      <c r="I17" s="33">
        <f>+I12-SUM(I13:I16)</f>
        <v>334</v>
      </c>
      <c r="J17" s="33">
        <f t="shared" ref="J17" si="10">+J12-SUM(J13:J16)</f>
        <v>315</v>
      </c>
      <c r="K17" s="33">
        <f>+K12-SUM(K13:K16)</f>
        <v>299</v>
      </c>
      <c r="L17" s="33">
        <f>+L12-SUM(L13:L16)</f>
        <v>343</v>
      </c>
      <c r="U17" s="33">
        <f t="shared" ref="U17:W17" si="11">+U12-SUM(U13:U16)</f>
        <v>618</v>
      </c>
      <c r="V17" s="33">
        <f t="shared" si="11"/>
        <v>989</v>
      </c>
      <c r="W17" s="33">
        <f t="shared" si="11"/>
        <v>1128</v>
      </c>
    </row>
    <row r="18" spans="2:23" x14ac:dyDescent="0.2">
      <c r="B18" s="2" t="s">
        <v>51</v>
      </c>
      <c r="E18" s="2">
        <v>-14</v>
      </c>
      <c r="G18" s="2">
        <v>4</v>
      </c>
      <c r="H18" s="2">
        <v>-4</v>
      </c>
      <c r="I18" s="2">
        <v>-14</v>
      </c>
      <c r="J18" s="32">
        <f>+W18-SUM(G18:I18)</f>
        <v>22</v>
      </c>
      <c r="K18" s="2">
        <v>10</v>
      </c>
      <c r="L18" s="2">
        <v>9</v>
      </c>
      <c r="U18" s="2">
        <v>-53</v>
      </c>
      <c r="V18" s="2">
        <v>-43</v>
      </c>
      <c r="W18" s="2">
        <v>8</v>
      </c>
    </row>
    <row r="19" spans="2:23" x14ac:dyDescent="0.2">
      <c r="B19" s="2" t="s">
        <v>52</v>
      </c>
      <c r="C19" s="32">
        <f t="shared" ref="C19:F19" si="12">+C17+C18</f>
        <v>0</v>
      </c>
      <c r="D19" s="32">
        <f t="shared" si="12"/>
        <v>0</v>
      </c>
      <c r="E19" s="32">
        <f t="shared" si="12"/>
        <v>242</v>
      </c>
      <c r="F19" s="32">
        <f t="shared" si="12"/>
        <v>0</v>
      </c>
      <c r="G19" s="32">
        <f>+G17+G18</f>
        <v>221</v>
      </c>
      <c r="H19" s="32">
        <f>+H17+H18</f>
        <v>258</v>
      </c>
      <c r="I19" s="32">
        <f>+I17+I18</f>
        <v>320</v>
      </c>
      <c r="J19" s="32">
        <f t="shared" ref="J19" si="13">+J17+J18</f>
        <v>337</v>
      </c>
      <c r="K19" s="32">
        <f>+K17+K18</f>
        <v>309</v>
      </c>
      <c r="L19" s="32">
        <f>+L17+L18</f>
        <v>352</v>
      </c>
      <c r="U19" s="32">
        <f t="shared" ref="U19:W19" si="14">+U17+U18</f>
        <v>565</v>
      </c>
      <c r="V19" s="32">
        <f t="shared" si="14"/>
        <v>946</v>
      </c>
      <c r="W19" s="32">
        <f t="shared" si="14"/>
        <v>1136</v>
      </c>
    </row>
    <row r="20" spans="2:23" x14ac:dyDescent="0.2">
      <c r="B20" s="2" t="s">
        <v>53</v>
      </c>
      <c r="E20" s="2">
        <v>44</v>
      </c>
      <c r="G20" s="2">
        <v>60</v>
      </c>
      <c r="H20" s="2">
        <v>36</v>
      </c>
      <c r="I20" s="2">
        <v>79</v>
      </c>
      <c r="J20" s="32">
        <f>+W20-SUM(G20:I20)</f>
        <v>55</v>
      </c>
      <c r="K20" s="2">
        <v>57</v>
      </c>
      <c r="L20" s="2">
        <v>70</v>
      </c>
      <c r="U20" s="2">
        <v>68</v>
      </c>
      <c r="V20" s="2">
        <v>123</v>
      </c>
      <c r="W20" s="2">
        <v>230</v>
      </c>
    </row>
    <row r="21" spans="2:23" s="1" customFormat="1" x14ac:dyDescent="0.2">
      <c r="B21" s="1" t="s">
        <v>54</v>
      </c>
      <c r="C21" s="33">
        <f t="shared" ref="C21:F21" si="15">+C19-C20</f>
        <v>0</v>
      </c>
      <c r="D21" s="33">
        <f t="shared" si="15"/>
        <v>0</v>
      </c>
      <c r="E21" s="33">
        <f t="shared" si="15"/>
        <v>198</v>
      </c>
      <c r="F21" s="33">
        <f t="shared" si="15"/>
        <v>0</v>
      </c>
      <c r="G21" s="33">
        <f>+G19-G20</f>
        <v>161</v>
      </c>
      <c r="H21" s="33">
        <f>+H19-H20</f>
        <v>222</v>
      </c>
      <c r="I21" s="33">
        <f>+I19-I20</f>
        <v>241</v>
      </c>
      <c r="J21" s="33">
        <f t="shared" ref="J21" si="16">+J19-J20</f>
        <v>282</v>
      </c>
      <c r="K21" s="33">
        <f>+K19-K20</f>
        <v>252</v>
      </c>
      <c r="L21" s="33">
        <f>+L19-L20</f>
        <v>282</v>
      </c>
      <c r="U21" s="33">
        <f t="shared" ref="U21:W21" si="17">+U19-U20</f>
        <v>497</v>
      </c>
      <c r="V21" s="33">
        <f t="shared" si="17"/>
        <v>823</v>
      </c>
      <c r="W21" s="33">
        <f t="shared" si="17"/>
        <v>906</v>
      </c>
    </row>
    <row r="22" spans="2:23" s="34" customFormat="1" x14ac:dyDescent="0.2">
      <c r="B22" s="34" t="s">
        <v>55</v>
      </c>
      <c r="E22" s="34">
        <f>+E21/E23</f>
        <v>0.9124423963133641</v>
      </c>
      <c r="G22" s="34">
        <f>+G21/G23</f>
        <v>0.74883720930232556</v>
      </c>
      <c r="H22" s="34">
        <f>+H21/H23</f>
        <v>1.0373831775700935</v>
      </c>
      <c r="I22" s="34">
        <f>+I21/I23</f>
        <v>1.1261682242990654</v>
      </c>
      <c r="J22" s="34">
        <f>+J21/J23</f>
        <v>1.3177570093457944</v>
      </c>
      <c r="K22" s="34">
        <f>+K21/K23</f>
        <v>1.172093023255814</v>
      </c>
      <c r="L22" s="34">
        <f>+L21/L23</f>
        <v>1.3055555555555556</v>
      </c>
      <c r="U22" s="34">
        <f>+U21/U23</f>
        <v>2.2590909090909093</v>
      </c>
      <c r="V22" s="34">
        <f>+V21/V23</f>
        <v>3.8101851851851851</v>
      </c>
      <c r="W22" s="34">
        <f>+W21/W23</f>
        <v>4.2336448598130838</v>
      </c>
    </row>
    <row r="23" spans="2:23" x14ac:dyDescent="0.2">
      <c r="B23" s="2" t="s">
        <v>4</v>
      </c>
      <c r="E23" s="2">
        <v>217</v>
      </c>
      <c r="G23" s="2">
        <v>215</v>
      </c>
      <c r="H23" s="2">
        <v>214</v>
      </c>
      <c r="I23" s="2">
        <v>214</v>
      </c>
      <c r="J23" s="2">
        <f>+W23</f>
        <v>214</v>
      </c>
      <c r="K23" s="2">
        <v>215</v>
      </c>
      <c r="L23" s="2">
        <v>216</v>
      </c>
      <c r="U23" s="2">
        <v>220</v>
      </c>
      <c r="V23" s="2">
        <v>216</v>
      </c>
      <c r="W23" s="2">
        <v>214</v>
      </c>
    </row>
    <row r="25" spans="2:23" s="36" customFormat="1" x14ac:dyDescent="0.2">
      <c r="B25" s="36" t="s">
        <v>56</v>
      </c>
      <c r="E25" s="36">
        <f>+E12/E7</f>
        <v>0.90625</v>
      </c>
      <c r="G25" s="36">
        <f>+G12/G7</f>
        <v>0.89992119779353819</v>
      </c>
      <c r="H25" s="36">
        <f>+H12/H7</f>
        <v>0.90557620817843865</v>
      </c>
      <c r="I25" s="36">
        <f>+I12/I7</f>
        <v>0.91018387553041014</v>
      </c>
      <c r="J25" s="36">
        <f>+J12/J7</f>
        <v>0.91150442477876104</v>
      </c>
      <c r="K25" s="36">
        <f>+K12/K7</f>
        <v>0.90331686661961896</v>
      </c>
      <c r="L25" s="36">
        <f>+L12/L7</f>
        <v>0.90697674418604646</v>
      </c>
      <c r="U25" s="36">
        <f>+U12/U7</f>
        <v>0.90469676242590058</v>
      </c>
      <c r="V25" s="36">
        <f>+V12/V7</f>
        <v>0.90409590409590412</v>
      </c>
      <c r="W25" s="36">
        <f>+W12/W7</f>
        <v>0.90704020374749861</v>
      </c>
    </row>
    <row r="26" spans="2:23" s="36" customFormat="1" x14ac:dyDescent="0.2">
      <c r="B26" s="36" t="s">
        <v>57</v>
      </c>
      <c r="E26" s="36">
        <f>+E17/E7</f>
        <v>0.2</v>
      </c>
      <c r="G26" s="36">
        <f>+G17/G7</f>
        <v>0.17100078802206461</v>
      </c>
      <c r="H26" s="36">
        <f>+H17/H7</f>
        <v>0.19479553903345725</v>
      </c>
      <c r="I26" s="36">
        <f>+I17/I7</f>
        <v>0.23620933521923621</v>
      </c>
      <c r="J26" s="36">
        <f>+J17/J7</f>
        <v>0.21443158611300203</v>
      </c>
      <c r="K26" s="36">
        <f>+K17/K7</f>
        <v>0.21100917431192662</v>
      </c>
      <c r="L26" s="36">
        <f>+L17/L7</f>
        <v>0.22790697674418606</v>
      </c>
      <c r="U26" s="36">
        <f>+U17/U7</f>
        <v>0.1409028727770178</v>
      </c>
      <c r="V26" s="36">
        <f>+V17/V7</f>
        <v>0.19760239760239759</v>
      </c>
      <c r="W26" s="36">
        <f>+W17/W7</f>
        <v>0.20520283791158814</v>
      </c>
    </row>
    <row r="27" spans="2:23" s="36" customFormat="1" x14ac:dyDescent="0.2">
      <c r="B27" s="36" t="s">
        <v>58</v>
      </c>
      <c r="E27" s="36">
        <f>+E21/E7</f>
        <v>0.15468750000000001</v>
      </c>
      <c r="G27" s="36">
        <f>+G21/G7</f>
        <v>0.12687155240346729</v>
      </c>
      <c r="H27" s="36">
        <f>+H21/H7</f>
        <v>0.16505576208178438</v>
      </c>
      <c r="I27" s="36">
        <f>+I21/I7</f>
        <v>0.17043847241867044</v>
      </c>
      <c r="J27" s="36">
        <f>+J21/J7</f>
        <v>0.19196732471068753</v>
      </c>
      <c r="K27" s="36">
        <f>+K21/K7</f>
        <v>0.17784050811573748</v>
      </c>
      <c r="L27" s="36">
        <f>+L21/L7</f>
        <v>0.18737541528239202</v>
      </c>
      <c r="U27" s="36">
        <f>+U21/U7</f>
        <v>0.11331509347925217</v>
      </c>
      <c r="V27" s="36">
        <f>+V21/V7</f>
        <v>0.16443556443556442</v>
      </c>
      <c r="W27" s="36">
        <f>+W21/W7</f>
        <v>0.16481717300345644</v>
      </c>
    </row>
    <row r="28" spans="2:23" s="36" customFormat="1" x14ac:dyDescent="0.2">
      <c r="B28" s="36" t="s">
        <v>59</v>
      </c>
      <c r="E28" s="36">
        <f>+E20/E19</f>
        <v>0.18181818181818182</v>
      </c>
      <c r="G28" s="36">
        <f>+G20/G19</f>
        <v>0.27149321266968324</v>
      </c>
      <c r="H28" s="36">
        <f>+H20/H19</f>
        <v>0.13953488372093023</v>
      </c>
      <c r="I28" s="36">
        <f>+I20/I19</f>
        <v>0.24687500000000001</v>
      </c>
      <c r="J28" s="36">
        <f>+J20/J19</f>
        <v>0.16320474777448071</v>
      </c>
      <c r="K28" s="36">
        <f>+K20/K19</f>
        <v>0.18446601941747573</v>
      </c>
      <c r="L28" s="36">
        <f>+L20/L19</f>
        <v>0.19886363636363635</v>
      </c>
      <c r="U28" s="36">
        <f>+U20/U19</f>
        <v>0.12035398230088495</v>
      </c>
      <c r="V28" s="36">
        <f>+V20/V19</f>
        <v>0.13002114164904863</v>
      </c>
      <c r="W28" s="36">
        <f>+W20/W19</f>
        <v>0.20246478873239437</v>
      </c>
    </row>
    <row r="30" spans="2:23" s="35" customFormat="1" x14ac:dyDescent="0.2">
      <c r="B30" s="35" t="s">
        <v>60</v>
      </c>
      <c r="I30" s="35">
        <f>+I7/E7-1</f>
        <v>0.10468750000000004</v>
      </c>
      <c r="K30" s="35">
        <f>+K7/G7-1</f>
        <v>0.11662726556343572</v>
      </c>
      <c r="L30" s="35">
        <f>+L7/H7-1</f>
        <v>0.11895910780669139</v>
      </c>
      <c r="V30" s="35">
        <f>+V7/U7-1</f>
        <v>0.14113087095303234</v>
      </c>
      <c r="W30" s="35">
        <f>+W7/V7-1</f>
        <v>9.8301698301698215E-2</v>
      </c>
    </row>
    <row r="31" spans="2:23" s="36" customFormat="1" x14ac:dyDescent="0.2">
      <c r="B31" s="36" t="s">
        <v>61</v>
      </c>
      <c r="H31" s="36">
        <f>+H7/G7-1</f>
        <v>5.9889676910953593E-2</v>
      </c>
      <c r="I31" s="36">
        <f>+I7/H7-1</f>
        <v>5.1301115241635609E-2</v>
      </c>
      <c r="J31" s="36">
        <f>+J7/I7-1</f>
        <v>3.8896746817538963E-2</v>
      </c>
      <c r="K31" s="36">
        <f>+K7/J7-1</f>
        <v>-3.539823008849563E-2</v>
      </c>
      <c r="L31" s="36">
        <f>+L7/K7-1</f>
        <v>6.2103034580098804E-2</v>
      </c>
    </row>
    <row r="37" spans="2:12" x14ac:dyDescent="0.2">
      <c r="B37" s="38" t="s">
        <v>62</v>
      </c>
    </row>
    <row r="38" spans="2:12" s="33" customFormat="1" x14ac:dyDescent="0.2">
      <c r="B38" s="33" t="s">
        <v>6</v>
      </c>
      <c r="K38" s="33">
        <v>1681</v>
      </c>
      <c r="L38" s="33">
        <v>1513</v>
      </c>
    </row>
    <row r="39" spans="2:12" s="33" customFormat="1" x14ac:dyDescent="0.2">
      <c r="B39" s="33" t="s">
        <v>63</v>
      </c>
      <c r="K39" s="33">
        <v>308</v>
      </c>
      <c r="L39" s="33">
        <v>365</v>
      </c>
    </row>
    <row r="40" spans="2:12" s="32" customFormat="1" x14ac:dyDescent="0.2">
      <c r="B40" s="32" t="s">
        <v>64</v>
      </c>
      <c r="K40" s="32">
        <v>353</v>
      </c>
      <c r="L40" s="32">
        <v>402</v>
      </c>
    </row>
    <row r="41" spans="2:12" s="32" customFormat="1" x14ac:dyDescent="0.2">
      <c r="B41" s="32" t="s">
        <v>65</v>
      </c>
      <c r="K41" s="32">
        <v>468</v>
      </c>
      <c r="L41" s="32">
        <v>478</v>
      </c>
    </row>
    <row r="42" spans="2:12" s="32" customFormat="1" x14ac:dyDescent="0.2">
      <c r="B42" s="32" t="s">
        <v>66</v>
      </c>
      <c r="C42" s="32">
        <f t="shared" ref="C42:K42" si="18">+SUM(C38:C41)</f>
        <v>0</v>
      </c>
      <c r="D42" s="32">
        <f t="shared" si="18"/>
        <v>0</v>
      </c>
      <c r="E42" s="32">
        <f t="shared" si="18"/>
        <v>0</v>
      </c>
      <c r="F42" s="32">
        <f t="shared" si="18"/>
        <v>0</v>
      </c>
      <c r="G42" s="32">
        <f t="shared" si="18"/>
        <v>0</v>
      </c>
      <c r="H42" s="32">
        <f t="shared" si="18"/>
        <v>0</v>
      </c>
      <c r="I42" s="32">
        <f t="shared" si="18"/>
        <v>0</v>
      </c>
      <c r="J42" s="32">
        <f t="shared" si="18"/>
        <v>0</v>
      </c>
      <c r="K42" s="32">
        <f t="shared" si="18"/>
        <v>2810</v>
      </c>
      <c r="L42" s="32">
        <f>+SUM(L38:L41)</f>
        <v>2758</v>
      </c>
    </row>
    <row r="43" spans="2:12" s="33" customFormat="1" x14ac:dyDescent="0.2">
      <c r="B43" s="33" t="s">
        <v>67</v>
      </c>
      <c r="K43" s="33">
        <v>238</v>
      </c>
      <c r="L43" s="33">
        <v>231</v>
      </c>
    </row>
    <row r="44" spans="2:12" s="32" customFormat="1" x14ac:dyDescent="0.2">
      <c r="B44" s="32" t="s">
        <v>69</v>
      </c>
      <c r="K44" s="32">
        <v>117</v>
      </c>
      <c r="L44" s="32">
        <v>116</v>
      </c>
    </row>
    <row r="45" spans="2:12" s="32" customFormat="1" x14ac:dyDescent="0.2">
      <c r="B45" s="32" t="s">
        <v>68</v>
      </c>
      <c r="K45" s="32">
        <v>214</v>
      </c>
      <c r="L45" s="32">
        <v>205</v>
      </c>
    </row>
    <row r="46" spans="2:12" s="32" customFormat="1" x14ac:dyDescent="0.2">
      <c r="B46" s="32" t="s">
        <v>70</v>
      </c>
      <c r="K46" s="32">
        <f>572+4133</f>
        <v>4705</v>
      </c>
      <c r="L46" s="32">
        <f>609+4253</f>
        <v>4862</v>
      </c>
    </row>
    <row r="47" spans="2:12" s="32" customFormat="1" x14ac:dyDescent="0.2">
      <c r="B47" s="32" t="s">
        <v>71</v>
      </c>
      <c r="K47" s="32">
        <v>1126</v>
      </c>
      <c r="L47" s="32">
        <v>1129</v>
      </c>
    </row>
    <row r="48" spans="2:12" s="32" customFormat="1" x14ac:dyDescent="0.2">
      <c r="B48" s="32" t="s">
        <v>72</v>
      </c>
      <c r="K48" s="32">
        <v>620</v>
      </c>
      <c r="L48" s="32">
        <v>659</v>
      </c>
    </row>
    <row r="49" spans="2:12" s="32" customFormat="1" x14ac:dyDescent="0.2">
      <c r="B49" s="32" t="s">
        <v>73</v>
      </c>
      <c r="C49" s="32">
        <f t="shared" ref="C49:K49" si="19">+SUM(C42:C48)</f>
        <v>0</v>
      </c>
      <c r="D49" s="32">
        <f t="shared" si="19"/>
        <v>0</v>
      </c>
      <c r="E49" s="32">
        <f t="shared" si="19"/>
        <v>0</v>
      </c>
      <c r="F49" s="32">
        <f t="shared" si="19"/>
        <v>0</v>
      </c>
      <c r="G49" s="32">
        <f t="shared" si="19"/>
        <v>0</v>
      </c>
      <c r="H49" s="32">
        <f t="shared" si="19"/>
        <v>0</v>
      </c>
      <c r="I49" s="32">
        <f t="shared" si="19"/>
        <v>0</v>
      </c>
      <c r="J49" s="32">
        <f t="shared" si="19"/>
        <v>0</v>
      </c>
      <c r="K49" s="32">
        <f t="shared" si="19"/>
        <v>9830</v>
      </c>
      <c r="L49" s="32">
        <f>+SUM(L42:L48)</f>
        <v>9960</v>
      </c>
    </row>
    <row r="50" spans="2:12" s="32" customFormat="1" x14ac:dyDescent="0.2"/>
    <row r="51" spans="2:12" s="32" customFormat="1" x14ac:dyDescent="0.2">
      <c r="B51" s="32" t="s">
        <v>74</v>
      </c>
      <c r="K51" s="32">
        <v>163</v>
      </c>
      <c r="L51" s="32">
        <v>174</v>
      </c>
    </row>
    <row r="52" spans="2:12" s="32" customFormat="1" x14ac:dyDescent="0.2">
      <c r="B52" s="32" t="s">
        <v>75</v>
      </c>
      <c r="K52" s="32">
        <v>326</v>
      </c>
      <c r="L52" s="32">
        <v>361</v>
      </c>
    </row>
    <row r="53" spans="2:12" s="32" customFormat="1" x14ac:dyDescent="0.2">
      <c r="B53" s="32" t="s">
        <v>76</v>
      </c>
      <c r="K53" s="32">
        <v>59</v>
      </c>
      <c r="L53" s="32">
        <v>48</v>
      </c>
    </row>
    <row r="54" spans="2:12" s="32" customFormat="1" x14ac:dyDescent="0.2">
      <c r="B54" s="32" t="s">
        <v>77</v>
      </c>
      <c r="K54" s="32">
        <v>3362</v>
      </c>
      <c r="L54" s="32">
        <v>3228</v>
      </c>
    </row>
    <row r="55" spans="2:12" s="32" customFormat="1" x14ac:dyDescent="0.2">
      <c r="B55" s="32" t="s">
        <v>78</v>
      </c>
      <c r="K55" s="32">
        <v>66</v>
      </c>
      <c r="L55" s="32">
        <v>67</v>
      </c>
    </row>
    <row r="56" spans="2:12" s="33" customFormat="1" x14ac:dyDescent="0.2">
      <c r="B56" s="33" t="s">
        <v>81</v>
      </c>
      <c r="K56" s="33">
        <v>0</v>
      </c>
      <c r="L56" s="33">
        <v>300</v>
      </c>
    </row>
    <row r="57" spans="2:12" s="32" customFormat="1" x14ac:dyDescent="0.2">
      <c r="B57" s="32" t="s">
        <v>79</v>
      </c>
      <c r="K57" s="32">
        <v>121</v>
      </c>
      <c r="L57" s="32">
        <v>159</v>
      </c>
    </row>
    <row r="58" spans="2:12" s="32" customFormat="1" x14ac:dyDescent="0.2">
      <c r="B58" s="32" t="s">
        <v>80</v>
      </c>
      <c r="C58" s="32">
        <f t="shared" ref="C58:K58" si="20">+SUM(C51:C57)</f>
        <v>0</v>
      </c>
      <c r="D58" s="32">
        <f t="shared" si="20"/>
        <v>0</v>
      </c>
      <c r="E58" s="32">
        <f t="shared" si="20"/>
        <v>0</v>
      </c>
      <c r="F58" s="32">
        <f t="shared" si="20"/>
        <v>0</v>
      </c>
      <c r="G58" s="32">
        <f t="shared" si="20"/>
        <v>0</v>
      </c>
      <c r="H58" s="32">
        <f t="shared" si="20"/>
        <v>0</v>
      </c>
      <c r="I58" s="32">
        <f t="shared" si="20"/>
        <v>0</v>
      </c>
      <c r="J58" s="32">
        <f t="shared" si="20"/>
        <v>0</v>
      </c>
      <c r="K58" s="32">
        <f t="shared" si="20"/>
        <v>4097</v>
      </c>
      <c r="L58" s="32">
        <f>+SUM(L51:L57)</f>
        <v>4337</v>
      </c>
    </row>
    <row r="59" spans="2:12" s="32" customFormat="1" x14ac:dyDescent="0.2">
      <c r="B59" s="32" t="s">
        <v>82</v>
      </c>
      <c r="K59" s="32">
        <v>600</v>
      </c>
      <c r="L59" s="32">
        <v>464</v>
      </c>
    </row>
    <row r="60" spans="2:12" s="32" customFormat="1" x14ac:dyDescent="0.2">
      <c r="B60" s="32" t="s">
        <v>83</v>
      </c>
      <c r="K60" s="32">
        <v>263</v>
      </c>
      <c r="L60" s="32">
        <v>250</v>
      </c>
    </row>
    <row r="61" spans="2:12" s="32" customFormat="1" x14ac:dyDescent="0.2">
      <c r="B61" s="32" t="s">
        <v>84</v>
      </c>
      <c r="K61" s="32">
        <v>178</v>
      </c>
      <c r="L61" s="32">
        <v>183</v>
      </c>
    </row>
    <row r="62" spans="2:12" s="32" customFormat="1" x14ac:dyDescent="0.2">
      <c r="B62" s="32" t="s">
        <v>90</v>
      </c>
      <c r="K62" s="32">
        <v>42</v>
      </c>
      <c r="L62" s="32">
        <v>36</v>
      </c>
    </row>
    <row r="63" spans="2:12" s="33" customFormat="1" x14ac:dyDescent="0.2">
      <c r="B63" s="33" t="s">
        <v>85</v>
      </c>
      <c r="K63" s="33">
        <v>2285</v>
      </c>
      <c r="L63" s="33">
        <v>1986</v>
      </c>
    </row>
    <row r="64" spans="2:12" s="32" customFormat="1" x14ac:dyDescent="0.2">
      <c r="B64" s="32" t="s">
        <v>86</v>
      </c>
      <c r="K64" s="32">
        <v>204</v>
      </c>
      <c r="L64" s="32">
        <v>230</v>
      </c>
    </row>
    <row r="65" spans="2:23" s="32" customFormat="1" x14ac:dyDescent="0.2">
      <c r="B65" s="32" t="s">
        <v>87</v>
      </c>
      <c r="C65" s="32">
        <f t="shared" ref="C65:K65" si="21">+SUM(C58:C64)</f>
        <v>0</v>
      </c>
      <c r="D65" s="32">
        <f t="shared" si="21"/>
        <v>0</v>
      </c>
      <c r="E65" s="32">
        <f t="shared" si="21"/>
        <v>0</v>
      </c>
      <c r="F65" s="32">
        <f t="shared" si="21"/>
        <v>0</v>
      </c>
      <c r="G65" s="32">
        <f t="shared" si="21"/>
        <v>0</v>
      </c>
      <c r="H65" s="32">
        <f t="shared" si="21"/>
        <v>0</v>
      </c>
      <c r="I65" s="32">
        <f t="shared" si="21"/>
        <v>0</v>
      </c>
      <c r="J65" s="32">
        <f t="shared" si="21"/>
        <v>0</v>
      </c>
      <c r="K65" s="32">
        <f t="shared" si="21"/>
        <v>7669</v>
      </c>
      <c r="L65" s="32">
        <f>+SUM(L58:L64)</f>
        <v>7486</v>
      </c>
    </row>
    <row r="66" spans="2:23" s="32" customFormat="1" x14ac:dyDescent="0.2"/>
    <row r="67" spans="2:23" s="32" customFormat="1" x14ac:dyDescent="0.2">
      <c r="B67" s="32" t="s">
        <v>88</v>
      </c>
      <c r="K67" s="32">
        <v>2161</v>
      </c>
      <c r="L67" s="32">
        <v>2474</v>
      </c>
    </row>
    <row r="68" spans="2:23" s="32" customFormat="1" x14ac:dyDescent="0.2">
      <c r="B68" s="32" t="s">
        <v>89</v>
      </c>
      <c r="K68" s="32">
        <f>+K67+K65</f>
        <v>9830</v>
      </c>
      <c r="L68" s="32">
        <f>+L67+L65</f>
        <v>9960</v>
      </c>
    </row>
    <row r="70" spans="2:23" x14ac:dyDescent="0.2">
      <c r="B70" s="2" t="s">
        <v>91</v>
      </c>
      <c r="K70" s="32">
        <f t="shared" ref="K70:L70" si="22">+K49-K65</f>
        <v>2161</v>
      </c>
      <c r="L70" s="32">
        <f>+L49-L65</f>
        <v>2474</v>
      </c>
    </row>
    <row r="71" spans="2:23" x14ac:dyDescent="0.2">
      <c r="B71" s="2" t="s">
        <v>92</v>
      </c>
      <c r="K71" s="2">
        <f t="shared" ref="K71" si="23">+K70/K23</f>
        <v>10.051162790697674</v>
      </c>
      <c r="L71" s="2">
        <f>+L70/L23</f>
        <v>11.453703703703704</v>
      </c>
    </row>
    <row r="73" spans="2:23" x14ac:dyDescent="0.2">
      <c r="B73" s="2" t="s">
        <v>6</v>
      </c>
      <c r="K73" s="32">
        <f t="shared" ref="K73:L73" si="24">+K38+K39+K43</f>
        <v>2227</v>
      </c>
      <c r="L73" s="32">
        <f>+L38+L39+L43</f>
        <v>2109</v>
      </c>
    </row>
    <row r="74" spans="2:23" x14ac:dyDescent="0.2">
      <c r="B74" s="2" t="s">
        <v>7</v>
      </c>
      <c r="K74" s="32">
        <f t="shared" ref="K74:L74" si="25">+K56+K63</f>
        <v>2285</v>
      </c>
      <c r="L74" s="32">
        <f>+L56+L63</f>
        <v>2286</v>
      </c>
    </row>
    <row r="75" spans="2:23" x14ac:dyDescent="0.2">
      <c r="B75" s="2" t="s">
        <v>8</v>
      </c>
      <c r="K75" s="32">
        <f t="shared" ref="K75" si="26">+K73-K74</f>
        <v>-58</v>
      </c>
      <c r="L75" s="32">
        <f>+L73-L74</f>
        <v>-177</v>
      </c>
    </row>
    <row r="79" spans="2:23" x14ac:dyDescent="0.2">
      <c r="B79" s="38" t="s">
        <v>93</v>
      </c>
    </row>
    <row r="80" spans="2:23" s="32" customFormat="1" x14ac:dyDescent="0.2">
      <c r="B80" s="32" t="s">
        <v>94</v>
      </c>
      <c r="G80" s="32">
        <v>723</v>
      </c>
      <c r="H80" s="32">
        <f>858-G80</f>
        <v>135</v>
      </c>
      <c r="K80" s="32">
        <v>494</v>
      </c>
      <c r="L80" s="32">
        <f>706-K80</f>
        <v>212</v>
      </c>
      <c r="U80" s="32">
        <v>1531</v>
      </c>
      <c r="V80" s="32">
        <v>2071</v>
      </c>
      <c r="W80" s="32">
        <v>1313</v>
      </c>
    </row>
    <row r="81" spans="2:23" x14ac:dyDescent="0.2">
      <c r="B81" s="2" t="s">
        <v>95</v>
      </c>
      <c r="G81" s="2">
        <v>9</v>
      </c>
      <c r="H81" s="2">
        <f>16-G81</f>
        <v>7</v>
      </c>
      <c r="K81" s="2">
        <v>7</v>
      </c>
      <c r="L81" s="2">
        <f>16-K81</f>
        <v>9</v>
      </c>
      <c r="U81" s="2">
        <v>56</v>
      </c>
      <c r="V81" s="2">
        <v>40</v>
      </c>
      <c r="W81" s="2">
        <v>31</v>
      </c>
    </row>
    <row r="82" spans="2:23" x14ac:dyDescent="0.2">
      <c r="B82" s="2" t="s">
        <v>96</v>
      </c>
      <c r="G82" s="2">
        <f>+G80-G81</f>
        <v>714</v>
      </c>
      <c r="H82" s="2">
        <f>+H80-H81</f>
        <v>128</v>
      </c>
      <c r="K82" s="2">
        <f>+K80-K81</f>
        <v>487</v>
      </c>
      <c r="L82" s="2">
        <f>+L80-L81</f>
        <v>203</v>
      </c>
      <c r="U82" s="32">
        <f>+U80-U81</f>
        <v>1475</v>
      </c>
      <c r="V82" s="32">
        <f>+V80-V81</f>
        <v>2031</v>
      </c>
      <c r="W82" s="32">
        <f>+W80-W81</f>
        <v>1282</v>
      </c>
    </row>
    <row r="84" spans="2:23" x14ac:dyDescent="0.2">
      <c r="B84" s="2" t="s">
        <v>99</v>
      </c>
      <c r="U84" s="32">
        <f>+U82</f>
        <v>1475</v>
      </c>
      <c r="V84" s="32">
        <f>+V82</f>
        <v>2031</v>
      </c>
      <c r="W84" s="32">
        <f>+W82</f>
        <v>1282</v>
      </c>
    </row>
    <row r="85" spans="2:23" x14ac:dyDescent="0.2">
      <c r="B85" s="2" t="s">
        <v>97</v>
      </c>
      <c r="U85" s="2">
        <f>+U84/U23</f>
        <v>6.7045454545454541</v>
      </c>
      <c r="V85" s="2">
        <f>+V84/V23</f>
        <v>9.4027777777777786</v>
      </c>
      <c r="W85" s="2">
        <f>+W84/W23</f>
        <v>5.990654205607477</v>
      </c>
    </row>
    <row r="86" spans="2:23" x14ac:dyDescent="0.2">
      <c r="B86" s="2" t="s">
        <v>98</v>
      </c>
    </row>
  </sheetData>
  <phoneticPr fontId="8" type="noConversion"/>
  <hyperlinks>
    <hyperlink ref="L1" r:id="rId1" display="Q224" xr:uid="{D5DBBD89-A61D-4F3A-9E1C-30B1DDD67C3E}"/>
    <hyperlink ref="K1" r:id="rId2" display="Q124" xr:uid="{DF56E1CD-4488-4757-9A65-31755E2954D0}"/>
    <hyperlink ref="I1" r:id="rId3" display="Q323" xr:uid="{5671B706-976C-4D5C-9ADF-C9F83D4468BA}"/>
    <hyperlink ref="J1" r:id="rId4" xr:uid="{B00088EC-D5BD-487F-B3F1-EC27F64EE756}"/>
  </hyperlinks>
  <pageMargins left="0.7" right="0.7" top="0.75" bottom="0.75" header="0.3" footer="0.3"/>
  <ignoredErrors>
    <ignoredError sqref="K7:L7 I7" formulaRange="1"/>
    <ignoredError sqref="J7:J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Charlie H</cp:lastModifiedBy>
  <dcterms:created xsi:type="dcterms:W3CDTF">2024-11-23T23:58:49Z</dcterms:created>
  <dcterms:modified xsi:type="dcterms:W3CDTF">2024-11-24T01:18:40Z</dcterms:modified>
</cp:coreProperties>
</file>