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79B5DE83-1865-4C19-97D6-BBCC821A028E}" xr6:coauthVersionLast="47" xr6:coauthVersionMax="47" xr10:uidLastSave="{00000000-0000-0000-0000-000000000000}"/>
  <bookViews>
    <workbookView xWindow="-120" yWindow="-120" windowWidth="29040" windowHeight="15720" xr2:uid="{AFC643F4-9510-457F-8BC2-75D95EE8546E}"/>
  </bookViews>
  <sheets>
    <sheet name="Main" sheetId="1" r:id="rId1"/>
    <sheet name="Currenci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R5" i="1"/>
  <c r="AB5" i="1"/>
  <c r="AA5" i="1"/>
  <c r="AH5" i="1"/>
  <c r="K5" i="1"/>
  <c r="L5" i="1"/>
  <c r="Z5" i="1"/>
  <c r="AG5" i="1"/>
  <c r="AI5" i="1"/>
  <c r="H5" i="1"/>
  <c r="G5" i="1"/>
  <c r="F5" i="1"/>
  <c r="K11" i="1"/>
  <c r="L11" i="1"/>
  <c r="J11" i="1"/>
  <c r="I11" i="1"/>
  <c r="Z11" i="1"/>
  <c r="X11" i="1"/>
  <c r="W11" i="1"/>
  <c r="V11" i="1"/>
  <c r="U11" i="1"/>
  <c r="Q11" i="1"/>
  <c r="F11" i="1"/>
  <c r="Q5" i="1" l="1"/>
  <c r="G11" i="1"/>
  <c r="H11" i="1"/>
  <c r="Z10" i="1"/>
  <c r="X10" i="1"/>
  <c r="W10" i="1"/>
  <c r="V10" i="1"/>
  <c r="U10" i="1"/>
  <c r="U5" i="1" l="1"/>
  <c r="R6" i="1"/>
  <c r="AB6" i="1"/>
  <c r="AA6" i="1"/>
  <c r="AH6" i="1"/>
  <c r="AF6" i="1"/>
  <c r="L6" i="1"/>
  <c r="K6" i="1"/>
  <c r="W6" i="1"/>
  <c r="AG6" i="1"/>
  <c r="AI6" i="1"/>
  <c r="G6" i="1"/>
  <c r="F6" i="1"/>
  <c r="H6" i="1"/>
  <c r="V5" i="1" l="1"/>
  <c r="I6" i="1"/>
  <c r="Z6" i="1"/>
  <c r="U6" i="1"/>
  <c r="Q6" i="1"/>
  <c r="J6" i="1"/>
  <c r="X6" i="1"/>
  <c r="V6" i="1"/>
  <c r="X5" i="1" l="1"/>
  <c r="Z4" i="1"/>
  <c r="X4" i="1"/>
  <c r="W4" i="1"/>
  <c r="V4" i="1"/>
  <c r="U4" i="1"/>
  <c r="W5" i="1" l="1"/>
  <c r="S4" i="1"/>
  <c r="AF4" i="1" l="1"/>
  <c r="AH4" i="1"/>
  <c r="AE4" i="1"/>
  <c r="AG4" i="1" l="1"/>
  <c r="AI4" i="1"/>
  <c r="L4" i="1"/>
  <c r="K4" i="1"/>
  <c r="H4" i="1"/>
  <c r="G4" i="1"/>
  <c r="F4" i="1"/>
  <c r="Z9" i="1"/>
  <c r="X9" i="1"/>
  <c r="W9" i="1"/>
  <c r="V9" i="1"/>
  <c r="U9" i="1"/>
  <c r="F12" i="1" l="1"/>
  <c r="K15" i="1"/>
  <c r="L15" i="1"/>
  <c r="R9" i="1" l="1"/>
  <c r="AH9" i="1"/>
  <c r="AB9" i="1" l="1"/>
  <c r="AA9" i="1"/>
  <c r="AG9" i="1"/>
  <c r="AF9" i="1"/>
  <c r="AI9" i="1" l="1"/>
  <c r="G9" i="1"/>
  <c r="L9" i="1"/>
  <c r="K9" i="1"/>
  <c r="F9" i="1"/>
  <c r="H9" i="1"/>
  <c r="Q9" i="1" l="1"/>
  <c r="I9" i="1"/>
  <c r="J9" i="1" l="1"/>
  <c r="I7" i="1"/>
  <c r="S12" i="1" l="1"/>
  <c r="R12" i="1"/>
  <c r="Q12" i="1"/>
  <c r="X12" i="1"/>
  <c r="W12" i="1"/>
  <c r="V12" i="1"/>
  <c r="U12" i="1"/>
  <c r="Z12" i="1"/>
  <c r="AB12" i="1"/>
  <c r="AA12" i="1"/>
  <c r="AF12" i="1"/>
  <c r="AI12" i="1"/>
  <c r="AH12" i="1"/>
  <c r="AG12" i="1"/>
  <c r="L12" i="1"/>
  <c r="K12" i="1"/>
  <c r="G12" i="1"/>
  <c r="D4" i="2"/>
  <c r="D3" i="2"/>
  <c r="I12" i="1" s="1"/>
  <c r="H12" i="1" l="1"/>
  <c r="J12" i="1" s="1"/>
  <c r="Q10" i="1"/>
  <c r="R10" i="1"/>
  <c r="S10" i="1"/>
  <c r="I10" i="1"/>
  <c r="G10" i="1"/>
  <c r="F10" i="1"/>
  <c r="L10" i="1"/>
  <c r="K10" i="1"/>
  <c r="AA10" i="1"/>
  <c r="H10" i="1" l="1"/>
  <c r="J10" i="1" s="1"/>
  <c r="AB10" i="1" l="1"/>
  <c r="AC10" i="1" l="1"/>
  <c r="AH10" i="1" l="1"/>
  <c r="AG10" i="1"/>
  <c r="AF10" i="1"/>
  <c r="O7" i="1" l="1"/>
  <c r="N7" i="1"/>
  <c r="M7" i="1"/>
  <c r="AI7" i="1"/>
  <c r="AH7" i="1"/>
  <c r="AG7" i="1"/>
  <c r="AF7" i="1"/>
  <c r="AE7" i="1"/>
  <c r="AC7" i="1"/>
  <c r="AB7" i="1"/>
  <c r="Z7" i="1"/>
  <c r="X7" i="1"/>
  <c r="W7" i="1"/>
  <c r="V7" i="1"/>
  <c r="U7" i="1"/>
  <c r="S7" i="1"/>
  <c r="R7" i="1"/>
  <c r="Q7" i="1"/>
  <c r="L7" i="1"/>
  <c r="K7" i="1"/>
  <c r="J7" i="1"/>
  <c r="H7" i="1"/>
  <c r="G7" i="1"/>
  <c r="F7" i="1"/>
  <c r="AI8" i="1" l="1"/>
  <c r="AH8" i="1"/>
  <c r="AG8" i="1"/>
  <c r="AF8" i="1"/>
  <c r="AF3" i="1"/>
  <c r="AE3" i="1"/>
  <c r="Z8" i="1"/>
  <c r="X8" i="1"/>
  <c r="W8" i="1"/>
  <c r="V8" i="1"/>
  <c r="U8" i="1"/>
  <c r="L8" i="1"/>
  <c r="K8" i="1"/>
  <c r="F8" i="1"/>
  <c r="AI3" i="1"/>
  <c r="AH3" i="1"/>
  <c r="AG3" i="1"/>
  <c r="AC3" i="1"/>
  <c r="AB3" i="1"/>
  <c r="AA3" i="1"/>
  <c r="Z3" i="1"/>
  <c r="X3" i="1"/>
  <c r="W3" i="1"/>
  <c r="V3" i="1"/>
  <c r="U3" i="1"/>
  <c r="S3" i="1"/>
  <c r="R3" i="1"/>
  <c r="Q3" i="1"/>
  <c r="O3" i="1"/>
  <c r="N3" i="1"/>
  <c r="M3" i="1"/>
  <c r="L3" i="1"/>
  <c r="K3" i="1"/>
  <c r="J3" i="1"/>
  <c r="I3" i="1"/>
  <c r="H3" i="1"/>
  <c r="G3" i="1"/>
  <c r="F3" i="1"/>
  <c r="Q8" i="1" l="1"/>
  <c r="AE8" i="1"/>
  <c r="G8" i="1"/>
  <c r="I8" i="1" l="1"/>
  <c r="H8" i="1"/>
  <c r="J8" i="1" l="1"/>
  <c r="AB4" i="1" l="1"/>
  <c r="AA4" i="1"/>
  <c r="Q4" i="1"/>
  <c r="I4" i="1" l="1"/>
  <c r="R4" i="1" l="1"/>
  <c r="J4" i="1"/>
  <c r="I5" i="1" l="1"/>
  <c r="J5" i="1" l="1"/>
</calcChain>
</file>

<file path=xl/sharedStrings.xml><?xml version="1.0" encoding="utf-8"?>
<sst xmlns="http://schemas.openxmlformats.org/spreadsheetml/2006/main" count="108" uniqueCount="90">
  <si>
    <t>Ticker</t>
  </si>
  <si>
    <t>Company Name</t>
  </si>
  <si>
    <t>Market</t>
  </si>
  <si>
    <t>Currency</t>
  </si>
  <si>
    <t>Price</t>
  </si>
  <si>
    <t>SO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</si>
  <si>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</si>
  <si>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</si>
  <si>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</si>
  <si>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</si>
  <si>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</si>
  <si>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</si>
  <si>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</si>
  <si>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</si>
  <si>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P/B</t>
  </si>
  <si>
    <t>P/S</t>
  </si>
  <si>
    <t>P/E</t>
  </si>
  <si>
    <t>GM %</t>
  </si>
  <si>
    <t>OM %</t>
  </si>
  <si>
    <t xml:space="preserve">NM % </t>
  </si>
  <si>
    <t>Tax Rate</t>
  </si>
  <si>
    <t>RevG</t>
  </si>
  <si>
    <t>RevG 23</t>
  </si>
  <si>
    <t>RevG 22</t>
  </si>
  <si>
    <t>RevG 21</t>
  </si>
  <si>
    <t>Headcount</t>
  </si>
  <si>
    <t>Founded</t>
  </si>
  <si>
    <t>IPO</t>
  </si>
  <si>
    <t>HQ</t>
  </si>
  <si>
    <t>Sub-Sector</t>
  </si>
  <si>
    <t>Tech</t>
  </si>
  <si>
    <t>$META</t>
  </si>
  <si>
    <t>NASDAQ</t>
  </si>
  <si>
    <t>$</t>
  </si>
  <si>
    <t>Meta Platforms, Inc.</t>
  </si>
  <si>
    <t>$RDDT</t>
  </si>
  <si>
    <t>Reddit, Inc.</t>
  </si>
  <si>
    <t>NYSE</t>
  </si>
  <si>
    <t>$RBLX</t>
  </si>
  <si>
    <t>Roblox Corporation</t>
  </si>
  <si>
    <t>DAU</t>
  </si>
  <si>
    <t>Social Media</t>
  </si>
  <si>
    <t xml:space="preserve">Social Media, AR, VR, AI </t>
  </si>
  <si>
    <t>Video Games</t>
  </si>
  <si>
    <t>Game Dev, Metaverse, Social Media</t>
  </si>
  <si>
    <t>Social Media, Search, Ads</t>
  </si>
  <si>
    <t>-</t>
  </si>
  <si>
    <t>£SGE</t>
  </si>
  <si>
    <t>GBP</t>
  </si>
  <si>
    <t>USD</t>
  </si>
  <si>
    <t>LSE</t>
  </si>
  <si>
    <t>£</t>
  </si>
  <si>
    <t>Newcastle, UK</t>
  </si>
  <si>
    <t>Enterprise Software</t>
  </si>
  <si>
    <t>Cloud ERP / Accounting</t>
  </si>
  <si>
    <t>Sage Group Plc.</t>
  </si>
  <si>
    <t>TMV DE</t>
  </si>
  <si>
    <t>FWB</t>
  </si>
  <si>
    <t>Teamviewer SE</t>
  </si>
  <si>
    <t>EUR</t>
  </si>
  <si>
    <t>(USD)</t>
  </si>
  <si>
    <t>£RPI</t>
  </si>
  <si>
    <t>Raspberry Pi Holdings Plc.</t>
  </si>
  <si>
    <t>INVERSE</t>
  </si>
  <si>
    <t>Semi-Conductors</t>
  </si>
  <si>
    <t>SBCs, Microncontrollers, Chips</t>
  </si>
  <si>
    <t xml:space="preserve"> </t>
  </si>
  <si>
    <t>$TWLO</t>
  </si>
  <si>
    <t>$TOST</t>
  </si>
  <si>
    <t>Restaurant POS &amp; Management</t>
  </si>
  <si>
    <t>Twillo Inc.</t>
  </si>
  <si>
    <t>Toast Inc.</t>
  </si>
  <si>
    <t>$GTLB</t>
  </si>
  <si>
    <t>Gitlab Inc.</t>
  </si>
  <si>
    <t>$SPOT</t>
  </si>
  <si>
    <t>Spotify Technology S.A</t>
  </si>
  <si>
    <t>Streaming</t>
  </si>
  <si>
    <t>Music Streaming, Podcasts</t>
  </si>
  <si>
    <t>$SNOW</t>
  </si>
  <si>
    <t>Snowflake Inc.</t>
  </si>
  <si>
    <t>Data storage &amp; analysis</t>
  </si>
  <si>
    <t>SaaS Data Storage</t>
  </si>
  <si>
    <t>$ESTC</t>
  </si>
  <si>
    <t>Elastic NV</t>
  </si>
  <si>
    <t>Search</t>
  </si>
  <si>
    <t>AI powered search</t>
  </si>
  <si>
    <t>$ADSK</t>
  </si>
  <si>
    <t>Autodesk Inc.</t>
  </si>
  <si>
    <t>3D CAD Engineering Modelling</t>
  </si>
  <si>
    <t>CAD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</si>
</sst>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x"/>
    <numFmt numFmtId="165" formatCode="yyyy"/>
  </numFmts>
  <fonts count="11">
    <font>
      <sz val="11"/>
      <color theme="1"/>
      <name val="Calibri"/>
      <family val="2"/>
      <scheme val="minor"/>
    </font>
    <font>
      <sz val="10"/>
      <color theme="1"/>
      <name val="Srial"/>
    </font>
    <font>
      <b/>
      <sz val="10"/>
      <color theme="1"/>
      <name val="Sri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Sarial"/>
    </font>
    <font>
      <b/>
      <sz val="10"/>
      <color theme="4"/>
      <name val="Srial"/>
    </font>
    <font>
      <sz val="10"/>
      <color theme="4"/>
      <name val="S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S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1" applyFont="1"/>
    <xf numFmtId="0" fontId="5" fillId="0" borderId="0" xfId="1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ET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$ADSK.xlsx" TargetMode="External"/><Relationship Id="rId1" Type="http://schemas.openxmlformats.org/officeDocument/2006/relationships/externalLinkPath" Target="$ADS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SP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SNO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DD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TOS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ESTC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R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575.27</v>
          </cell>
        </row>
        <row r="7">
          <cell r="C7">
            <v>2529</v>
          </cell>
        </row>
        <row r="8">
          <cell r="C8">
            <v>1454857.8299999998</v>
          </cell>
        </row>
        <row r="11">
          <cell r="C11">
            <v>42077</v>
          </cell>
        </row>
        <row r="12">
          <cell r="C12">
            <v>1412780.8299999998</v>
          </cell>
        </row>
        <row r="23">
          <cell r="C23" t="str">
            <v>San Francisco, CA</v>
          </cell>
        </row>
        <row r="24">
          <cell r="C24">
            <v>2004</v>
          </cell>
        </row>
        <row r="25">
          <cell r="C25">
            <v>2012</v>
          </cell>
        </row>
        <row r="27">
          <cell r="C27">
            <v>3.9</v>
          </cell>
        </row>
        <row r="28">
          <cell r="C28">
            <v>72404</v>
          </cell>
        </row>
        <row r="31">
          <cell r="C31" t="str">
            <v>Q324</v>
          </cell>
          <cell r="D31">
            <v>45595</v>
          </cell>
        </row>
        <row r="35">
          <cell r="C35">
            <v>8.8425616760571089</v>
          </cell>
        </row>
        <row r="36">
          <cell r="C36">
            <v>9.3124609062453985</v>
          </cell>
        </row>
        <row r="38">
          <cell r="C38">
            <v>26.360609283332796</v>
          </cell>
        </row>
      </sheetData>
      <sheetData sheetId="1">
        <row r="22">
          <cell r="Y22">
            <v>0.81830052477272164</v>
          </cell>
        </row>
        <row r="23">
          <cell r="Y23">
            <v>0.4274557146024785</v>
          </cell>
        </row>
        <row r="24">
          <cell r="Y24">
            <v>0.38650865998176848</v>
          </cell>
          <cell r="AU24">
            <v>7.0000000000000007E-2</v>
          </cell>
        </row>
        <row r="25">
          <cell r="Y25">
            <v>0.11973964762652901</v>
          </cell>
        </row>
        <row r="27">
          <cell r="Y27">
            <v>0.18868974404029748</v>
          </cell>
          <cell r="AF27">
            <v>0.37182574303495608</v>
          </cell>
          <cell r="AG27">
            <v>-1.1193175554782941E-2</v>
          </cell>
          <cell r="AH27">
            <v>0.15687468377226454</v>
          </cell>
        </row>
        <row r="28">
          <cell r="AU28">
            <v>627.94737053951712</v>
          </cell>
        </row>
        <row r="31">
          <cell r="AU31">
            <v>9.1569820327006779E-2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28">
          <cell r="C28" t="str">
            <v>Q123</v>
          </cell>
          <cell r="D28">
            <v>45055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6">
          <cell r="C6">
            <v>321.27</v>
          </cell>
        </row>
        <row r="7">
          <cell r="C7">
            <v>216</v>
          </cell>
        </row>
        <row r="8">
          <cell r="C8">
            <v>69394.319999999992</v>
          </cell>
        </row>
        <row r="11">
          <cell r="C11">
            <v>-177</v>
          </cell>
        </row>
        <row r="12">
          <cell r="C12">
            <v>69571.319999999992</v>
          </cell>
        </row>
        <row r="23">
          <cell r="C23">
            <v>1982</v>
          </cell>
        </row>
        <row r="24">
          <cell r="C24" t="str">
            <v>San Fransisco, CA</v>
          </cell>
        </row>
        <row r="25">
          <cell r="C25">
            <v>1985</v>
          </cell>
        </row>
        <row r="29">
          <cell r="C29" t="str">
            <v>Q224</v>
          </cell>
          <cell r="D29">
            <v>45538</v>
          </cell>
        </row>
        <row r="34">
          <cell r="C34">
            <v>28.049442198868228</v>
          </cell>
        </row>
        <row r="35">
          <cell r="C35">
            <v>11.954232558139534</v>
          </cell>
        </row>
        <row r="36">
          <cell r="C36">
            <v>65.277899355462978</v>
          </cell>
        </row>
      </sheetData>
      <sheetData sheetId="1">
        <row r="25">
          <cell r="L25">
            <v>0.90697674418604646</v>
          </cell>
        </row>
        <row r="26">
          <cell r="L26">
            <v>0.22790697674418606</v>
          </cell>
        </row>
        <row r="27">
          <cell r="L27">
            <v>0.18737541528239202</v>
          </cell>
        </row>
        <row r="28">
          <cell r="L28">
            <v>0.19886363636363635</v>
          </cell>
        </row>
        <row r="30">
          <cell r="L30">
            <v>0.11895910780669139</v>
          </cell>
          <cell r="V30">
            <v>0.14113087095303234</v>
          </cell>
          <cell r="W30">
            <v>9.8301698301698215E-2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450</v>
          </cell>
        </row>
        <row r="7">
          <cell r="C7">
            <v>201.575568</v>
          </cell>
        </row>
        <row r="8">
          <cell r="C8">
            <v>90709.005600000004</v>
          </cell>
        </row>
        <row r="11">
          <cell r="C11">
            <v>6322</v>
          </cell>
        </row>
        <row r="12">
          <cell r="C12">
            <v>84387.005600000004</v>
          </cell>
        </row>
        <row r="23">
          <cell r="C23" t="str">
            <v>Stockholm, Sweden</v>
          </cell>
        </row>
        <row r="24">
          <cell r="C24">
            <v>2006</v>
          </cell>
        </row>
        <row r="25">
          <cell r="C25">
            <v>2018</v>
          </cell>
        </row>
        <row r="27">
          <cell r="C27">
            <v>640</v>
          </cell>
        </row>
        <row r="28">
          <cell r="C28">
            <v>9123</v>
          </cell>
        </row>
        <row r="30">
          <cell r="C30" t="str">
            <v>Q324</v>
          </cell>
          <cell r="D30">
            <v>45608</v>
          </cell>
        </row>
        <row r="35">
          <cell r="C35">
            <v>2.048085692097604</v>
          </cell>
        </row>
        <row r="36">
          <cell r="C36">
            <v>19.19263634517079</v>
          </cell>
        </row>
        <row r="38">
          <cell r="C38">
            <v>118.16107002434873</v>
          </cell>
        </row>
      </sheetData>
      <sheetData sheetId="1">
        <row r="21">
          <cell r="Q21">
            <v>0.18796544533809945</v>
          </cell>
          <cell r="Z21">
            <v>0.21297062474141493</v>
          </cell>
          <cell r="AA21">
            <v>0.12961541741280813</v>
          </cell>
        </row>
        <row r="24">
          <cell r="Q24">
            <v>0.31093279839518556</v>
          </cell>
        </row>
        <row r="25">
          <cell r="Q25">
            <v>0.11384152457372117</v>
          </cell>
        </row>
        <row r="26">
          <cell r="Q26">
            <v>7.5225677031093285E-2</v>
          </cell>
        </row>
        <row r="27">
          <cell r="Q27">
            <v>0.24623115577889448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130.24</v>
          </cell>
        </row>
        <row r="7">
          <cell r="C7">
            <v>334.07100000000003</v>
          </cell>
        </row>
        <row r="8">
          <cell r="C8">
            <v>43509.407040000006</v>
          </cell>
        </row>
        <row r="11">
          <cell r="C11">
            <v>3927.913</v>
          </cell>
        </row>
        <row r="12">
          <cell r="C12">
            <v>39581.494040000005</v>
          </cell>
        </row>
        <row r="23">
          <cell r="C23" t="str">
            <v>Bozeman, MT</v>
          </cell>
        </row>
        <row r="24">
          <cell r="C24">
            <v>2012</v>
          </cell>
        </row>
        <row r="25">
          <cell r="C25">
            <v>2020</v>
          </cell>
        </row>
        <row r="27">
          <cell r="C27">
            <v>7630</v>
          </cell>
        </row>
        <row r="29">
          <cell r="C29" t="str">
            <v>Q224</v>
          </cell>
          <cell r="D29">
            <v>45533</v>
          </cell>
        </row>
        <row r="34">
          <cell r="C34">
            <v>10.51564511498003</v>
          </cell>
        </row>
        <row r="35">
          <cell r="C35">
            <v>13.569715649610261</v>
          </cell>
        </row>
      </sheetData>
      <sheetData sheetId="1">
        <row r="21">
          <cell r="L21">
            <v>0.28895667474755871</v>
          </cell>
          <cell r="W21">
            <v>0.69409764566847132</v>
          </cell>
          <cell r="X21">
            <v>0.35864099544019612</v>
          </cell>
        </row>
        <row r="24">
          <cell r="L24">
            <v>0.66841087502014318</v>
          </cell>
        </row>
        <row r="25">
          <cell r="L25">
            <v>-0.40901724257004091</v>
          </cell>
        </row>
        <row r="26">
          <cell r="L26">
            <v>-0.36581528119892281</v>
          </cell>
        </row>
        <row r="27">
          <cell r="L27">
            <v>-1.2056288153566408E-2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Metrics"/>
      <sheetName val="Earnings Call Notes"/>
    </sheetNames>
    <sheetDataSet>
      <sheetData sheetId="0">
        <row r="6">
          <cell r="C6">
            <v>51.68</v>
          </cell>
          <cell r="G6" t="str">
            <v>San Mateo, CA</v>
          </cell>
        </row>
        <row r="7">
          <cell r="C7">
            <v>641.81399999999996</v>
          </cell>
          <cell r="G7">
            <v>2021</v>
          </cell>
        </row>
        <row r="8">
          <cell r="C8">
            <v>33168.947520000002</v>
          </cell>
          <cell r="G8">
            <v>2004</v>
          </cell>
        </row>
        <row r="9">
          <cell r="G9">
            <v>79.5</v>
          </cell>
        </row>
        <row r="10">
          <cell r="G10">
            <v>2457</v>
          </cell>
        </row>
        <row r="11">
          <cell r="C11">
            <v>2595.5510000000004</v>
          </cell>
          <cell r="G11" t="str">
            <v>Q324</v>
          </cell>
          <cell r="H11">
            <v>45596</v>
          </cell>
        </row>
        <row r="12">
          <cell r="C12">
            <v>30573.396520000002</v>
          </cell>
        </row>
        <row r="16">
          <cell r="G16">
            <v>523.51896884519317</v>
          </cell>
        </row>
        <row r="17">
          <cell r="G17">
            <v>11.261920977309074</v>
          </cell>
        </row>
        <row r="18">
          <cell r="G18">
            <v>-27.750520841528012</v>
          </cell>
        </row>
      </sheetData>
      <sheetData sheetId="1">
        <row r="22">
          <cell r="T22">
            <v>0.77778685524927171</v>
          </cell>
          <cell r="AX22">
            <v>0.09</v>
          </cell>
        </row>
        <row r="23">
          <cell r="T23">
            <v>-0.26629832028229189</v>
          </cell>
        </row>
        <row r="24">
          <cell r="T24">
            <v>-0.23188027884500237</v>
          </cell>
        </row>
        <row r="25">
          <cell r="T25">
            <v>-5.311828476229569E-4</v>
          </cell>
        </row>
        <row r="26">
          <cell r="AX26">
            <v>71.486963060421459</v>
          </cell>
        </row>
        <row r="28">
          <cell r="T28">
            <v>0.31255526862387373</v>
          </cell>
          <cell r="AE28">
            <v>1.0772942519902369</v>
          </cell>
          <cell r="AF28">
            <v>0.15937579623808262</v>
          </cell>
          <cell r="AX28">
            <v>0.38326166912580217</v>
          </cell>
        </row>
      </sheetData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129.71</v>
          </cell>
        </row>
        <row r="7">
          <cell r="C7">
            <v>169.16992200000001</v>
          </cell>
        </row>
        <row r="8">
          <cell r="C8">
            <v>21943.030582620002</v>
          </cell>
        </row>
        <row r="11">
          <cell r="C11">
            <v>1744.9669999999999</v>
          </cell>
        </row>
        <row r="12">
          <cell r="C12">
            <v>20198.063582620001</v>
          </cell>
        </row>
        <row r="24">
          <cell r="C24" t="str">
            <v>San Fransisco, CA</v>
          </cell>
        </row>
        <row r="25">
          <cell r="C25">
            <v>2005</v>
          </cell>
        </row>
        <row r="26">
          <cell r="C26">
            <v>2024</v>
          </cell>
        </row>
        <row r="29">
          <cell r="C29">
            <v>97.2</v>
          </cell>
        </row>
        <row r="30">
          <cell r="C30">
            <v>2013</v>
          </cell>
        </row>
        <row r="32">
          <cell r="C32" t="str">
            <v>Q324</v>
          </cell>
          <cell r="D32">
            <v>45594</v>
          </cell>
        </row>
        <row r="37">
          <cell r="C37">
            <v>11.095743232541535</v>
          </cell>
        </row>
      </sheetData>
      <sheetData sheetId="1">
        <row r="18">
          <cell r="I18">
            <v>0.90049404192897387</v>
          </cell>
        </row>
        <row r="19">
          <cell r="I19">
            <v>1.9589437090750374E-2</v>
          </cell>
        </row>
        <row r="20">
          <cell r="I20">
            <v>8.5611925902322611E-2</v>
          </cell>
        </row>
        <row r="21">
          <cell r="I21">
            <v>-1.0405477980665956E-3</v>
          </cell>
        </row>
        <row r="24">
          <cell r="I24">
            <v>0.67873527767604136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36.5</v>
          </cell>
        </row>
        <row r="7">
          <cell r="C7">
            <v>563</v>
          </cell>
        </row>
        <row r="8">
          <cell r="C8">
            <v>20549.5</v>
          </cell>
        </row>
        <row r="11">
          <cell r="C11">
            <v>1272</v>
          </cell>
        </row>
        <row r="12">
          <cell r="C12">
            <v>19277.5</v>
          </cell>
        </row>
        <row r="23">
          <cell r="C23" t="str">
            <v>Boston, MA</v>
          </cell>
        </row>
        <row r="24">
          <cell r="C24">
            <v>2011</v>
          </cell>
        </row>
        <row r="25">
          <cell r="C25">
            <v>2021</v>
          </cell>
        </row>
        <row r="28">
          <cell r="C28">
            <v>5500</v>
          </cell>
        </row>
        <row r="30">
          <cell r="C30" t="str">
            <v>Q324</v>
          </cell>
          <cell r="D30">
            <v>45603</v>
          </cell>
        </row>
        <row r="35">
          <cell r="C35">
            <v>14.471478873239437</v>
          </cell>
        </row>
        <row r="36">
          <cell r="C36">
            <v>4.4116573636753973</v>
          </cell>
        </row>
      </sheetData>
      <sheetData sheetId="1">
        <row r="28">
          <cell r="M28">
            <v>0.24674329501915709</v>
          </cell>
        </row>
        <row r="29">
          <cell r="M29">
            <v>2.6053639846743294E-2</v>
          </cell>
        </row>
        <row r="30">
          <cell r="M30">
            <v>4.2911877394636012E-2</v>
          </cell>
        </row>
        <row r="31">
          <cell r="M31">
            <v>1.7543859649122806E-2</v>
          </cell>
        </row>
        <row r="33">
          <cell r="M33">
            <v>0.26453488372093026</v>
          </cell>
          <cell r="T33">
            <v>0.6017595307917889</v>
          </cell>
          <cell r="U33">
            <v>0.41523251556206509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Historical Forecast"/>
    </sheetNames>
    <sheetDataSet>
      <sheetData sheetId="0">
        <row r="6">
          <cell r="C6">
            <v>12.69</v>
          </cell>
        </row>
        <row r="7">
          <cell r="C7">
            <v>1007</v>
          </cell>
        </row>
        <row r="11">
          <cell r="C11">
            <v>-703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11565</v>
          </cell>
        </row>
        <row r="27">
          <cell r="C27" t="str">
            <v>FY24</v>
          </cell>
          <cell r="D27">
            <v>45616</v>
          </cell>
        </row>
        <row r="32">
          <cell r="C32">
            <v>39.562941176470588</v>
          </cell>
        </row>
        <row r="33">
          <cell r="C33">
            <v>5.479772727272727</v>
          </cell>
        </row>
        <row r="34">
          <cell r="C34">
            <v>11.691518755718205</v>
          </cell>
        </row>
      </sheetData>
      <sheetData sheetId="1">
        <row r="20">
          <cell r="X20">
            <v>0.92795883361921094</v>
          </cell>
        </row>
        <row r="21">
          <cell r="X21">
            <v>0.19382504288164665</v>
          </cell>
        </row>
        <row r="22">
          <cell r="X22">
            <v>0.13850771869639794</v>
          </cell>
        </row>
        <row r="23">
          <cell r="X23">
            <v>0.24178403755868544</v>
          </cell>
        </row>
        <row r="25">
          <cell r="U25">
            <v>-2.9952706253284278E-2</v>
          </cell>
          <cell r="V25">
            <v>5.4712892741061836E-2</v>
          </cell>
          <cell r="W25">
            <v>0.1217257318952234</v>
          </cell>
          <cell r="X25">
            <v>6.7765567765567747E-2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93.15</v>
          </cell>
        </row>
        <row r="7">
          <cell r="C7">
            <v>102.284435</v>
          </cell>
        </row>
        <row r="8">
          <cell r="C8">
            <v>9527.7951202500008</v>
          </cell>
        </row>
        <row r="11">
          <cell r="C11">
            <v>578.44299999999998</v>
          </cell>
        </row>
        <row r="12">
          <cell r="C12">
            <v>8949.3521202500015</v>
          </cell>
        </row>
        <row r="29">
          <cell r="C29" t="str">
            <v>Q125</v>
          </cell>
          <cell r="D29">
            <v>45524</v>
          </cell>
        </row>
        <row r="34">
          <cell r="C34">
            <v>12.550196094773931</v>
          </cell>
        </row>
      </sheetData>
      <sheetData sheetId="1">
        <row r="29">
          <cell r="K29">
            <v>0.73589027689827868</v>
          </cell>
        </row>
        <row r="30">
          <cell r="K30">
            <v>-9.7397962120775908E-2</v>
          </cell>
        </row>
        <row r="31">
          <cell r="K31">
            <v>-0.141693051637787</v>
          </cell>
        </row>
        <row r="32">
          <cell r="K32">
            <v>-0.68840032926327432</v>
          </cell>
        </row>
        <row r="34">
          <cell r="K34">
            <v>0.18269430439859335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3.33</v>
          </cell>
        </row>
        <row r="7">
          <cell r="C7">
            <v>193.41571500000001</v>
          </cell>
        </row>
        <row r="11">
          <cell r="C11">
            <v>26.295999999999999</v>
          </cell>
        </row>
        <row r="23">
          <cell r="C23" t="str">
            <v>Cambridge, UK</v>
          </cell>
        </row>
        <row r="24">
          <cell r="C24">
            <v>2012</v>
          </cell>
        </row>
        <row r="25">
          <cell r="C25">
            <v>45444</v>
          </cell>
        </row>
        <row r="27">
          <cell r="C27">
            <v>115</v>
          </cell>
        </row>
        <row r="30">
          <cell r="C30" t="str">
            <v>H124</v>
          </cell>
          <cell r="D30">
            <v>45559</v>
          </cell>
        </row>
        <row r="35">
          <cell r="C35">
            <v>3.1948131495535712</v>
          </cell>
        </row>
        <row r="36">
          <cell r="C36">
            <v>2.6442251407476842</v>
          </cell>
        </row>
        <row r="38">
          <cell r="C38">
            <v>15.436558542879432</v>
          </cell>
        </row>
      </sheetData>
      <sheetData sheetId="1">
        <row r="30">
          <cell r="F30">
            <v>0.61254199328107539</v>
          </cell>
          <cell r="J30">
            <v>0.33624730593867169</v>
          </cell>
          <cell r="K30">
            <v>0.41487498602675421</v>
          </cell>
        </row>
        <row r="42">
          <cell r="F42">
            <v>0.23750000000000002</v>
          </cell>
        </row>
        <row r="43">
          <cell r="F43">
            <v>7.9166666666666677E-2</v>
          </cell>
        </row>
        <row r="44">
          <cell r="F44">
            <v>5.2777777777777792E-2</v>
          </cell>
        </row>
        <row r="45">
          <cell r="F45">
            <v>0.29629629629629622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$SPOT.xlsx" TargetMode="External"/><Relationship Id="rId3" Type="http://schemas.openxmlformats.org/officeDocument/2006/relationships/hyperlink" Target="$RBLX.xlsx" TargetMode="External"/><Relationship Id="rId7" Type="http://schemas.openxmlformats.org/officeDocument/2006/relationships/hyperlink" Target="$TOST.xlsx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$RDDT.xlsx" TargetMode="External"/><Relationship Id="rId1" Type="http://schemas.openxmlformats.org/officeDocument/2006/relationships/hyperlink" Target="$META.xlsx" TargetMode="External"/><Relationship Id="rId6" Type="http://schemas.openxmlformats.org/officeDocument/2006/relationships/hyperlink" Target="$TWLO.xlsx" TargetMode="External"/><Relationship Id="rId11" Type="http://schemas.openxmlformats.org/officeDocument/2006/relationships/hyperlink" Target="$ADSK.xlsx" TargetMode="External"/><Relationship Id="rId5" Type="http://schemas.openxmlformats.org/officeDocument/2006/relationships/hyperlink" Target="&#163;RPI.xlsx" TargetMode="External"/><Relationship Id="rId10" Type="http://schemas.openxmlformats.org/officeDocument/2006/relationships/hyperlink" Target="$ESTC.xlsx" TargetMode="External"/><Relationship Id="rId4" Type="http://schemas.openxmlformats.org/officeDocument/2006/relationships/hyperlink" Target="&#163;SGE.xlsx" TargetMode="External"/><Relationship Id="rId9" Type="http://schemas.openxmlformats.org/officeDocument/2006/relationships/hyperlink" Target="$SNOW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3DC-5A31-4AB0-80D6-BD84B319883E}">
  <dimension ref="B1:AL2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6" sqref="H6"/>
    </sheetView>
  </sheetViews>
  <sheetFormatPr defaultRowHeight="12.75"/>
  <cols>
    <col min="1" max="1" width="4.28515625" style="1" customWidth="1"/>
    <col min="2" max="2" width="9.140625" style="1"/>
    <col min="3" max="3" width="23.7109375" style="1" bestFit="1" customWidth="1"/>
    <col min="4" max="5" width="9.140625" style="2"/>
    <col min="6" max="6" width="9.140625" style="10"/>
    <col min="7" max="10" width="9.140625" style="8"/>
    <col min="11" max="11" width="9.140625" style="2"/>
    <col min="12" max="12" width="9.7109375" style="15" bestFit="1" customWidth="1"/>
    <col min="13" max="15" width="0" style="19" hidden="1" customWidth="1"/>
    <col min="16" max="16" width="9.140625" style="1"/>
    <col min="17" max="19" width="9.140625" style="12"/>
    <col min="20" max="20" width="9.140625" style="1"/>
    <col min="21" max="24" width="9.140625" style="14"/>
    <col min="25" max="25" width="9.140625" style="1"/>
    <col min="26" max="30" width="9.140625" style="2"/>
    <col min="31" max="31" width="9.140625" style="20"/>
    <col min="32" max="32" width="10.7109375" style="2" bestFit="1" customWidth="1"/>
    <col min="33" max="34" width="9.140625" style="2"/>
    <col min="35" max="35" width="17.85546875" style="2" bestFit="1" customWidth="1"/>
    <col min="36" max="36" width="9.140625" style="2"/>
    <col min="37" max="37" width="17.42578125" style="2" bestFit="1" customWidth="1"/>
    <col min="38" max="38" width="31.7109375" style="2" bestFit="1" customWidth="1"/>
    <col min="39" max="16384" width="9.140625" style="1"/>
  </cols>
  <sheetData>
    <row r="1" spans="2:38">
      <c r="F1" s="27" t="s">
        <v>60</v>
      </c>
      <c r="L1" s="2"/>
    </row>
    <row r="2" spans="2:38" s="3" customFormat="1">
      <c r="B2" s="3" t="s">
        <v>0</v>
      </c>
      <c r="C2" s="3" t="s">
        <v>1</v>
      </c>
      <c r="D2" s="4" t="s">
        <v>2</v>
      </c>
      <c r="E2" s="4" t="s">
        <v>3</v>
      </c>
      <c r="F2" s="9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4" t="s">
        <v>9</v>
      </c>
      <c r="L2" s="4" t="s">
        <v>10</v>
      </c>
      <c r="M2" s="16" t="s">
        <v>11</v>
      </c>
      <c r="N2" s="16" t="s">
        <v>12</v>
      </c>
      <c r="O2" s="16" t="s">
        <v>13</v>
      </c>
      <c r="Q2" s="11" t="s">
        <v>14</v>
      </c>
      <c r="R2" s="11" t="s">
        <v>15</v>
      </c>
      <c r="S2" s="11" t="s">
        <v>16</v>
      </c>
      <c r="U2" s="13" t="s">
        <v>17</v>
      </c>
      <c r="V2" s="13" t="s">
        <v>18</v>
      </c>
      <c r="W2" s="13" t="s">
        <v>19</v>
      </c>
      <c r="X2" s="13" t="s">
        <v>20</v>
      </c>
      <c r="Z2" s="4" t="s">
        <v>21</v>
      </c>
      <c r="AA2" s="4" t="s">
        <v>22</v>
      </c>
      <c r="AB2" s="4" t="s">
        <v>23</v>
      </c>
      <c r="AC2" s="4" t="s">
        <v>24</v>
      </c>
      <c r="AD2" s="4"/>
      <c r="AE2" s="21" t="s">
        <v>40</v>
      </c>
      <c r="AF2" s="4" t="s">
        <v>25</v>
      </c>
      <c r="AG2" s="4" t="s">
        <v>26</v>
      </c>
      <c r="AH2" s="4" t="s">
        <v>27</v>
      </c>
      <c r="AI2" s="4" t="s">
        <v>28</v>
      </c>
      <c r="AJ2" s="4"/>
      <c r="AK2" s="4" t="s">
        <v>29</v>
      </c>
      <c r="AL2" s="4" t="s">
        <v>30</v>
      </c>
    </row>
    <row r="3" spans="2:38">
      <c r="B3" s="5" t="s">
        <v>31</v>
      </c>
      <c r="C3" s="1" t="s">
        <v>34</v>
      </c>
      <c r="D3" s="2" t="s">
        <v>32</v>
      </c>
      <c r="E3" s="2" t="s">
        <v>33</v>
      </c>
      <c r="F3" s="10">
        <f>+[1]Main!$C$6</f>
        <v>575.27</v>
      </c>
      <c r="G3" s="8">
        <f>+[1]Main!$C$7</f>
        <v>2529</v>
      </c>
      <c r="H3" s="8">
        <f>+[1]Main!$C$8</f>
        <v>1454857.8299999998</v>
      </c>
      <c r="I3" s="8">
        <f>+[1]Main!$C$11</f>
        <v>42077</v>
      </c>
      <c r="J3" s="8">
        <f>+[1]Main!$C$12</f>
        <v>1412780.8299999998</v>
      </c>
      <c r="K3" s="2" t="str">
        <f>+[1]Main!$C$31</f>
        <v>Q324</v>
      </c>
      <c r="L3" s="15">
        <f>+[1]Main!$D$31</f>
        <v>45595</v>
      </c>
      <c r="M3" s="17">
        <f>+'[1]Financial Model'!$AU$28</f>
        <v>627.94737053951712</v>
      </c>
      <c r="N3" s="18">
        <f>+'[1]Financial Model'!$AU$31</f>
        <v>9.1569820327006779E-2</v>
      </c>
      <c r="O3" s="18">
        <f>+'[1]Financial Model'!$AU$24</f>
        <v>7.0000000000000007E-2</v>
      </c>
      <c r="Q3" s="12">
        <f>+[1]Main!$C$35</f>
        <v>8.8425616760571089</v>
      </c>
      <c r="R3" s="12">
        <f>+[1]Main!$C$36</f>
        <v>9.3124609062453985</v>
      </c>
      <c r="S3" s="12">
        <f>+[1]Main!$C$38</f>
        <v>26.360609283332796</v>
      </c>
      <c r="U3" s="14">
        <f>+'[1]Financial Model'!$Y$22</f>
        <v>0.81830052477272164</v>
      </c>
      <c r="V3" s="14">
        <f>+'[1]Financial Model'!$Y$23</f>
        <v>0.4274557146024785</v>
      </c>
      <c r="W3" s="14">
        <f>+'[1]Financial Model'!$Y$24</f>
        <v>0.38650865998176848</v>
      </c>
      <c r="X3" s="14">
        <f>+'[1]Financial Model'!$Y$25</f>
        <v>0.11973964762652901</v>
      </c>
      <c r="Z3" s="14">
        <f>+'[1]Financial Model'!$Y$27</f>
        <v>0.18868974404029748</v>
      </c>
      <c r="AA3" s="14">
        <f>+'[1]Financial Model'!$AH$27</f>
        <v>0.15687468377226454</v>
      </c>
      <c r="AB3" s="14">
        <f>+'[1]Financial Model'!$AG$27</f>
        <v>-1.1193175554782941E-2</v>
      </c>
      <c r="AC3" s="14">
        <f>+'[1]Financial Model'!$AF$27</f>
        <v>0.37182574303495608</v>
      </c>
      <c r="AE3" s="20">
        <f>+[1]Main!$C$27*1000</f>
        <v>3900</v>
      </c>
      <c r="AF3" s="20">
        <f>+[1]Main!$C$28</f>
        <v>72404</v>
      </c>
      <c r="AG3" s="2">
        <f>+[1]Main!$C$24</f>
        <v>2004</v>
      </c>
      <c r="AH3" s="2">
        <f>+[1]Main!$C$25</f>
        <v>2012</v>
      </c>
      <c r="AI3" s="2" t="str">
        <f>+[1]Main!$C$23</f>
        <v>San Francisco, CA</v>
      </c>
      <c r="AK3" s="2" t="s">
        <v>41</v>
      </c>
      <c r="AL3" s="2" t="s">
        <v>42</v>
      </c>
    </row>
    <row r="4" spans="2:38">
      <c r="B4" s="5" t="s">
        <v>74</v>
      </c>
      <c r="C4" s="1" t="s">
        <v>75</v>
      </c>
      <c r="D4" s="2" t="s">
        <v>37</v>
      </c>
      <c r="E4" s="2" t="s">
        <v>33</v>
      </c>
      <c r="F4" s="10">
        <f>[2]Main!$C$6</f>
        <v>450</v>
      </c>
      <c r="G4" s="8">
        <f>[2]Main!$C$7</f>
        <v>201.575568</v>
      </c>
      <c r="H4" s="8">
        <f>[2]Main!$C$8</f>
        <v>90709.005600000004</v>
      </c>
      <c r="I4" s="8">
        <f>[2]Main!$C$11*Currencies!D3</f>
        <v>4863.0769230769229</v>
      </c>
      <c r="J4" s="8">
        <f>[2]Main!$C$12</f>
        <v>84387.005600000004</v>
      </c>
      <c r="K4" s="2" t="str">
        <f>[2]Main!$C$30</f>
        <v>Q324</v>
      </c>
      <c r="L4" s="15">
        <f>[2]Main!$D$30</f>
        <v>45608</v>
      </c>
      <c r="Q4" s="12">
        <f>[2]Main!$C$35</f>
        <v>2.048085692097604</v>
      </c>
      <c r="R4" s="12">
        <f>[2]Main!$C$36</f>
        <v>19.19263634517079</v>
      </c>
      <c r="S4" s="12">
        <f>+[2]Main!$C$38</f>
        <v>118.16107002434873</v>
      </c>
      <c r="U4" s="14">
        <f>'[2]Financial Model'!$Q$24</f>
        <v>0.31093279839518556</v>
      </c>
      <c r="V4" s="14">
        <f>'[2]Financial Model'!$Q$25</f>
        <v>0.11384152457372117</v>
      </c>
      <c r="W4" s="14">
        <f>'[2]Financial Model'!$Q$26</f>
        <v>7.5225677031093285E-2</v>
      </c>
      <c r="X4" s="14">
        <f>'[2]Financial Model'!$Q$27</f>
        <v>0.24623115577889448</v>
      </c>
      <c r="Z4" s="14">
        <f>'[2]Financial Model'!$Q$21</f>
        <v>0.18796544533809945</v>
      </c>
      <c r="AA4" s="14">
        <f>'[2]Financial Model'!$AA$21</f>
        <v>0.12961541741280813</v>
      </c>
      <c r="AB4" s="14">
        <f>'[2]Financial Model'!$Z$21</f>
        <v>0.21297062474141493</v>
      </c>
      <c r="AE4" s="20">
        <f>+[2]Main!$C$27/30</f>
        <v>21.333333333333332</v>
      </c>
      <c r="AF4" s="20">
        <f>+[2]Main!$C$28</f>
        <v>9123</v>
      </c>
      <c r="AG4" s="2">
        <f>[2]Main!$C$24</f>
        <v>2006</v>
      </c>
      <c r="AH4" s="2">
        <f>+[2]Main!$C$25</f>
        <v>2018</v>
      </c>
      <c r="AI4" s="2" t="str">
        <f>[2]Main!$C$23</f>
        <v>Stockholm, Sweden</v>
      </c>
      <c r="AK4" s="2" t="s">
        <v>76</v>
      </c>
      <c r="AL4" s="2" t="s">
        <v>77</v>
      </c>
    </row>
    <row r="5" spans="2:38">
      <c r="B5" s="5" t="s">
        <v>86</v>
      </c>
      <c r="C5" s="1" t="s">
        <v>87</v>
      </c>
      <c r="D5" s="2" t="s">
        <v>32</v>
      </c>
      <c r="E5" s="2" t="s">
        <v>33</v>
      </c>
      <c r="F5" s="10">
        <f>+[11]Main!$C$6</f>
        <v>321.27</v>
      </c>
      <c r="G5" s="8">
        <f>+[11]Main!$C$7</f>
        <v>216</v>
      </c>
      <c r="H5" s="8">
        <f>+[11]Main!$C$8</f>
        <v>69394.319999999992</v>
      </c>
      <c r="I5" s="8">
        <f>+[11]Main!$C$11</f>
        <v>-177</v>
      </c>
      <c r="J5" s="8">
        <f>+[11]Main!$C$12</f>
        <v>69571.319999999992</v>
      </c>
      <c r="K5" s="2" t="str">
        <f>+[11]Main!$C$29</f>
        <v>Q224</v>
      </c>
      <c r="L5" s="15">
        <f>+[11]Main!$D$29</f>
        <v>45538</v>
      </c>
      <c r="Q5" s="12">
        <f>+[11]Main!$C$34</f>
        <v>28.049442198868228</v>
      </c>
      <c r="R5" s="12">
        <f>+[11]Main!$C$35</f>
        <v>11.954232558139534</v>
      </c>
      <c r="S5" s="12">
        <f>+[11]Main!$C$36</f>
        <v>65.277899355462978</v>
      </c>
      <c r="U5" s="14">
        <f>+'[11]Financial Model'!$L$25</f>
        <v>0.90697674418604646</v>
      </c>
      <c r="V5" s="14">
        <f>+'[11]Financial Model'!$L$26</f>
        <v>0.22790697674418606</v>
      </c>
      <c r="W5" s="14">
        <f>+'[11]Financial Model'!$L$27</f>
        <v>0.18737541528239202</v>
      </c>
      <c r="X5" s="14">
        <f>+'[11]Financial Model'!$L$28</f>
        <v>0.19886363636363635</v>
      </c>
      <c r="Z5" s="14">
        <f>+'[11]Financial Model'!$L$30</f>
        <v>0.11895910780669139</v>
      </c>
      <c r="AA5" s="14">
        <f>+'[11]Financial Model'!$W$30</f>
        <v>9.8301698301698215E-2</v>
      </c>
      <c r="AB5" s="14">
        <f>+'[11]Financial Model'!$V$30</f>
        <v>0.14113087095303234</v>
      </c>
      <c r="AF5" s="20"/>
      <c r="AG5" s="2">
        <f>+[11]Main!$C$23</f>
        <v>1982</v>
      </c>
      <c r="AH5" s="2">
        <f>+[11]Main!$C$25</f>
        <v>1985</v>
      </c>
      <c r="AI5" s="2" t="str">
        <f>+[11]Main!$C$24</f>
        <v>San Fransisco, CA</v>
      </c>
      <c r="AK5" s="2" t="s">
        <v>89</v>
      </c>
      <c r="AL5" s="2" t="s">
        <v>88</v>
      </c>
    </row>
    <row r="6" spans="2:38">
      <c r="B6" s="5" t="s">
        <v>78</v>
      </c>
      <c r="C6" s="1" t="s">
        <v>79</v>
      </c>
      <c r="D6" s="2" t="s">
        <v>37</v>
      </c>
      <c r="E6" s="2" t="s">
        <v>33</v>
      </c>
      <c r="F6" s="10">
        <f>+[3]Main!$C$6</f>
        <v>130.24</v>
      </c>
      <c r="G6" s="8">
        <f>+[3]Main!$C$7</f>
        <v>334.07100000000003</v>
      </c>
      <c r="H6" s="8">
        <f>+[3]Main!$C$8</f>
        <v>43509.407040000006</v>
      </c>
      <c r="I6" s="8">
        <f>+[3]Main!$C$11</f>
        <v>3927.913</v>
      </c>
      <c r="J6" s="8">
        <f>+[3]Main!$C$12</f>
        <v>39581.494040000005</v>
      </c>
      <c r="K6" s="2" t="str">
        <f>+[3]Main!$C$29</f>
        <v>Q224</v>
      </c>
      <c r="L6" s="15">
        <f>+[3]Main!$D$29</f>
        <v>45533</v>
      </c>
      <c r="Q6" s="12">
        <f>+[3]Main!$C$34</f>
        <v>10.51564511498003</v>
      </c>
      <c r="R6" s="12">
        <f>+[3]Main!$C$35</f>
        <v>13.569715649610261</v>
      </c>
      <c r="U6" s="14">
        <f>+'[3]Financial Model'!$L$24</f>
        <v>0.66841087502014318</v>
      </c>
      <c r="V6" s="14">
        <f>+'[3]Financial Model'!$L$25</f>
        <v>-0.40901724257004091</v>
      </c>
      <c r="W6" s="14">
        <f>+'[3]Financial Model'!$L$26</f>
        <v>-0.36581528119892281</v>
      </c>
      <c r="X6" s="14">
        <f>+'[3]Financial Model'!$L$27</f>
        <v>-1.2056288153566408E-2</v>
      </c>
      <c r="Z6" s="14">
        <f>+'[3]Financial Model'!$L$21</f>
        <v>0.28895667474755871</v>
      </c>
      <c r="AA6" s="14">
        <f>+'[3]Financial Model'!$X$21</f>
        <v>0.35864099544019612</v>
      </c>
      <c r="AB6" s="14">
        <f>+'[3]Financial Model'!$W$21</f>
        <v>0.69409764566847132</v>
      </c>
      <c r="AF6" s="20">
        <f>+[3]Main!$C$27</f>
        <v>7630</v>
      </c>
      <c r="AG6" s="2">
        <f>+[3]Main!$C$24</f>
        <v>2012</v>
      </c>
      <c r="AH6" s="2">
        <f>+[3]Main!$C$25</f>
        <v>2020</v>
      </c>
      <c r="AI6" s="2" t="str">
        <f>+[3]Main!$C$23</f>
        <v>Bozeman, MT</v>
      </c>
      <c r="AK6" s="2" t="s">
        <v>81</v>
      </c>
      <c r="AL6" s="2" t="s">
        <v>80</v>
      </c>
    </row>
    <row r="7" spans="2:38">
      <c r="B7" s="5" t="s">
        <v>38</v>
      </c>
      <c r="C7" s="1" t="s">
        <v>39</v>
      </c>
      <c r="D7" s="2" t="s">
        <v>37</v>
      </c>
      <c r="E7" s="2" t="s">
        <v>33</v>
      </c>
      <c r="F7" s="10">
        <f>+[4]Main!$C$6</f>
        <v>51.68</v>
      </c>
      <c r="G7" s="8">
        <f>+[4]Main!$C$7</f>
        <v>641.81399999999996</v>
      </c>
      <c r="H7" s="8">
        <f>+[4]Main!$C$8</f>
        <v>33168.947520000002</v>
      </c>
      <c r="I7" s="8">
        <f>+[4]Main!$C$11</f>
        <v>2595.5510000000004</v>
      </c>
      <c r="J7" s="8">
        <f>+[4]Main!$C$12</f>
        <v>30573.396520000002</v>
      </c>
      <c r="K7" s="2" t="str">
        <f>+[4]Main!$G$11</f>
        <v>Q324</v>
      </c>
      <c r="L7" s="15">
        <f>+[4]Main!$H$11</f>
        <v>45596</v>
      </c>
      <c r="M7" s="22">
        <f>+'[4]Financial Model'!$AX$26</f>
        <v>71.486963060421459</v>
      </c>
      <c r="N7" s="18">
        <f>+'[4]Financial Model'!$AX$28</f>
        <v>0.38326166912580217</v>
      </c>
      <c r="O7" s="18">
        <f>+'[4]Financial Model'!$AX$22</f>
        <v>0.09</v>
      </c>
      <c r="Q7" s="12">
        <f>+[4]Main!$G$16</f>
        <v>523.51896884519317</v>
      </c>
      <c r="R7" s="12">
        <f>+[4]Main!$G$17</f>
        <v>11.261920977309074</v>
      </c>
      <c r="S7" s="12">
        <f>+[4]Main!$G$18</f>
        <v>-27.750520841528012</v>
      </c>
      <c r="U7" s="14">
        <f>+'[4]Financial Model'!$T$22</f>
        <v>0.77778685524927171</v>
      </c>
      <c r="V7" s="14">
        <f>+'[4]Financial Model'!$T$23</f>
        <v>-0.26629832028229189</v>
      </c>
      <c r="W7" s="14">
        <f>+'[4]Financial Model'!$T$24</f>
        <v>-0.23188027884500237</v>
      </c>
      <c r="X7" s="14">
        <f>+'[4]Financial Model'!$T$25</f>
        <v>-5.311828476229569E-4</v>
      </c>
      <c r="Z7" s="14">
        <f>+'[4]Financial Model'!$T$28</f>
        <v>0.31255526862387373</v>
      </c>
      <c r="AA7" s="14"/>
      <c r="AB7" s="14">
        <f>+'[4]Financial Model'!$AF$28</f>
        <v>0.15937579623808262</v>
      </c>
      <c r="AC7" s="14">
        <f>+'[4]Financial Model'!$AE$28</f>
        <v>1.0772942519902369</v>
      </c>
      <c r="AE7" s="20">
        <f>+[4]Main!$G$9</f>
        <v>79.5</v>
      </c>
      <c r="AF7" s="20">
        <f>+[4]Main!$G$10</f>
        <v>2457</v>
      </c>
      <c r="AG7" s="2">
        <f>+[4]Main!$G$8</f>
        <v>2004</v>
      </c>
      <c r="AH7" s="2">
        <f>+[4]Main!$G$7</f>
        <v>2021</v>
      </c>
      <c r="AI7" s="2" t="str">
        <f>+[4]Main!$G$6</f>
        <v>San Mateo, CA</v>
      </c>
      <c r="AK7" s="2" t="s">
        <v>43</v>
      </c>
      <c r="AL7" s="2" t="s">
        <v>44</v>
      </c>
    </row>
    <row r="8" spans="2:38">
      <c r="B8" s="6" t="s">
        <v>35</v>
      </c>
      <c r="C8" s="1" t="s">
        <v>36</v>
      </c>
      <c r="D8" s="2" t="s">
        <v>37</v>
      </c>
      <c r="E8" s="2" t="s">
        <v>33</v>
      </c>
      <c r="F8" s="10">
        <f>+[5]Main!$C$6</f>
        <v>129.71</v>
      </c>
      <c r="G8" s="8">
        <f>+[5]Main!$C$7</f>
        <v>169.16992200000001</v>
      </c>
      <c r="H8" s="8">
        <f>+[5]Main!$C$8</f>
        <v>21943.030582620002</v>
      </c>
      <c r="I8" s="8">
        <f>+[5]Main!$C$11</f>
        <v>1744.9669999999999</v>
      </c>
      <c r="J8" s="8">
        <f>+[5]Main!$C$12</f>
        <v>20198.063582620001</v>
      </c>
      <c r="K8" s="2" t="str">
        <f>+[5]Main!$C$32</f>
        <v>Q324</v>
      </c>
      <c r="L8" s="15">
        <f>+[5]Main!$D$32</f>
        <v>45594</v>
      </c>
      <c r="Q8" s="12">
        <f>+[5]Main!$C$37</f>
        <v>11.095743232541535</v>
      </c>
      <c r="U8" s="14">
        <f>+'[5]Financial Model'!$I$18</f>
        <v>0.90049404192897387</v>
      </c>
      <c r="V8" s="14">
        <f>+'[5]Financial Model'!$I$19</f>
        <v>1.9589437090750374E-2</v>
      </c>
      <c r="W8" s="14">
        <f>+'[5]Financial Model'!$I$20</f>
        <v>8.5611925902322611E-2</v>
      </c>
      <c r="X8" s="14">
        <f>+'[5]Financial Model'!$I$21</f>
        <v>-1.0405477980665956E-3</v>
      </c>
      <c r="Z8" s="14">
        <f>+'[5]Financial Model'!$I$24</f>
        <v>0.67873527767604136</v>
      </c>
      <c r="AB8" s="2" t="s">
        <v>46</v>
      </c>
      <c r="AC8" s="2" t="s">
        <v>46</v>
      </c>
      <c r="AE8" s="20">
        <f>+[5]Main!$C$29</f>
        <v>97.2</v>
      </c>
      <c r="AF8" s="20">
        <f>+[5]Main!$C$30</f>
        <v>2013</v>
      </c>
      <c r="AG8" s="2">
        <f>+[5]Main!$C$25</f>
        <v>2005</v>
      </c>
      <c r="AH8" s="2">
        <f>+[5]Main!$C$26</f>
        <v>2024</v>
      </c>
      <c r="AI8" s="2" t="str">
        <f>+[5]Main!$C$24</f>
        <v>San Fransisco, CA</v>
      </c>
      <c r="AK8" s="2" t="s">
        <v>41</v>
      </c>
      <c r="AL8" s="2" t="s">
        <v>45</v>
      </c>
    </row>
    <row r="9" spans="2:38">
      <c r="B9" s="5" t="s">
        <v>68</v>
      </c>
      <c r="C9" s="1" t="s">
        <v>71</v>
      </c>
      <c r="D9" s="2" t="s">
        <v>37</v>
      </c>
      <c r="E9" s="2" t="s">
        <v>33</v>
      </c>
      <c r="F9" s="10">
        <f>+[6]Main!$C$6</f>
        <v>36.5</v>
      </c>
      <c r="G9" s="8">
        <f>+[6]Main!$C$7</f>
        <v>563</v>
      </c>
      <c r="H9" s="8">
        <f>+[6]Main!$C$8</f>
        <v>20549.5</v>
      </c>
      <c r="I9" s="8">
        <f>+[6]Main!$C$11</f>
        <v>1272</v>
      </c>
      <c r="J9" s="8">
        <f>+[6]Main!$C$12</f>
        <v>19277.5</v>
      </c>
      <c r="K9" s="2" t="str">
        <f>+[6]Main!$C$30</f>
        <v>Q324</v>
      </c>
      <c r="L9" s="15">
        <f>+[6]Main!$D$30</f>
        <v>45603</v>
      </c>
      <c r="Q9" s="12">
        <f>+[6]Main!$C$35</f>
        <v>14.471478873239437</v>
      </c>
      <c r="R9" s="12">
        <f>+[6]Main!$C$36</f>
        <v>4.4116573636753973</v>
      </c>
      <c r="U9" s="14">
        <f>+'[6]Financial Model'!$M$28</f>
        <v>0.24674329501915709</v>
      </c>
      <c r="V9" s="14">
        <f>+'[6]Financial Model'!$M$29</f>
        <v>2.6053639846743294E-2</v>
      </c>
      <c r="W9" s="14">
        <f>+'[6]Financial Model'!$M$30</f>
        <v>4.2911877394636012E-2</v>
      </c>
      <c r="X9" s="14">
        <f>+'[6]Financial Model'!$M$31</f>
        <v>1.7543859649122806E-2</v>
      </c>
      <c r="Z9" s="14">
        <f>+'[6]Financial Model'!$M$33</f>
        <v>0.26453488372093026</v>
      </c>
      <c r="AA9" s="14">
        <f>+'[6]Financial Model'!$U$33</f>
        <v>0.41523251556206509</v>
      </c>
      <c r="AB9" s="14">
        <f>+'[6]Financial Model'!$T$33</f>
        <v>0.6017595307917889</v>
      </c>
      <c r="AF9" s="20">
        <f>+[6]Main!$C$28</f>
        <v>5500</v>
      </c>
      <c r="AG9" s="2">
        <f>+[6]Main!$C$24</f>
        <v>2011</v>
      </c>
      <c r="AH9" s="2">
        <f>+[6]Main!$C$25</f>
        <v>2021</v>
      </c>
      <c r="AI9" s="2" t="str">
        <f>+[6]Main!$C$23</f>
        <v>Boston, MA</v>
      </c>
      <c r="AL9" s="2" t="s">
        <v>69</v>
      </c>
    </row>
    <row r="10" spans="2:38">
      <c r="B10" s="5" t="s">
        <v>47</v>
      </c>
      <c r="C10" s="1" t="s">
        <v>55</v>
      </c>
      <c r="D10" s="2" t="s">
        <v>50</v>
      </c>
      <c r="E10" s="2" t="s">
        <v>51</v>
      </c>
      <c r="F10" s="10">
        <f>+[7]Main!$C$6*Currencies!C3</f>
        <v>16.497</v>
      </c>
      <c r="G10" s="8">
        <f>+[7]Main!$C$7</f>
        <v>1007</v>
      </c>
      <c r="H10" s="8">
        <f>G10*F10</f>
        <v>16612.478999999999</v>
      </c>
      <c r="I10" s="8">
        <f>[7]Main!$C$11*Currencies!C3</f>
        <v>-913.9</v>
      </c>
      <c r="J10" s="8">
        <f>H10-I10</f>
        <v>17526.379000000001</v>
      </c>
      <c r="K10" s="2" t="str">
        <f>+[7]Main!$C$27</f>
        <v>FY24</v>
      </c>
      <c r="L10" s="15">
        <f>+[7]Main!$D$27</f>
        <v>45616</v>
      </c>
      <c r="Q10" s="12">
        <f>[7]Main!$C$34</f>
        <v>11.691518755718205</v>
      </c>
      <c r="R10" s="12">
        <f>[7]Main!$C$33</f>
        <v>5.479772727272727</v>
      </c>
      <c r="S10" s="12">
        <f>+[7]Main!$C$32</f>
        <v>39.562941176470588</v>
      </c>
      <c r="U10" s="14">
        <f>+'[7]Financial Model'!$X$20</f>
        <v>0.92795883361921094</v>
      </c>
      <c r="V10" s="14">
        <f>+'[7]Financial Model'!$X$21</f>
        <v>0.19382504288164665</v>
      </c>
      <c r="W10" s="14">
        <f>+'[7]Financial Model'!$X$22</f>
        <v>0.13850771869639794</v>
      </c>
      <c r="X10" s="14">
        <f>+'[7]Financial Model'!$X$23</f>
        <v>0.24178403755868544</v>
      </c>
      <c r="Z10" s="14">
        <f>+'[7]Financial Model'!$X$25</f>
        <v>6.7765567765567747E-2</v>
      </c>
      <c r="AA10" s="14">
        <f>+'[7]Financial Model'!$W$25</f>
        <v>0.1217257318952234</v>
      </c>
      <c r="AB10" s="14">
        <f>+'[7]Financial Model'!$V$25</f>
        <v>5.4712892741061836E-2</v>
      </c>
      <c r="AC10" s="14">
        <f>+'[7]Financial Model'!$U$25</f>
        <v>-2.9952706253284278E-2</v>
      </c>
      <c r="AF10" s="20">
        <f>+[7]Main!$C$26</f>
        <v>11565</v>
      </c>
      <c r="AG10" s="2">
        <f>+[7]Main!$C$24</f>
        <v>1981</v>
      </c>
      <c r="AH10" s="2">
        <f>+[7]Main!$C$25</f>
        <v>1989</v>
      </c>
      <c r="AI10" s="2" t="s">
        <v>52</v>
      </c>
      <c r="AK10" s="2" t="s">
        <v>53</v>
      </c>
      <c r="AL10" s="2" t="s">
        <v>54</v>
      </c>
    </row>
    <row r="11" spans="2:38">
      <c r="B11" s="5" t="s">
        <v>82</v>
      </c>
      <c r="C11" s="1" t="s">
        <v>83</v>
      </c>
      <c r="D11" s="2" t="s">
        <v>37</v>
      </c>
      <c r="E11" s="2" t="s">
        <v>33</v>
      </c>
      <c r="F11" s="10">
        <f>+[8]Main!$C$6</f>
        <v>93.15</v>
      </c>
      <c r="G11" s="8">
        <f>+[8]Main!$C$7</f>
        <v>102.284435</v>
      </c>
      <c r="H11" s="8">
        <f>+[8]Main!$C$8</f>
        <v>9527.7951202500008</v>
      </c>
      <c r="I11" s="8">
        <f>+[8]Main!$C$11</f>
        <v>578.44299999999998</v>
      </c>
      <c r="J11" s="8">
        <f>+[8]Main!$C$12</f>
        <v>8949.3521202500015</v>
      </c>
      <c r="K11" s="20" t="str">
        <f>+[8]Main!$C$29</f>
        <v>Q125</v>
      </c>
      <c r="L11" s="15">
        <f>+[8]Main!$D$29</f>
        <v>45524</v>
      </c>
      <c r="Q11" s="12">
        <f>+[8]Main!$C$34</f>
        <v>12.550196094773931</v>
      </c>
      <c r="U11" s="14">
        <f>+'[8]Financial Model'!$K$29</f>
        <v>0.73589027689827868</v>
      </c>
      <c r="V11" s="14">
        <f>+'[8]Financial Model'!$K$30</f>
        <v>-9.7397962120775908E-2</v>
      </c>
      <c r="W11" s="14">
        <f>+'[8]Financial Model'!$K$31</f>
        <v>-0.141693051637787</v>
      </c>
      <c r="X11" s="14">
        <f>+'[8]Financial Model'!$K$32</f>
        <v>-0.68840032926327432</v>
      </c>
      <c r="Z11" s="14">
        <f>+'[8]Financial Model'!$K$34</f>
        <v>0.18269430439859335</v>
      </c>
      <c r="AA11" s="14"/>
      <c r="AB11" s="14"/>
      <c r="AC11" s="14"/>
      <c r="AF11" s="20"/>
      <c r="AK11" s="2" t="s">
        <v>84</v>
      </c>
      <c r="AL11" s="2" t="s">
        <v>85</v>
      </c>
    </row>
    <row r="12" spans="2:38">
      <c r="B12" s="5" t="s">
        <v>61</v>
      </c>
      <c r="C12" s="1" t="s">
        <v>62</v>
      </c>
      <c r="D12" s="2" t="s">
        <v>50</v>
      </c>
      <c r="E12" s="2" t="s">
        <v>33</v>
      </c>
      <c r="F12" s="10">
        <f>+[9]Main!$C$6*Currencies!C3</f>
        <v>4.3290000000000006</v>
      </c>
      <c r="G12" s="8">
        <f>+[9]Main!$C$7</f>
        <v>193.41571500000001</v>
      </c>
      <c r="H12" s="8">
        <f>G12*F12</f>
        <v>837.29663023500018</v>
      </c>
      <c r="I12" s="8">
        <f>[9]Main!$C$11*Currencies!D3</f>
        <v>20.227692307692305</v>
      </c>
      <c r="J12" s="8">
        <f>H12-I12</f>
        <v>817.06893792730784</v>
      </c>
      <c r="K12" s="2" t="str">
        <f>[9]Main!$C$30</f>
        <v>H124</v>
      </c>
      <c r="L12" s="15">
        <f>[9]Main!$D$30</f>
        <v>45559</v>
      </c>
      <c r="Q12" s="12">
        <f>+[9]Main!$C$35</f>
        <v>3.1948131495535712</v>
      </c>
      <c r="R12" s="12">
        <f>+[9]Main!$C$36</f>
        <v>2.6442251407476842</v>
      </c>
      <c r="S12" s="12">
        <f>+[9]Main!$C$38</f>
        <v>15.436558542879432</v>
      </c>
      <c r="U12" s="14">
        <f>+'[9]Financial Model'!$F$42</f>
        <v>0.23750000000000002</v>
      </c>
      <c r="V12" s="14">
        <f>+'[9]Financial Model'!$F$43</f>
        <v>7.9166666666666677E-2</v>
      </c>
      <c r="W12" s="14">
        <f>+'[9]Financial Model'!$F$44</f>
        <v>5.2777777777777792E-2</v>
      </c>
      <c r="X12" s="14">
        <f>+'[9]Financial Model'!$F$45</f>
        <v>0.29629629629629622</v>
      </c>
      <c r="Z12" s="14">
        <f>+'[9]Financial Model'!$F$30</f>
        <v>0.61254199328107539</v>
      </c>
      <c r="AA12" s="14">
        <f>+'[9]Financial Model'!$K$30</f>
        <v>0.41487498602675421</v>
      </c>
      <c r="AB12" s="14">
        <f>+'[9]Financial Model'!$J$30</f>
        <v>0.33624730593867169</v>
      </c>
      <c r="AC12" s="2" t="s">
        <v>46</v>
      </c>
      <c r="AF12" s="2">
        <f>+[9]Main!$C$27</f>
        <v>115</v>
      </c>
      <c r="AG12" s="2">
        <f>+[9]Main!$C$24</f>
        <v>2012</v>
      </c>
      <c r="AH12" s="30">
        <f>+[9]Main!$C$25</f>
        <v>45444</v>
      </c>
      <c r="AI12" s="2" t="str">
        <f>[9]Main!$C$23</f>
        <v>Cambridge, UK</v>
      </c>
      <c r="AK12" s="2" t="s">
        <v>64</v>
      </c>
      <c r="AL12" s="2" t="s">
        <v>65</v>
      </c>
    </row>
    <row r="13" spans="2:38">
      <c r="F13" s="10" t="s">
        <v>66</v>
      </c>
    </row>
    <row r="15" spans="2:38">
      <c r="B15" s="5" t="s">
        <v>67</v>
      </c>
      <c r="C15" s="1" t="s">
        <v>70</v>
      </c>
      <c r="K15" s="2" t="str">
        <f>+[10]Main!$C$28</f>
        <v>Q123</v>
      </c>
      <c r="L15" s="15">
        <f>+[10]Main!$D$28</f>
        <v>45055</v>
      </c>
    </row>
    <row r="18" spans="2:4">
      <c r="B18" s="1" t="s">
        <v>56</v>
      </c>
      <c r="C18" s="1" t="s">
        <v>58</v>
      </c>
      <c r="D18" s="2" t="s">
        <v>57</v>
      </c>
    </row>
    <row r="20" spans="2:4">
      <c r="B20" s="1" t="s">
        <v>72</v>
      </c>
      <c r="C20" s="1" t="s">
        <v>73</v>
      </c>
    </row>
  </sheetData>
  <conditionalFormatting sqref="L3:L1048576">
    <cfRule type="expression" dxfId="0" priority="1">
      <formula>IF(LEFT(B3,1)="$",(TODAY()-L3)&gt;90,IF(LEFT(B3,1)="£",(TODAY()-L3)&gt;180,""))</formula>
    </cfRule>
  </conditionalFormatting>
  <hyperlinks>
    <hyperlink ref="B3" r:id="rId1" xr:uid="{AFCC0C36-695A-4698-B366-E9445F7B4F63}"/>
    <hyperlink ref="B8" r:id="rId2" xr:uid="{1AA14988-C4F2-405C-BA9D-FBCA3DA35146}"/>
    <hyperlink ref="B7" r:id="rId3" xr:uid="{6E23CD56-40A8-49B9-8695-A01CE41D946F}"/>
    <hyperlink ref="B10" r:id="rId4" xr:uid="{89F1C803-E83B-4EBB-9559-C94EA1C82D1B}"/>
    <hyperlink ref="B12" r:id="rId5" xr:uid="{9E99E74D-49BE-4AB2-9A4F-760C29667821}"/>
    <hyperlink ref="B15" r:id="rId6" xr:uid="{F00D1BE3-173F-47F3-8A89-19A59E2190E1}"/>
    <hyperlink ref="B9" r:id="rId7" xr:uid="{3859F738-BD99-4DD5-8721-EF043945682D}"/>
    <hyperlink ref="B4" r:id="rId8" xr:uid="{7B052CC6-304F-47CB-A888-07413A5C714D}"/>
    <hyperlink ref="B6" r:id="rId9" xr:uid="{383539A3-A008-4138-9E99-F152484C7F66}"/>
    <hyperlink ref="B11" r:id="rId10" xr:uid="{14914AE3-9BC8-4B00-947F-C4331DFB8EED}"/>
    <hyperlink ref="B5" r:id="rId11" xr:uid="{E635F2D9-F8A1-4114-ACFA-1F5C37840BC2}"/>
  </hyperlinks>
  <pageMargins left="0.7" right="0.7" top="0.75" bottom="0.75" header="0.3" footer="0.3"/>
  <pageSetup orientation="portrait" r:id="rId12"/>
  <ignoredErrors>
    <ignoredError sqref="H11 J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BE58-6F49-48D6-9030-A3F54882C90C}">
  <dimension ref="B2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2" sqref="B42"/>
    </sheetView>
  </sheetViews>
  <sheetFormatPr defaultRowHeight="12.75"/>
  <cols>
    <col min="1" max="1" width="9.140625" style="23"/>
    <col min="2" max="3" width="9.140625" style="26"/>
    <col min="4" max="4" width="9.140625" style="29"/>
    <col min="5" max="16384" width="9.140625" style="23"/>
  </cols>
  <sheetData>
    <row r="2" spans="2:4" s="24" customFormat="1">
      <c r="C2" s="25" t="s">
        <v>49</v>
      </c>
      <c r="D2" s="28" t="s">
        <v>63</v>
      </c>
    </row>
    <row r="3" spans="2:4">
      <c r="B3" s="25" t="s">
        <v>48</v>
      </c>
      <c r="C3" s="26">
        <v>1.3</v>
      </c>
      <c r="D3" s="29">
        <f>1/C3</f>
        <v>0.76923076923076916</v>
      </c>
    </row>
    <row r="4" spans="2:4">
      <c r="B4" s="25" t="s">
        <v>59</v>
      </c>
      <c r="C4" s="26">
        <v>1.0900000000000001</v>
      </c>
      <c r="D4" s="29">
        <f>1/C4</f>
        <v>0.9174311926605504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Currencies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2024-10-30T22:46:28Z</dcterms:created>
  <dcterms:modified xsi:type="dcterms:W3CDTF">2024-11-24T01:19:36Z</dcterms:modified>
</cp:coreProperties>
</file>