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4DB89AC-270A-4BC0-BC48-882D11050742}" xr6:coauthVersionLast="36" xr6:coauthVersionMax="47" xr10:uidLastSave="{00000000-0000-0000-0000-000000000000}"/>
  <bookViews>
    <workbookView xWindow="0" yWindow="495" windowWidth="33600" windowHeight="18825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N4" i="1"/>
  <c r="M4" i="1"/>
  <c r="AQ4" i="1" l="1"/>
  <c r="AP4" i="1"/>
  <c r="AR4" i="1"/>
  <c r="AF4" i="1"/>
  <c r="AE4" i="1"/>
  <c r="AD4" i="1"/>
  <c r="AC4" i="1"/>
  <c r="T4" i="1"/>
  <c r="R4" i="1"/>
  <c r="Q4" i="1"/>
  <c r="L4" i="1"/>
  <c r="K4" i="1"/>
  <c r="J4" i="1"/>
  <c r="I4" i="1"/>
  <c r="H4" i="1"/>
  <c r="G4" i="1"/>
  <c r="F4" i="1"/>
  <c r="O21" i="1" l="1"/>
  <c r="N21" i="1"/>
  <c r="M21" i="1"/>
  <c r="AH13" i="1" l="1"/>
  <c r="AF13" i="1"/>
  <c r="AE13" i="1"/>
  <c r="AD13" i="1"/>
  <c r="AC13" i="1"/>
  <c r="AH9" i="1" l="1"/>
  <c r="AF9" i="1"/>
  <c r="AE9" i="1"/>
  <c r="AD9" i="1"/>
  <c r="AC9" i="1"/>
  <c r="AH21" i="1" l="1"/>
  <c r="AF21" i="1"/>
  <c r="AE21" i="1"/>
  <c r="AD21" i="1"/>
  <c r="AC21" i="1"/>
  <c r="AH24" i="1" l="1"/>
  <c r="AF24" i="1"/>
  <c r="AE24" i="1"/>
  <c r="AD24" i="1"/>
  <c r="AC24" i="1"/>
  <c r="Q48" i="1" l="1"/>
  <c r="J48" i="1"/>
  <c r="I48" i="1"/>
  <c r="T48" i="1"/>
  <c r="X48" i="1"/>
  <c r="Y48" i="1"/>
  <c r="W48" i="1"/>
  <c r="AJ48" i="1" l="1"/>
  <c r="AI48" i="1"/>
  <c r="AF48" i="1"/>
  <c r="AE48" i="1"/>
  <c r="AD48" i="1"/>
  <c r="AC48" i="1"/>
  <c r="L48" i="1"/>
  <c r="K48" i="1"/>
  <c r="AO48" i="1" l="1"/>
  <c r="AP48" i="1"/>
  <c r="AQ48" i="1"/>
  <c r="AR48" i="1"/>
  <c r="G48" i="1"/>
  <c r="F48" i="1"/>
  <c r="H48" i="1"/>
  <c r="AH7" i="1" l="1"/>
  <c r="AF7" i="1"/>
  <c r="AE7" i="1"/>
  <c r="AD7" i="1"/>
  <c r="AC7" i="1"/>
  <c r="T6" i="1" l="1"/>
  <c r="AH6" i="1" l="1"/>
  <c r="AI6" i="1" l="1"/>
  <c r="AC6" i="1" l="1"/>
  <c r="S6" i="1" l="1"/>
  <c r="U6" i="1"/>
  <c r="AD6" i="1"/>
  <c r="AF6" i="1" l="1"/>
  <c r="W6" i="1" l="1"/>
  <c r="AE6" i="1"/>
  <c r="AO24" i="1" l="1"/>
  <c r="AO25" i="1" l="1"/>
  <c r="AO13" i="1" l="1"/>
  <c r="AO6" i="1" l="1"/>
  <c r="AO9" i="1" l="1"/>
  <c r="AO21" i="1" l="1"/>
  <c r="AH25" i="1" l="1"/>
  <c r="AI25" i="1"/>
  <c r="AF25" i="1"/>
  <c r="AE25" i="1"/>
  <c r="AD25" i="1"/>
  <c r="AC25" i="1"/>
  <c r="W25" i="1"/>
  <c r="AI24" i="1" l="1"/>
  <c r="W9" i="1"/>
  <c r="W24" i="1"/>
  <c r="AI9" i="1" l="1"/>
  <c r="AI21" i="1" l="1"/>
  <c r="AR58" i="1" l="1"/>
  <c r="AQ58" i="1"/>
  <c r="AP58" i="1"/>
  <c r="L58" i="1"/>
  <c r="K58" i="1"/>
  <c r="I58" i="1"/>
  <c r="J58" i="1"/>
  <c r="H58" i="1"/>
  <c r="G58" i="1"/>
  <c r="F58" i="1"/>
  <c r="AR57" i="1" l="1"/>
  <c r="AQ57" i="1"/>
  <c r="AP57" i="1"/>
  <c r="L57" i="1"/>
  <c r="K57" i="1"/>
  <c r="I57" i="1"/>
  <c r="J57" i="1"/>
  <c r="H57" i="1"/>
  <c r="G57" i="1"/>
  <c r="F57" i="1"/>
  <c r="AJ21" i="1" l="1"/>
  <c r="AL13" i="1" l="1"/>
  <c r="AK13" i="1"/>
  <c r="AI13" i="1"/>
  <c r="AJ13" i="1"/>
  <c r="AL9" i="1" l="1"/>
  <c r="AK9" i="1"/>
  <c r="AJ9" i="1"/>
  <c r="AJ6" i="1" l="1"/>
  <c r="AM25" i="1" l="1"/>
  <c r="AL25" i="1"/>
  <c r="AK25" i="1"/>
  <c r="AJ25" i="1"/>
  <c r="AJ24" i="1" l="1"/>
  <c r="O24" i="1" l="1"/>
  <c r="N24" i="1"/>
  <c r="M24" i="1"/>
  <c r="X24" i="1" l="1"/>
  <c r="T24" i="1" l="1"/>
  <c r="R24" i="1"/>
  <c r="Q24" i="1" l="1"/>
  <c r="L24" i="1"/>
  <c r="K24" i="1"/>
  <c r="S24" i="1" l="1"/>
  <c r="U24" i="1"/>
  <c r="AQ24" i="1"/>
  <c r="AR24" i="1"/>
  <c r="AP24" i="1"/>
  <c r="G24" i="1"/>
  <c r="F24" i="1"/>
  <c r="I24" i="1"/>
  <c r="J24" i="1" l="1"/>
  <c r="H24" i="1"/>
  <c r="O25" i="1" l="1"/>
  <c r="O13" i="1" l="1"/>
  <c r="O9" i="1" l="1"/>
  <c r="O6" i="1" l="1"/>
  <c r="K25" i="1" l="1"/>
  <c r="M25" i="1" l="1"/>
  <c r="N25" i="1"/>
  <c r="M6" i="1" l="1"/>
  <c r="M13" i="1"/>
  <c r="N6" i="1"/>
  <c r="M9" i="1" l="1"/>
  <c r="N9" i="1" l="1"/>
  <c r="N13" i="1" l="1"/>
  <c r="L22" i="1" l="1"/>
  <c r="K22" i="1"/>
  <c r="J22" i="1"/>
  <c r="I22" i="1"/>
  <c r="H22" i="1"/>
  <c r="G22" i="1"/>
  <c r="F22" i="1"/>
  <c r="X21" i="1" l="1"/>
  <c r="H46" i="1" l="1"/>
  <c r="F45" i="1" l="1"/>
  <c r="H45" i="1" s="1"/>
  <c r="F44" i="1"/>
  <c r="H44" i="1" s="1"/>
  <c r="H41" i="1" l="1"/>
  <c r="Q7" i="1" l="1"/>
  <c r="U9" i="1" l="1"/>
  <c r="X9" i="1"/>
  <c r="Y9" i="1"/>
  <c r="Z9" i="1"/>
  <c r="AA9" i="1"/>
  <c r="Y25" i="1" l="1"/>
  <c r="T9" i="1"/>
  <c r="Q9" i="1"/>
  <c r="R9" i="1" l="1"/>
  <c r="Z25" i="1" l="1"/>
  <c r="S9" i="1"/>
  <c r="Y6" i="1" l="1"/>
  <c r="X6" i="1"/>
  <c r="AA13" i="1" l="1"/>
  <c r="Z13" i="1"/>
  <c r="Y13" i="1"/>
  <c r="X13" i="1"/>
  <c r="W13" i="1"/>
  <c r="S13" i="1"/>
  <c r="U13" i="1"/>
  <c r="T13" i="1"/>
  <c r="Q13" i="1"/>
  <c r="R13" i="1"/>
  <c r="R6" i="1" l="1"/>
  <c r="Q6" i="1"/>
  <c r="AP25" i="1" l="1"/>
  <c r="AR25" i="1"/>
  <c r="AQ25" i="1"/>
  <c r="F25" i="1"/>
  <c r="L13" i="1" l="1"/>
  <c r="K13" i="1"/>
  <c r="I13" i="1"/>
  <c r="G13" i="1"/>
  <c r="F13" i="1"/>
  <c r="H13" i="1" l="1"/>
  <c r="J13" i="1"/>
  <c r="L7" i="1" l="1"/>
  <c r="K7" i="1"/>
  <c r="AP7" i="1"/>
  <c r="AQ7" i="1"/>
  <c r="AR7" i="1"/>
  <c r="F7" i="1"/>
  <c r="F21" i="1" l="1"/>
  <c r="AQ21" i="1"/>
  <c r="AR21" i="1"/>
  <c r="AP21" i="1"/>
  <c r="L21" i="1"/>
  <c r="K21" i="1"/>
  <c r="AR15" i="1" l="1"/>
  <c r="AR13" i="1"/>
  <c r="AP13" i="1"/>
  <c r="AQ13" i="1"/>
  <c r="AR6" i="1" l="1"/>
  <c r="AP6" i="1"/>
  <c r="AQ6" i="1"/>
  <c r="L6" i="1" l="1"/>
  <c r="J6" i="1"/>
  <c r="I6" i="1"/>
  <c r="H6" i="1"/>
  <c r="G6" i="1"/>
  <c r="F6" i="1"/>
  <c r="K6" i="1"/>
  <c r="AQ9" i="1" l="1"/>
  <c r="AR9" i="1"/>
  <c r="AP9" i="1"/>
  <c r="J9" i="1"/>
  <c r="I9" i="1"/>
  <c r="G9" i="1"/>
  <c r="H9" i="1"/>
  <c r="F9" i="1"/>
  <c r="G64" i="1"/>
  <c r="G63" i="1"/>
  <c r="AA25" i="1" s="1"/>
  <c r="L9" i="1"/>
  <c r="K9" i="1"/>
  <c r="I7" i="1"/>
  <c r="H7" i="1" l="1"/>
  <c r="G7" i="1"/>
  <c r="J7" i="1"/>
  <c r="L25" i="1" l="1"/>
  <c r="G25" i="1"/>
  <c r="I25" i="1" l="1"/>
  <c r="Q25" i="1" l="1"/>
  <c r="X25" i="1" l="1"/>
  <c r="T25" i="1" l="1"/>
  <c r="R25" i="1"/>
  <c r="H25" i="1"/>
  <c r="J25" i="1" l="1"/>
  <c r="S25" i="1"/>
  <c r="U25" i="1"/>
  <c r="G21" i="1" l="1"/>
  <c r="Q21" i="1" l="1"/>
  <c r="I21" i="1" l="1"/>
  <c r="H21" i="1" l="1"/>
  <c r="R21" i="1"/>
  <c r="Y21" i="1"/>
  <c r="J21" i="1" l="1"/>
  <c r="S21" i="1"/>
  <c r="W21" i="1" l="1"/>
  <c r="T21" i="1" l="1"/>
</calcChain>
</file>

<file path=xl/sharedStrings.xml><?xml version="1.0" encoding="utf-8"?>
<sst xmlns="http://schemas.openxmlformats.org/spreadsheetml/2006/main" count="254" uniqueCount="167">
  <si>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</si>
  <si>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</si>
  <si>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</si>
  <si>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</si>
  <si>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</si>
  <si>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</si>
  <si>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</si>
  <si>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</si>
  <si>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</si>
  <si>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</si>
  <si>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</si>
  <si>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</si>
  <si>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</si>
  <si>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</si>
  <si>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</si>
  <si>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</si>
  <si>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</si>
  <si>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</si>
  <si>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</si>
  <si>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</si>
  <si>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</si>
  <si>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</si>
  <si>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</si>
  <si>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</si>
  <si>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</si>
  <si>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</si>
  <si>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</si>
  <si>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</si>
  <si>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</si>
  <si>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</si>
  <si>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</si>
  <si>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</si>
  <si>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</si>
  <si>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</si>
  <si>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</si>
  <si>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</si>
  <si>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</si>
  <si>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</si>
  <si>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</si>
  <si>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</si>
  <si>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</si>
  <si>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</si>
  <si>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</si>
  <si>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</si>
  <si>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</si>
  <si>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</si>
  <si>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</si>
  <si>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</si>
  <si>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</si>
  <si>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</si>
  <si>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</si>
  <si>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</si>
  <si>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</si>
  <si>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</si>
  <si>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</si>
  <si>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</si>
  <si>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</si>
  <si>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</si>
  <si>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</si>
  <si>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</si>
  <si>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</si>
  <si>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</si>
  <si>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</si>
  <si>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</si>
  <si>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</si>
  <si>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</si>
  <si>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</si>
  <si>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</si>
  <si>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</si>
  <si>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</si>
  <si>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</si>
  <si>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</si>
  <si>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</si>
  <si>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</si>
  <si>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</si>
  <si>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</si>
  <si>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</si>
  <si>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</si>
  <si>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</si>
  <si>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</si>
  <si>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</si>
  <si>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</si>
  <si>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</si>
  <si>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</si>
  <si>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</si>
  <si>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</si>
  <si>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</si>
  <si>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</si>
  <si>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</si>
  <si>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</si>
  <si>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</si>
  <si>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</si>
  <si>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</si>
  <si>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</si>
  <si>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</si>
  <si>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</si>
  <si>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</si>
  <si>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</si>
  <si>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</si>
  <si>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</si>
  <si>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</si>
  <si>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</si>
  <si>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</si>
  <si>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</si>
  <si>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</si>
  <si>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</si>
  <si>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</si>
  <si>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</si>
  <si>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</si>
  <si>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</si>
  <si>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</si>
  <si>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</si>
  <si>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</si>
  <si>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</si>
  <si>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</si>
  <si>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</si>
  <si>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</si>
  <si>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</si>
  <si>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</si>
  <si>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</si>
  <si>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</si>
  <si>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</si>
  <si>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</si>
  <si>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</si>
  <si>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</si>
  <si>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</si>
  <si>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</si>
  <si>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</si>
  <si>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</si>
  <si>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</si>
  <si>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</si>
  <si>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</si>
  <si>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</si>
  <si>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</si>
  <si>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</si>
  <si>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</si>
  <si>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</si>
  <si>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</si>
  <si>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</si>
  <si>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</si>
  <si>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</si>
  <si>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</si>
  <si>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</si>
  <si>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</si>
  <si>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</si>
  <si>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</si>
  <si>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</si>
  <si>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</si>
  <si>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</si>
  <si>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</si>
  <si>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</si>
  <si>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</si>
  <si>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</si>
  <si>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</si>
  <si>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</si>
  <si>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</si>
  <si>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</si>
  <si>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Search, Services, Cloud, AI</t>
  </si>
  <si>
    <t>Hardware, Services</t>
  </si>
  <si>
    <t>Alphabet Inc.</t>
  </si>
  <si>
    <t>Employees</t>
  </si>
  <si>
    <t>$ZM</t>
  </si>
  <si>
    <t>Zoom Video Communications Inc.</t>
  </si>
  <si>
    <t>Communications</t>
  </si>
  <si>
    <t>Video Conferencing</t>
  </si>
  <si>
    <t>Meta Platforms, Inc.</t>
  </si>
  <si>
    <t>Social Media, AR,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</si>
</sst>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right"/>
    </xf>
    <xf numFmtId="0" fontId="1" fillId="9" borderId="0" xfId="0" applyFont="1" applyFill="1"/>
    <xf numFmtId="0" fontId="4" fillId="9" borderId="0" xfId="1" applyFont="1" applyFill="1"/>
    <xf numFmtId="0" fontId="1" fillId="9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4" fontId="1" fillId="9" borderId="0" xfId="0" applyNumberFormat="1" applyFont="1" applyFill="1"/>
    <xf numFmtId="3" fontId="1" fillId="9" borderId="0" xfId="0" applyNumberFormat="1" applyFont="1" applyFill="1"/>
    <xf numFmtId="16" fontId="1" fillId="9" borderId="0" xfId="0" applyNumberFormat="1" applyFont="1" applyFill="1" applyAlignment="1">
      <alignment horizontal="center"/>
    </xf>
    <xf numFmtId="4" fontId="7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1" fontId="1" fillId="9" borderId="0" xfId="0" applyNumberFormat="1" applyFont="1" applyFill="1" applyAlignment="1">
      <alignment horizontal="right"/>
    </xf>
    <xf numFmtId="9" fontId="1" fillId="9" borderId="0" xfId="0" applyNumberFormat="1" applyFont="1" applyFill="1" applyAlignment="1">
      <alignment horizontal="center"/>
    </xf>
    <xf numFmtId="3" fontId="1" fillId="9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9" fontId="7" fillId="9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ZM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578.16</v>
          </cell>
        </row>
        <row r="7">
          <cell r="C7">
            <v>2534</v>
          </cell>
        </row>
        <row r="8">
          <cell r="C8">
            <v>1465057.44</v>
          </cell>
        </row>
        <row r="11">
          <cell r="C11">
            <v>39691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31">
          <cell r="C31" t="str">
            <v>Q224</v>
          </cell>
          <cell r="D31">
            <v>45505</v>
          </cell>
        </row>
        <row r="35">
          <cell r="C35">
            <v>9.3456838667287556</v>
          </cell>
        </row>
        <row r="36">
          <cell r="C36">
            <v>9.7811344335843611</v>
          </cell>
        </row>
        <row r="38">
          <cell r="C38">
            <v>28.74079215928019</v>
          </cell>
        </row>
      </sheetData>
      <sheetData sheetId="1">
        <row r="18">
          <cell r="X18">
            <v>0.81295590079598679</v>
          </cell>
        </row>
        <row r="19">
          <cell r="X19">
            <v>0.38000051188861306</v>
          </cell>
        </row>
        <row r="20">
          <cell r="X20">
            <v>0.34462900872770086</v>
          </cell>
          <cell r="AU20">
            <v>7.0000000000000007E-2</v>
          </cell>
        </row>
        <row r="21">
          <cell r="X21">
            <v>0.10863233152389778</v>
          </cell>
        </row>
        <row r="24">
          <cell r="AU24">
            <v>702.62033627404003</v>
          </cell>
        </row>
        <row r="26">
          <cell r="AU26">
            <v>0.21526971128068362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68.569999999999993</v>
          </cell>
        </row>
        <row r="7">
          <cell r="C7">
            <v>293.836386</v>
          </cell>
        </row>
        <row r="8">
          <cell r="C8">
            <v>20148.360988019998</v>
          </cell>
        </row>
        <row r="11">
          <cell r="C11">
            <v>5412.6660000000002</v>
          </cell>
        </row>
        <row r="12">
          <cell r="C12">
            <v>14735.694988019997</v>
          </cell>
        </row>
        <row r="23">
          <cell r="C23" t="str">
            <v>San Jose, CA</v>
          </cell>
        </row>
        <row r="24">
          <cell r="C24">
            <v>2011</v>
          </cell>
        </row>
        <row r="25">
          <cell r="C25">
            <v>2019</v>
          </cell>
        </row>
        <row r="27">
          <cell r="C27">
            <v>8484</v>
          </cell>
        </row>
        <row r="29">
          <cell r="C29" t="str">
            <v>Q422</v>
          </cell>
          <cell r="D29">
            <v>37681</v>
          </cell>
        </row>
        <row r="34">
          <cell r="C34">
            <v>2.9780786109979251</v>
          </cell>
        </row>
        <row r="37">
          <cell r="C37">
            <v>178.2237520954381</v>
          </cell>
        </row>
      </sheetData>
      <sheetData sheetId="1">
        <row r="16">
          <cell r="AB16">
            <v>672.31600000000003</v>
          </cell>
          <cell r="AC16">
            <v>1375.6389999999994</v>
          </cell>
          <cell r="AD16">
            <v>103.7110000000001</v>
          </cell>
        </row>
        <row r="20">
          <cell r="AC20">
            <v>0.54632023921236117</v>
          </cell>
          <cell r="AD20">
            <v>7.1489200617386395E-2</v>
          </cell>
        </row>
        <row r="23">
          <cell r="AD23">
            <v>0.74949669471153846</v>
          </cell>
        </row>
        <row r="24">
          <cell r="AD24">
            <v>5.5868708114801886E-2</v>
          </cell>
        </row>
        <row r="25">
          <cell r="AD25">
            <v>2.3608455346736619E-2</v>
          </cell>
        </row>
        <row r="26">
          <cell r="AD26">
            <v>0.58395112245061676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293.95999999999998</v>
          </cell>
        </row>
        <row r="7">
          <cell r="C7">
            <v>70.177498999999997</v>
          </cell>
        </row>
        <row r="8">
          <cell r="C8">
            <v>20629.377606039998</v>
          </cell>
        </row>
        <row r="11">
          <cell r="C11">
            <v>762.70100000000002</v>
          </cell>
        </row>
        <row r="12">
          <cell r="C12">
            <v>19866.676606039997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FQ124</v>
          </cell>
          <cell r="D28">
            <v>45078</v>
          </cell>
        </row>
        <row r="33">
          <cell r="C33">
            <v>26.033092688480593</v>
          </cell>
        </row>
        <row r="34">
          <cell r="C34">
            <v>15.092387958530161</v>
          </cell>
        </row>
        <row r="35">
          <cell r="C35">
            <v>14.534398298920234</v>
          </cell>
        </row>
        <row r="37">
          <cell r="C37">
            <v>-61.630763474608322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172.72077919418848</v>
          </cell>
        </row>
        <row r="29">
          <cell r="AJ29">
            <v>0.72796486090775991</v>
          </cell>
          <cell r="AV29">
            <v>-0.4124344155865135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1.4</v>
          </cell>
        </row>
        <row r="7">
          <cell r="C7">
            <v>66.483192000000003</v>
          </cell>
        </row>
        <row r="8">
          <cell r="C8">
            <v>93.076468800000001</v>
          </cell>
        </row>
        <row r="11">
          <cell r="C11">
            <v>11.821999999999999</v>
          </cell>
        </row>
        <row r="12">
          <cell r="C12">
            <v>81.254468799999998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Q422</v>
          </cell>
          <cell r="D28">
            <v>41306</v>
          </cell>
        </row>
        <row r="34">
          <cell r="C34">
            <v>-3.0918082009604722</v>
          </cell>
        </row>
      </sheetData>
      <sheetData sheetId="1">
        <row r="25">
          <cell r="K25">
            <v>0.19672897196261663</v>
          </cell>
        </row>
        <row r="28">
          <cell r="K28">
            <v>0.73721202655212803</v>
          </cell>
        </row>
        <row r="29">
          <cell r="K29">
            <v>-0.99711050370948873</v>
          </cell>
        </row>
        <row r="30">
          <cell r="K30">
            <v>-1.0185083951581417</v>
          </cell>
        </row>
        <row r="31">
          <cell r="K31">
            <v>4.2754619025805463E-3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48.92</v>
          </cell>
        </row>
        <row r="7">
          <cell r="C7">
            <v>186.40334899999999</v>
          </cell>
        </row>
        <row r="8">
          <cell r="C8">
            <v>9118.8518330799998</v>
          </cell>
        </row>
        <row r="11">
          <cell r="C11">
            <v>2939.7060000000001</v>
          </cell>
        </row>
        <row r="12">
          <cell r="C12">
            <v>6179.1458330799996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6766</v>
          </cell>
        </row>
        <row r="28">
          <cell r="C28" t="str">
            <v>Q123</v>
          </cell>
          <cell r="D28">
            <v>39934</v>
          </cell>
        </row>
        <row r="33">
          <cell r="C33">
            <v>0.88370677873712089</v>
          </cell>
        </row>
        <row r="34">
          <cell r="C34">
            <v>2.3041822213698371</v>
          </cell>
        </row>
        <row r="35">
          <cell r="C35">
            <v>1.5613673993675841</v>
          </cell>
        </row>
        <row r="36">
          <cell r="C36">
            <v>-6.5483454041765832</v>
          </cell>
        </row>
        <row r="37">
          <cell r="C37">
            <v>-4.4885151734092084</v>
          </cell>
        </row>
      </sheetData>
      <sheetData sheetId="1">
        <row r="18">
          <cell r="Z18">
            <v>-121.94900000000001</v>
          </cell>
          <cell r="AA18">
            <v>-307.06299999999993</v>
          </cell>
          <cell r="AB18">
            <v>-490.97899999999981</v>
          </cell>
          <cell r="AC18">
            <v>-949.90000000000009</v>
          </cell>
          <cell r="AD18">
            <v>-1256.1449999999998</v>
          </cell>
        </row>
        <row r="22">
          <cell r="W22">
            <v>0.14988182045619913</v>
          </cell>
          <cell r="AA22">
            <v>0.74515549935622039</v>
          </cell>
          <cell r="AB22">
            <v>0.55295345483521796</v>
          </cell>
          <cell r="AC22">
            <v>0.613053532344634</v>
          </cell>
          <cell r="AD22">
            <v>0.34642426963666861</v>
          </cell>
        </row>
        <row r="25">
          <cell r="W25">
            <v>0.47005177868427206</v>
          </cell>
        </row>
        <row r="26">
          <cell r="W26">
            <v>-0.26236185677214768</v>
          </cell>
          <cell r="AQ26">
            <v>0.08</v>
          </cell>
        </row>
        <row r="27">
          <cell r="W27">
            <v>-0.33990784490603682</v>
          </cell>
        </row>
        <row r="28">
          <cell r="W28">
            <v>-0.01</v>
          </cell>
        </row>
        <row r="30">
          <cell r="AQ30">
            <v>51.131939751903637</v>
          </cell>
        </row>
        <row r="32">
          <cell r="AQ32">
            <v>4.5215448730654861E-2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8.6059999999999999</v>
          </cell>
        </row>
        <row r="7">
          <cell r="C7">
            <v>1018</v>
          </cell>
        </row>
        <row r="8">
          <cell r="C8">
            <v>8760.9079999999994</v>
          </cell>
        </row>
        <row r="11">
          <cell r="C11">
            <v>-685</v>
          </cell>
        </row>
        <row r="12">
          <cell r="C12">
            <v>9445.9079999999994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H123</v>
          </cell>
          <cell r="D27">
            <v>45063</v>
          </cell>
        </row>
        <row r="32">
          <cell r="C32">
            <v>43.413815659068383</v>
          </cell>
        </row>
        <row r="33">
          <cell r="C33">
            <v>4.1718609523809524</v>
          </cell>
        </row>
        <row r="34">
          <cell r="C34">
            <v>6.7081990811638583</v>
          </cell>
        </row>
        <row r="35">
          <cell r="C35">
            <v>4.4980514285714284</v>
          </cell>
        </row>
        <row r="36">
          <cell r="C36">
            <v>46.761920792079202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K17">
            <v>0.93008279668813243</v>
          </cell>
        </row>
        <row r="18">
          <cell r="K18">
            <v>0.14443422263109476</v>
          </cell>
          <cell r="AH18">
            <v>0.05</v>
          </cell>
        </row>
        <row r="19">
          <cell r="K19">
            <v>9.1996320147194111E-2</v>
          </cell>
        </row>
        <row r="20">
          <cell r="K20">
            <v>0.2805755395683453</v>
          </cell>
        </row>
        <row r="22">
          <cell r="K22">
            <v>0.16381156316916479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8.1283387836295784</v>
          </cell>
        </row>
        <row r="24">
          <cell r="AH24">
            <v>-5.5503278685849589E-2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37.33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23958.916619999996</v>
          </cell>
          <cell r="G8">
            <v>2004</v>
          </cell>
        </row>
        <row r="10">
          <cell r="G10">
            <v>2128</v>
          </cell>
        </row>
        <row r="11">
          <cell r="C11">
            <v>2595.5510000000004</v>
          </cell>
          <cell r="G11" t="str">
            <v>Q224</v>
          </cell>
          <cell r="H11">
            <v>39661</v>
          </cell>
        </row>
        <row r="12">
          <cell r="C12">
            <v>21363.365619999997</v>
          </cell>
        </row>
        <row r="16">
          <cell r="G16">
            <v>378.15331089378986</v>
          </cell>
        </row>
        <row r="17">
          <cell r="G17">
            <v>8.134820241543105</v>
          </cell>
        </row>
        <row r="18">
          <cell r="G18">
            <v>-20.045025987117658</v>
          </cell>
        </row>
        <row r="19">
          <cell r="G19">
            <v>7.2535474716745378</v>
          </cell>
        </row>
      </sheetData>
      <sheetData sheetId="1">
        <row r="18">
          <cell r="Y18">
            <v>-128.48232482799997</v>
          </cell>
          <cell r="Z18">
            <v>-292.89600599999994</v>
          </cell>
        </row>
        <row r="22">
          <cell r="O22">
            <v>0.76830336433994972</v>
          </cell>
          <cell r="AT22">
            <v>0.77</v>
          </cell>
        </row>
        <row r="23">
          <cell r="O23">
            <v>-0.44228222124563565</v>
          </cell>
        </row>
        <row r="24">
          <cell r="O24">
            <v>-0.41191801557655194</v>
          </cell>
        </row>
        <row r="25">
          <cell r="O25">
            <v>-2.7152817244081922E-3</v>
          </cell>
        </row>
        <row r="28">
          <cell r="O28">
            <v>0.22007543741412761</v>
          </cell>
          <cell r="Z28">
            <v>9.2268390154878199E-2</v>
          </cell>
          <cell r="AA28">
            <v>0.13184829111543861</v>
          </cell>
          <cell r="AT28">
            <v>0.14999999999999991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57.3</v>
          </cell>
        </row>
        <row r="7">
          <cell r="C7">
            <v>1276.884726</v>
          </cell>
        </row>
        <row r="8">
          <cell r="C8">
            <v>73165.494799799999</v>
          </cell>
        </row>
        <row r="11">
          <cell r="C11">
            <v>3949</v>
          </cell>
        </row>
        <row r="12">
          <cell r="C12">
            <v>69216.494799799999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Q123</v>
          </cell>
          <cell r="D28">
            <v>38108</v>
          </cell>
        </row>
        <row r="33">
          <cell r="C33">
            <v>8.6514715383469305</v>
          </cell>
        </row>
        <row r="34">
          <cell r="C34">
            <v>12.392023767288633</v>
          </cell>
        </row>
        <row r="35">
          <cell r="C35">
            <v>11.723182505558293</v>
          </cell>
        </row>
        <row r="36">
          <cell r="C36">
            <v>-37.814244475197256</v>
          </cell>
        </row>
        <row r="37">
          <cell r="C37">
            <v>-36.08766106527078</v>
          </cell>
        </row>
      </sheetData>
      <sheetData sheetId="1">
        <row r="20">
          <cell r="AC20">
            <v>2914.6589999999997</v>
          </cell>
          <cell r="AD20">
            <v>-3460.4179999999992</v>
          </cell>
        </row>
        <row r="24">
          <cell r="W24">
            <v>0.28000000000000003</v>
          </cell>
          <cell r="AC24">
            <v>0.57428577182862139</v>
          </cell>
          <cell r="AD24">
            <v>0.21423218764853047</v>
          </cell>
          <cell r="AQ24">
            <v>7.0000000000000007E-2</v>
          </cell>
        </row>
        <row r="28">
          <cell r="AQ28">
            <v>27.384105716043681</v>
          </cell>
        </row>
        <row r="29">
          <cell r="W29">
            <v>0.46</v>
          </cell>
        </row>
        <row r="30">
          <cell r="AQ30">
            <v>-0.522092395880564</v>
          </cell>
        </row>
        <row r="32">
          <cell r="W32">
            <v>-0.12798408488063662</v>
          </cell>
        </row>
        <row r="33">
          <cell r="W33">
            <v>4.5092838196286469E-2</v>
          </cell>
        </row>
        <row r="34">
          <cell r="W34">
            <v>0.10526315789473684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12" Type="http://schemas.openxmlformats.org/officeDocument/2006/relationships/hyperlink" Target="$META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hyperlink" Target="$ZM.xlsx" TargetMode="External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64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30.7109375" style="6" bestFit="1" customWidth="1"/>
    <col min="4" max="5" width="9.140625" style="5"/>
    <col min="6" max="7" width="9.140625" style="1"/>
    <col min="8" max="8" width="9.42578125" style="33" bestFit="1" customWidth="1"/>
    <col min="9" max="9" width="9.140625" style="33"/>
    <col min="10" max="10" width="9.42578125" style="33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4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53" t="s">
        <v>29</v>
      </c>
      <c r="G1" s="53"/>
      <c r="H1" s="53"/>
      <c r="I1" s="53"/>
      <c r="J1" s="53"/>
      <c r="W1" s="53" t="s">
        <v>105</v>
      </c>
      <c r="X1" s="53"/>
      <c r="Y1" s="53"/>
      <c r="Z1" s="53"/>
      <c r="AA1" s="53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8" t="s">
        <v>6</v>
      </c>
      <c r="I2" s="38" t="s">
        <v>7</v>
      </c>
      <c r="J2" s="38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5" t="s">
        <v>160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W3" s="23"/>
      <c r="X3" s="23"/>
      <c r="Y3" s="23"/>
      <c r="Z3" s="23"/>
      <c r="AA3" s="23"/>
      <c r="AU3" s="5"/>
    </row>
    <row r="4" spans="1:47" s="39" customFormat="1" x14ac:dyDescent="0.2">
      <c r="B4" s="40" t="s">
        <v>152</v>
      </c>
      <c r="C4" s="41" t="s">
        <v>165</v>
      </c>
      <c r="D4" s="42" t="s">
        <v>33</v>
      </c>
      <c r="E4" s="42" t="s">
        <v>17</v>
      </c>
      <c r="F4" s="43">
        <f>+[1]Main!C$6</f>
        <v>578.16</v>
      </c>
      <c r="G4" s="44">
        <f>+[1]Main!$C$7</f>
        <v>2534</v>
      </c>
      <c r="H4" s="44">
        <f>+[1]Main!$C$8</f>
        <v>1465057.44</v>
      </c>
      <c r="I4" s="44">
        <f>+[1]Main!$C$11</f>
        <v>39691</v>
      </c>
      <c r="J4" s="44">
        <f>+[1]Main!$C$8</f>
        <v>1465057.44</v>
      </c>
      <c r="K4" s="42" t="str">
        <f>+[1]Main!$C$31</f>
        <v>Q224</v>
      </c>
      <c r="L4" s="45">
        <f>+[1]Main!$D$31</f>
        <v>45505</v>
      </c>
      <c r="M4" s="46">
        <f>+'[1]Financial Model'!$AU$24</f>
        <v>702.62033627404003</v>
      </c>
      <c r="N4" s="54">
        <f>+'[1]Financial Model'!$AU$26</f>
        <v>0.21526971128068362</v>
      </c>
      <c r="O4" s="54">
        <f>+'[1]Financial Model'!$AU$20</f>
        <v>7.0000000000000007E-2</v>
      </c>
      <c r="P4" s="42"/>
      <c r="Q4" s="47">
        <f>+[1]Main!$C$35</f>
        <v>9.3456838667287556</v>
      </c>
      <c r="R4" s="47">
        <f>+[1]Main!$C$36</f>
        <v>9.7811344335843611</v>
      </c>
      <c r="S4" s="47"/>
      <c r="T4" s="47">
        <f>+[1]Main!$C$38</f>
        <v>28.74079215928019</v>
      </c>
      <c r="U4" s="47"/>
      <c r="V4" s="42"/>
      <c r="W4" s="48"/>
      <c r="X4" s="48"/>
      <c r="Y4" s="48"/>
      <c r="Z4" s="48"/>
      <c r="AA4" s="48"/>
      <c r="AC4" s="49">
        <f>+'[1]Financial Model'!$X$18</f>
        <v>0.81295590079598679</v>
      </c>
      <c r="AD4" s="49">
        <f>+'[1]Financial Model'!$X$19</f>
        <v>0.38000051188861306</v>
      </c>
      <c r="AE4" s="49">
        <f>+'[1]Financial Model'!$X$20</f>
        <v>0.34462900872770086</v>
      </c>
      <c r="AF4" s="49">
        <f>+'[1]Financial Model'!$X$21</f>
        <v>0.10863233152389778</v>
      </c>
      <c r="AH4" s="49"/>
      <c r="AI4" s="49"/>
      <c r="AJ4" s="49"/>
      <c r="AK4" s="49"/>
      <c r="AL4" s="49"/>
      <c r="AM4" s="49"/>
      <c r="AO4" s="50"/>
      <c r="AP4" s="42">
        <f>+[1]Main!$C$24</f>
        <v>2004</v>
      </c>
      <c r="AQ4" s="42">
        <f>+[1]Main!$C$25</f>
        <v>2012</v>
      </c>
      <c r="AR4" s="42" t="str">
        <f>+[1]Main!$C$23</f>
        <v>San Francisco, CA</v>
      </c>
      <c r="AT4" s="42" t="s">
        <v>116</v>
      </c>
      <c r="AU4" s="42" t="s">
        <v>166</v>
      </c>
    </row>
    <row r="5" spans="1:47" x14ac:dyDescent="0.2">
      <c r="F5" s="16"/>
      <c r="W5" s="23"/>
      <c r="X5" s="23"/>
      <c r="Y5" s="23"/>
      <c r="Z5" s="23"/>
      <c r="AA5" s="23"/>
      <c r="AU5" s="5"/>
    </row>
    <row r="6" spans="1:47" x14ac:dyDescent="0.2">
      <c r="B6" s="7" t="s">
        <v>32</v>
      </c>
      <c r="C6" s="6" t="s">
        <v>37</v>
      </c>
      <c r="D6" s="5" t="s">
        <v>33</v>
      </c>
      <c r="E6" s="5" t="s">
        <v>17</v>
      </c>
      <c r="F6" s="16">
        <f>[2]Main!$C$6*F63</f>
        <v>243.98679999999996</v>
      </c>
      <c r="G6" s="19">
        <f>[2]Main!$C$7</f>
        <v>70.177498999999997</v>
      </c>
      <c r="H6" s="33">
        <f>[2]Main!$C$8*F63</f>
        <v>17122.383413013198</v>
      </c>
      <c r="I6" s="33">
        <f>[2]Main!$C$11*F63</f>
        <v>633.04183</v>
      </c>
      <c r="J6" s="33">
        <f>[2]Main!$C$12*F63</f>
        <v>16489.341583013196</v>
      </c>
      <c r="K6" s="5" t="str">
        <f>[2]Main!$C$28</f>
        <v>FQ124</v>
      </c>
      <c r="L6" s="8">
        <f>[2]Main!$D$28</f>
        <v>45078</v>
      </c>
      <c r="M6" s="26">
        <f>'[2]Financial Model'!$AV$27*F63</f>
        <v>143.35824673117642</v>
      </c>
      <c r="N6" s="31">
        <f>'[2]Financial Model'!$AV$29</f>
        <v>-0.4124344155865135</v>
      </c>
      <c r="O6" s="31">
        <f>'[2]Financial Model'!$AV$23</f>
        <v>0.08</v>
      </c>
      <c r="P6" s="8"/>
      <c r="Q6" s="21">
        <f>[2]Main!$C$33</f>
        <v>26.033092688480593</v>
      </c>
      <c r="R6" s="21">
        <f>[2]Main!$C$34</f>
        <v>15.092387958530161</v>
      </c>
      <c r="S6" s="21">
        <f>[2]Main!$C$35</f>
        <v>14.534398298920234</v>
      </c>
      <c r="T6" s="21">
        <f>[2]Main!$C$33</f>
        <v>26.033092688480593</v>
      </c>
      <c r="U6" s="21">
        <f>[2]Main!$C$37</f>
        <v>-61.630763474608322</v>
      </c>
      <c r="V6" s="8"/>
      <c r="W6" s="23">
        <f>'[2]Financial Model'!$AJ$21*$F$63</f>
        <v>-286.68034000000011</v>
      </c>
      <c r="X6" s="23">
        <f>'[2]Financial Model'!$AI$21*F63</f>
        <v>-254.69877999999997</v>
      </c>
      <c r="Y6" s="23">
        <f>'[2]Financial Model'!$AH$15*F63</f>
        <v>-173.72231999999997</v>
      </c>
      <c r="Z6" s="23"/>
      <c r="AA6" s="23"/>
      <c r="AC6" s="18">
        <f>'[2]Financial Model'!$AJ$29</f>
        <v>0.72796486090775991</v>
      </c>
      <c r="AD6" s="18">
        <f>'[2]Financial Model'!$AJ$30</f>
        <v>-0.26997211924862163</v>
      </c>
      <c r="AE6" s="18">
        <f>'[2]Financial Model'!$AJ$31</f>
        <v>-0.26899317778262372</v>
      </c>
      <c r="AF6" s="18">
        <f>'[2]Financial Model'!$AJ$32</f>
        <v>-3.6440672880145464E-2</v>
      </c>
      <c r="AH6" s="18">
        <f>'[2]Financial Model'!$Z$26</f>
        <v>0.35579787912673444</v>
      </c>
      <c r="AI6" s="18">
        <f>'[2]Financial Model'!$AJ$26</f>
        <v>0.46951985735572488</v>
      </c>
      <c r="AJ6" s="18">
        <f>'[2]Financial Model'!$AI$26</f>
        <v>0.48003319895660423</v>
      </c>
      <c r="AO6" s="34">
        <f>[2]Main!$C$26</f>
        <v>3544</v>
      </c>
      <c r="AP6" s="5">
        <f>[2]Main!$C24</f>
        <v>2007</v>
      </c>
      <c r="AQ6" s="5">
        <f>[2]Main!$C$25</f>
        <v>2017</v>
      </c>
      <c r="AR6" s="5" t="str">
        <f>[2]Main!$C$23</f>
        <v>New York City, NY</v>
      </c>
      <c r="AT6" s="5" t="s">
        <v>47</v>
      </c>
      <c r="AU6" s="5" t="s">
        <v>39</v>
      </c>
    </row>
    <row r="7" spans="1:47" x14ac:dyDescent="0.2">
      <c r="B7" s="7" t="s">
        <v>80</v>
      </c>
      <c r="C7" s="6" t="s">
        <v>81</v>
      </c>
      <c r="D7" s="5" t="s">
        <v>30</v>
      </c>
      <c r="E7" s="5" t="s">
        <v>17</v>
      </c>
      <c r="F7" s="16">
        <f>[3]Main!$C$6*F63</f>
        <v>1.1619999999999999</v>
      </c>
      <c r="G7" s="17">
        <f>[3]Main!$C$7</f>
        <v>66.483192000000003</v>
      </c>
      <c r="H7" s="33">
        <f>[3]Main!$C$8*F63</f>
        <v>77.25346910399999</v>
      </c>
      <c r="I7" s="33">
        <f>[3]Main!$C$11*F63</f>
        <v>9.8122599999999984</v>
      </c>
      <c r="J7" s="33">
        <f>[3]Main!$C$12*F63</f>
        <v>67.441209103999995</v>
      </c>
      <c r="K7" s="5" t="str">
        <f>[3]Main!$C$28</f>
        <v>Q422</v>
      </c>
      <c r="L7" s="8">
        <f>[3]Main!$D$28</f>
        <v>41306</v>
      </c>
      <c r="N7" s="30"/>
      <c r="O7" s="30"/>
      <c r="P7" s="8"/>
      <c r="Q7" s="21">
        <f>[3]Main!$C$34</f>
        <v>-3.0918082009604722</v>
      </c>
      <c r="R7" s="21"/>
      <c r="S7" s="21"/>
      <c r="T7" s="21"/>
      <c r="U7" s="21"/>
      <c r="V7" s="8"/>
      <c r="W7" s="23"/>
      <c r="X7" s="23"/>
      <c r="Y7" s="23"/>
      <c r="Z7" s="23"/>
      <c r="AA7" s="23"/>
      <c r="AC7" s="18">
        <f>'[3]Financial Model'!$K$28</f>
        <v>0.73721202655212803</v>
      </c>
      <c r="AD7" s="18">
        <f>'[3]Financial Model'!$K$29</f>
        <v>-0.99711050370948873</v>
      </c>
      <c r="AE7" s="18">
        <f>'[3]Financial Model'!$K$30</f>
        <v>-1.0185083951581417</v>
      </c>
      <c r="AF7" s="18">
        <f>'[3]Financial Model'!$K$31</f>
        <v>4.2754619025805463E-3</v>
      </c>
      <c r="AH7" s="18">
        <f>'[3]Financial Model'!$K$25</f>
        <v>0.19672897196261663</v>
      </c>
      <c r="AP7" s="5">
        <f>[3]Main!$C$24</f>
        <v>2010</v>
      </c>
      <c r="AQ7" s="5">
        <f>[3]Main!$C$25</f>
        <v>2022</v>
      </c>
      <c r="AR7" s="5" t="str">
        <f>[3]Main!$C$23</f>
        <v>Redwood City, CA</v>
      </c>
      <c r="AT7" s="5" t="s">
        <v>47</v>
      </c>
      <c r="AU7" s="5" t="s">
        <v>39</v>
      </c>
    </row>
    <row r="8" spans="1:47" x14ac:dyDescent="0.2">
      <c r="F8" s="16"/>
      <c r="R8" s="21"/>
      <c r="S8" s="21"/>
      <c r="T8" s="21"/>
      <c r="U8" s="21"/>
      <c r="W8" s="23"/>
      <c r="X8" s="23"/>
      <c r="Y8" s="23"/>
      <c r="Z8" s="23"/>
      <c r="AA8" s="23"/>
      <c r="AU8" s="5"/>
    </row>
    <row r="9" spans="1:47" x14ac:dyDescent="0.2">
      <c r="B9" s="7" t="s">
        <v>14</v>
      </c>
      <c r="C9" s="6" t="s">
        <v>24</v>
      </c>
      <c r="D9" s="5" t="s">
        <v>30</v>
      </c>
      <c r="E9" s="5" t="s">
        <v>17</v>
      </c>
      <c r="F9" s="16">
        <f>[4]Main!$C$6*$F$63</f>
        <v>40.6036</v>
      </c>
      <c r="G9" s="17">
        <f>[4]Main!$C$7</f>
        <v>186.40334899999999</v>
      </c>
      <c r="H9" s="33">
        <f>[4]Main!$C$8*$F$63</f>
        <v>7568.6470214563997</v>
      </c>
      <c r="I9" s="33">
        <f>[4]Main!$C$11*F63</f>
        <v>2439.9559800000002</v>
      </c>
      <c r="J9" s="33">
        <f>[4]Main!$C$12*F63</f>
        <v>5128.691041456399</v>
      </c>
      <c r="K9" s="36" t="str">
        <f>[4]Main!$C$28</f>
        <v>Q123</v>
      </c>
      <c r="L9" s="37">
        <f>[4]Main!$D$28</f>
        <v>39934</v>
      </c>
      <c r="M9" s="26">
        <f>'[4]Financial Model'!$AQ$30*F63</f>
        <v>42.439509994080019</v>
      </c>
      <c r="N9" s="31">
        <f>'[4]Financial Model'!$AQ$32</f>
        <v>4.5215448730654861E-2</v>
      </c>
      <c r="O9" s="31">
        <f>'[4]Financial Model'!$AQ$26</f>
        <v>0.08</v>
      </c>
      <c r="P9" s="8"/>
      <c r="Q9" s="21">
        <f>[4]Main!$C$33</f>
        <v>0.88370677873712089</v>
      </c>
      <c r="R9" s="21">
        <f>[4]Main!$C$34</f>
        <v>2.3041822213698371</v>
      </c>
      <c r="S9" s="21">
        <f>[4]Main!$C$35</f>
        <v>1.5613673993675841</v>
      </c>
      <c r="T9" s="21">
        <f>[4]Main!$C$36</f>
        <v>-6.5483454041765832</v>
      </c>
      <c r="U9" s="21">
        <f>[4]Main!$C$37</f>
        <v>-4.4885151734092084</v>
      </c>
      <c r="V9" s="8"/>
      <c r="W9" s="24">
        <f>'[4]Financial Model'!$AD$18*F63</f>
        <v>-1042.6003499999997</v>
      </c>
      <c r="X9" s="23">
        <f>'[4]Financial Model'!$AC$18*$F$63</f>
        <v>-788.41700000000003</v>
      </c>
      <c r="Y9" s="23">
        <f>'[4]Financial Model'!$AB$18*$F$63</f>
        <v>-407.51256999999981</v>
      </c>
      <c r="Z9" s="23">
        <f>'[4]Financial Model'!$AA$18*$F$63</f>
        <v>-254.86228999999994</v>
      </c>
      <c r="AA9" s="23">
        <f>'[4]Financial Model'!$Z$18*F63</f>
        <v>-101.21767</v>
      </c>
      <c r="AC9" s="18">
        <f>'[4]Financial Model'!$W$25</f>
        <v>0.47005177868427206</v>
      </c>
      <c r="AD9" s="18">
        <f>'[4]Financial Model'!W$26</f>
        <v>-0.26236185677214768</v>
      </c>
      <c r="AE9" s="18">
        <f>'[4]Financial Model'!$W$27</f>
        <v>-0.33990784490603682</v>
      </c>
      <c r="AF9" s="18">
        <f>'[4]Financial Model'!$W$28</f>
        <v>-0.01</v>
      </c>
      <c r="AH9" s="18">
        <f>'[4]Financial Model'!$W$22</f>
        <v>0.14988182045619913</v>
      </c>
      <c r="AI9" s="18">
        <f>'[4]Financial Model'!$AD$22</f>
        <v>0.34642426963666861</v>
      </c>
      <c r="AJ9" s="18">
        <f>'[4]Financial Model'!$AC$22</f>
        <v>0.613053532344634</v>
      </c>
      <c r="AK9" s="18">
        <f>'[4]Financial Model'!$AB$22</f>
        <v>0.55295345483521796</v>
      </c>
      <c r="AL9" s="18">
        <f>'[4]Financial Model'!$AA$22</f>
        <v>0.74515549935622039</v>
      </c>
      <c r="AO9" s="34">
        <f>[4]Main!$C$26</f>
        <v>6766</v>
      </c>
      <c r="AP9" s="5">
        <f>[4]Main!$C$24</f>
        <v>2008</v>
      </c>
      <c r="AQ9" s="5">
        <f>[4]Main!$C$25</f>
        <v>2016</v>
      </c>
      <c r="AR9" s="5" t="str">
        <f>[4]Main!$C$23</f>
        <v>San Francisco, CA</v>
      </c>
      <c r="AT9" s="5" t="s">
        <v>47</v>
      </c>
      <c r="AU9" s="5" t="s">
        <v>43</v>
      </c>
    </row>
    <row r="10" spans="1:47" x14ac:dyDescent="0.2">
      <c r="B10" s="7"/>
      <c r="F10" s="16"/>
      <c r="G10" s="17"/>
      <c r="L10" s="8"/>
      <c r="N10" s="30"/>
      <c r="O10" s="30"/>
      <c r="P10" s="8"/>
      <c r="Q10" s="8"/>
      <c r="R10" s="21"/>
      <c r="S10" s="21"/>
      <c r="T10" s="21"/>
      <c r="U10" s="21"/>
      <c r="V10" s="8"/>
      <c r="W10" s="23"/>
      <c r="X10" s="23"/>
      <c r="Y10" s="23"/>
      <c r="Z10" s="23"/>
      <c r="AA10" s="23"/>
      <c r="AC10" s="18"/>
      <c r="AD10" s="18"/>
      <c r="AE10" s="18"/>
      <c r="AF10" s="18"/>
      <c r="AU10" s="5"/>
    </row>
    <row r="11" spans="1:47" x14ac:dyDescent="0.2">
      <c r="B11" s="1" t="s">
        <v>34</v>
      </c>
      <c r="C11" s="6" t="s">
        <v>35</v>
      </c>
      <c r="D11" s="5" t="s">
        <v>30</v>
      </c>
      <c r="E11" s="5" t="s">
        <v>17</v>
      </c>
      <c r="R11" s="21"/>
      <c r="S11" s="21"/>
      <c r="T11" s="21"/>
      <c r="U11" s="21"/>
      <c r="W11" s="23"/>
      <c r="X11" s="23"/>
      <c r="Y11" s="23"/>
      <c r="Z11" s="23"/>
      <c r="AA11" s="23"/>
      <c r="AT11" s="5" t="s">
        <v>15</v>
      </c>
      <c r="AU11" s="5" t="s">
        <v>44</v>
      </c>
    </row>
    <row r="12" spans="1:47" x14ac:dyDescent="0.2">
      <c r="B12" s="1" t="s">
        <v>41</v>
      </c>
      <c r="C12" s="6" t="s">
        <v>42</v>
      </c>
      <c r="D12" s="5" t="s">
        <v>30</v>
      </c>
      <c r="E12" s="5" t="s">
        <v>17</v>
      </c>
      <c r="W12" s="23"/>
      <c r="X12" s="23"/>
      <c r="Y12" s="23"/>
      <c r="Z12" s="23"/>
      <c r="AA12" s="23"/>
      <c r="AT12" s="5" t="s">
        <v>15</v>
      </c>
      <c r="AU12" s="5" t="s">
        <v>45</v>
      </c>
    </row>
    <row r="13" spans="1:47" x14ac:dyDescent="0.2">
      <c r="B13" s="7" t="s">
        <v>9</v>
      </c>
      <c r="C13" s="6" t="s">
        <v>36</v>
      </c>
      <c r="D13" s="5" t="s">
        <v>31</v>
      </c>
      <c r="E13" s="5" t="s">
        <v>16</v>
      </c>
      <c r="F13" s="16">
        <f>[5]Main!$C$6</f>
        <v>8.6059999999999999</v>
      </c>
      <c r="G13" s="17">
        <f>[5]Main!$C$7</f>
        <v>1018</v>
      </c>
      <c r="H13" s="33">
        <f>[5]Main!$C$8</f>
        <v>8760.9079999999994</v>
      </c>
      <c r="I13" s="33">
        <f>[5]Main!$C$11</f>
        <v>-685</v>
      </c>
      <c r="J13" s="33">
        <f>[5]Main!$C$12</f>
        <v>9445.9079999999994</v>
      </c>
      <c r="K13" s="5" t="str">
        <f>[5]Main!$C$27</f>
        <v>H123</v>
      </c>
      <c r="L13" s="20">
        <f>[5]Main!$D$27</f>
        <v>45063</v>
      </c>
      <c r="M13" s="26">
        <f>'[5]Financial Model'!$AH$22</f>
        <v>8.1283387836295784</v>
      </c>
      <c r="N13" s="31">
        <f>'[5]Financial Model'!$AH$24</f>
        <v>-5.5503278685849589E-2</v>
      </c>
      <c r="O13" s="31">
        <f>'[5]Financial Model'!$AH$18</f>
        <v>0.05</v>
      </c>
      <c r="P13" s="20"/>
      <c r="Q13" s="21">
        <f>[5]Main!$C$34</f>
        <v>6.7081990811638583</v>
      </c>
      <c r="R13" s="21">
        <f>[5]Main!$C$33</f>
        <v>4.1718609523809524</v>
      </c>
      <c r="S13" s="21">
        <f>[5]Main!$C$35</f>
        <v>4.4980514285714284</v>
      </c>
      <c r="T13" s="21">
        <f>[5]Main!$C$32</f>
        <v>43.413815659068383</v>
      </c>
      <c r="U13" s="21">
        <f>[5]Main!$C$36</f>
        <v>46.761920792079202</v>
      </c>
      <c r="V13" s="20"/>
      <c r="W13" s="23">
        <f>'[5]Financial Model'!$V$13</f>
        <v>254</v>
      </c>
      <c r="X13" s="23">
        <f>'[5]Financial Model'!$U$13</f>
        <v>285</v>
      </c>
      <c r="Y13" s="23">
        <f>'[5]Financial Model'!$T$13</f>
        <v>310</v>
      </c>
      <c r="Z13" s="23">
        <f>'[5]Financial Model'!$S$13</f>
        <v>266</v>
      </c>
      <c r="AA13" s="23">
        <f>'[5]Financial Model'!$R$13</f>
        <v>295</v>
      </c>
      <c r="AC13" s="18">
        <f>'[5]Financial Model'!$K$17</f>
        <v>0.93008279668813243</v>
      </c>
      <c r="AD13" s="18">
        <f>'[5]Financial Model'!$K$18</f>
        <v>0.14443422263109476</v>
      </c>
      <c r="AE13" s="18">
        <f>'[5]Financial Model'!$K$19</f>
        <v>9.1996320147194111E-2</v>
      </c>
      <c r="AF13" s="18">
        <f>'[5]Financial Model'!$K$20</f>
        <v>0.2805755395683453</v>
      </c>
      <c r="AH13" s="18">
        <f>'[5]Financial Model'!$K$22</f>
        <v>0.16381156316916479</v>
      </c>
      <c r="AI13" s="18">
        <f>'[5]Financial Model'!$V$22</f>
        <v>5.4712892741061836E-2</v>
      </c>
      <c r="AJ13" s="18">
        <f>'[5]Financial Model'!$U$22</f>
        <v>-2.9952706253284278E-2</v>
      </c>
      <c r="AK13" s="18">
        <f>'[5]Financial Model'!$T$22</f>
        <v>-1.7045454545454586E-2</v>
      </c>
      <c r="AL13" s="18">
        <f>'[5]Financial Model'!$S$22</f>
        <v>4.8754062838569867E-2</v>
      </c>
      <c r="AO13" s="34">
        <f>[5]Main!$C$26</f>
        <v>11228</v>
      </c>
      <c r="AP13" s="5">
        <f>[5]Main!$C$24</f>
        <v>1981</v>
      </c>
      <c r="AQ13" s="5">
        <f>[5]Main!$C$25</f>
        <v>1989</v>
      </c>
      <c r="AR13" s="5" t="str">
        <f>[5]Main!$C$23</f>
        <v>Newcastle, UK</v>
      </c>
      <c r="AT13" s="5" t="s">
        <v>15</v>
      </c>
      <c r="AU13" s="5" t="s">
        <v>46</v>
      </c>
    </row>
    <row r="14" spans="1:47" x14ac:dyDescent="0.2">
      <c r="B14" s="7"/>
      <c r="F14" s="16"/>
      <c r="W14" s="22"/>
      <c r="AU14" s="5"/>
    </row>
    <row r="15" spans="1:47" x14ac:dyDescent="0.2">
      <c r="B15" s="1" t="s">
        <v>76</v>
      </c>
      <c r="C15" s="6" t="s">
        <v>77</v>
      </c>
      <c r="D15" s="5" t="s">
        <v>33</v>
      </c>
      <c r="E15" s="5" t="s">
        <v>17</v>
      </c>
      <c r="W15" s="22"/>
      <c r="AP15" s="5">
        <v>2002</v>
      </c>
      <c r="AQ15" s="5">
        <v>2015</v>
      </c>
      <c r="AR15" s="5" t="str">
        <f>[4]Main!$C$23</f>
        <v>San Francisco, CA</v>
      </c>
      <c r="AT15" s="5" t="s">
        <v>78</v>
      </c>
      <c r="AU15" s="5" t="s">
        <v>79</v>
      </c>
    </row>
    <row r="16" spans="1:47" x14ac:dyDescent="0.2">
      <c r="W16" s="22"/>
    </row>
    <row r="17" spans="2:47" x14ac:dyDescent="0.2">
      <c r="B17" s="1" t="s">
        <v>48</v>
      </c>
      <c r="C17" s="6" t="s">
        <v>49</v>
      </c>
      <c r="D17" s="5" t="s">
        <v>30</v>
      </c>
      <c r="E17" s="5" t="s">
        <v>17</v>
      </c>
      <c r="W17" s="22"/>
      <c r="AT17" s="5" t="s">
        <v>50</v>
      </c>
      <c r="AU17" s="5" t="s">
        <v>51</v>
      </c>
    </row>
    <row r="18" spans="2:47" x14ac:dyDescent="0.2">
      <c r="B18" s="1" t="s">
        <v>63</v>
      </c>
      <c r="C18" s="6" t="s">
        <v>64</v>
      </c>
      <c r="D18" s="5" t="s">
        <v>33</v>
      </c>
      <c r="E18" s="5" t="s">
        <v>17</v>
      </c>
      <c r="W18" s="22"/>
      <c r="AT18" s="5" t="s">
        <v>50</v>
      </c>
      <c r="AU18" s="5" t="s">
        <v>65</v>
      </c>
    </row>
    <row r="19" spans="2:47" x14ac:dyDescent="0.2">
      <c r="W19" s="22"/>
    </row>
    <row r="20" spans="2:47" x14ac:dyDescent="0.2">
      <c r="W20" s="22"/>
    </row>
    <row r="21" spans="2:47" x14ac:dyDescent="0.2">
      <c r="B21" s="7" t="s">
        <v>57</v>
      </c>
      <c r="C21" s="6" t="s">
        <v>59</v>
      </c>
      <c r="D21" s="5" t="s">
        <v>30</v>
      </c>
      <c r="E21" s="5" t="s">
        <v>17</v>
      </c>
      <c r="F21" s="17">
        <f>[6]Main!$C$6*F63</f>
        <v>30.983899999999998</v>
      </c>
      <c r="G21" s="17">
        <f>[6]Main!$C$7</f>
        <v>641.81399999999996</v>
      </c>
      <c r="H21" s="33">
        <f>[6]Main!$C$8*F63</f>
        <v>19885.900794599995</v>
      </c>
      <c r="I21" s="33">
        <f>[6]Main!$C$11*F63</f>
        <v>2154.3073300000001</v>
      </c>
      <c r="J21" s="33">
        <f>[6]Main!$C$12*F63</f>
        <v>17731.593464599995</v>
      </c>
      <c r="K21" s="5" t="str">
        <f>[6]Main!$G$11</f>
        <v>Q224</v>
      </c>
      <c r="L21" s="8">
        <f>[6]Main!$H$11</f>
        <v>39661</v>
      </c>
      <c r="M21" s="26">
        <f>'[6]Financial Model'!$AT$26</f>
        <v>0</v>
      </c>
      <c r="N21" s="31">
        <f>'[6]Financial Model'!$AT$28</f>
        <v>0.14999999999999991</v>
      </c>
      <c r="O21" s="31">
        <f>'[6]Financial Model'!$AT$22</f>
        <v>0.77</v>
      </c>
      <c r="Q21" s="21">
        <f>[6]Main!$G$16</f>
        <v>378.15331089378986</v>
      </c>
      <c r="R21" s="21">
        <f>[6]Main!$G$17</f>
        <v>8.134820241543105</v>
      </c>
      <c r="S21" s="21">
        <f>[6]Main!$G$19</f>
        <v>7.2535474716745378</v>
      </c>
      <c r="T21" s="21">
        <f>[6]Main!$G$18</f>
        <v>-20.045025987117658</v>
      </c>
      <c r="W21" s="23">
        <f>'[6]Financial Model'!$AA$18*F63</f>
        <v>0</v>
      </c>
      <c r="X21" s="24">
        <f>'[6]Financial Model'!$Z$18*F63</f>
        <v>-243.10368497999994</v>
      </c>
      <c r="Y21" s="24">
        <f>'[6]Financial Model'!$Y$18*F63</f>
        <v>-106.64032960723998</v>
      </c>
      <c r="Z21" s="22" t="s">
        <v>139</v>
      </c>
      <c r="AA21" s="22" t="s">
        <v>139</v>
      </c>
      <c r="AC21" s="18">
        <f>'[6]Financial Model'!$O$22</f>
        <v>0.76830336433994972</v>
      </c>
      <c r="AD21" s="18">
        <f>'[6]Financial Model'!$O$23</f>
        <v>-0.44228222124563565</v>
      </c>
      <c r="AE21" s="18">
        <f>'[6]Financial Model'!$O$24</f>
        <v>-0.41191801557655194</v>
      </c>
      <c r="AF21" s="18">
        <f>'[6]Financial Model'!$O$25</f>
        <v>-2.7152817244081922E-3</v>
      </c>
      <c r="AH21" s="18">
        <f>'[6]Financial Model'!$O$28</f>
        <v>0.22007543741412761</v>
      </c>
      <c r="AI21" s="18">
        <f>'[6]Financial Model'!$AA$28</f>
        <v>0.13184829111543861</v>
      </c>
      <c r="AJ21" s="18">
        <f>'[6]Financial Model'!$Z$28</f>
        <v>9.2268390154878199E-2</v>
      </c>
      <c r="AK21" s="18" t="s">
        <v>139</v>
      </c>
      <c r="AL21" s="18" t="s">
        <v>139</v>
      </c>
      <c r="AM21" s="18" t="s">
        <v>139</v>
      </c>
      <c r="AO21" s="34">
        <f>[6]Main!$G$10</f>
        <v>2128</v>
      </c>
      <c r="AP21" s="5">
        <f>[6]Main!$G$8</f>
        <v>2004</v>
      </c>
      <c r="AQ21" s="5">
        <f>[6]Main!$G$7</f>
        <v>2021</v>
      </c>
      <c r="AR21" s="5" t="str">
        <f>[6]Main!$G$6</f>
        <v>San Mateo, CA</v>
      </c>
      <c r="AT21" s="5" t="s">
        <v>60</v>
      </c>
      <c r="AU21" s="5" t="s">
        <v>62</v>
      </c>
    </row>
    <row r="22" spans="2:47" x14ac:dyDescent="0.2">
      <c r="B22" s="7" t="s">
        <v>56</v>
      </c>
      <c r="C22" s="6" t="s">
        <v>58</v>
      </c>
      <c r="D22" s="5" t="s">
        <v>30</v>
      </c>
      <c r="E22" s="5" t="s">
        <v>17</v>
      </c>
      <c r="F22" s="17">
        <f>[7]Main!$C$6*F63</f>
        <v>27.7469</v>
      </c>
      <c r="G22" s="17">
        <f>[7]Main!$C$7</f>
        <v>296.01300300000003</v>
      </c>
      <c r="H22" s="33">
        <f>[7]Main!$C$8*F63</f>
        <v>8213.4431929407001</v>
      </c>
      <c r="I22" s="33">
        <f>[7]Main!$C$11*F63</f>
        <v>-436.42229999999995</v>
      </c>
      <c r="J22" s="33">
        <f>[7]Main!$C$12*F63</f>
        <v>8649.8654929407003</v>
      </c>
      <c r="K22" s="25" t="str">
        <f>[7]Main!$C$26</f>
        <v>Q122</v>
      </c>
      <c r="L22" s="25">
        <f>[7]Main!$D$26</f>
        <v>0</v>
      </c>
      <c r="W22" s="22"/>
      <c r="AT22" s="5" t="s">
        <v>60</v>
      </c>
      <c r="AU22" s="5" t="s">
        <v>61</v>
      </c>
    </row>
    <row r="23" spans="2:47" x14ac:dyDescent="0.2">
      <c r="W23" s="22"/>
    </row>
    <row r="24" spans="2:47" x14ac:dyDescent="0.2">
      <c r="B24" s="7" t="s">
        <v>87</v>
      </c>
      <c r="C24" s="6" t="s">
        <v>88</v>
      </c>
      <c r="D24" s="5" t="s">
        <v>30</v>
      </c>
      <c r="E24" s="5" t="s">
        <v>17</v>
      </c>
      <c r="F24" s="16">
        <f>[8]Main!$C$6*$F$63</f>
        <v>47.558999999999997</v>
      </c>
      <c r="G24" s="17">
        <f>[8]Main!$C$7</f>
        <v>1276.884726</v>
      </c>
      <c r="H24" s="33">
        <f>[8]Main!$C$8*F63</f>
        <v>60727.360683833998</v>
      </c>
      <c r="I24" s="33">
        <f>[8]Main!$C$11*F63</f>
        <v>3277.6699999999996</v>
      </c>
      <c r="J24" s="33">
        <f>[8]Main!$C$12*F63</f>
        <v>57449.690683833993</v>
      </c>
      <c r="K24" s="36" t="str">
        <f>[8]Main!$C$28</f>
        <v>Q123</v>
      </c>
      <c r="L24" s="37">
        <f>[8]Main!$D$28</f>
        <v>38108</v>
      </c>
      <c r="M24" s="26">
        <f>'[8]Financial Model'!$AQ$28</f>
        <v>27.384105716043681</v>
      </c>
      <c r="N24" s="31">
        <f>'[8]Financial Model'!$AQ$30</f>
        <v>-0.522092395880564</v>
      </c>
      <c r="O24" s="31">
        <f>'[8]Financial Model'!$AQ$24</f>
        <v>7.0000000000000007E-2</v>
      </c>
      <c r="Q24" s="21">
        <f>[8]Main!$C$33</f>
        <v>8.6514715383469305</v>
      </c>
      <c r="R24" s="21">
        <f>[8]Main!$C$34</f>
        <v>12.392023767288633</v>
      </c>
      <c r="S24" s="21">
        <f>[8]Main!$C$35</f>
        <v>11.723182505558293</v>
      </c>
      <c r="T24" s="21">
        <f>[8]Main!$C$36</f>
        <v>-37.814244475197256</v>
      </c>
      <c r="U24" s="21">
        <f>[8]Main!$C$37</f>
        <v>-36.08766106527078</v>
      </c>
      <c r="W24" s="24">
        <f>'[8]Financial Model'!$AD$20*F63</f>
        <v>-2872.1469399999992</v>
      </c>
      <c r="X24" s="24">
        <f>'[8]Financial Model'!$AC$20*F63</f>
        <v>2419.1669699999998</v>
      </c>
      <c r="AC24" s="18">
        <f>'[8]Financial Model'!$W$29</f>
        <v>0.46</v>
      </c>
      <c r="AD24" s="18">
        <f>'[8]Financial Model'!$W$32</f>
        <v>-0.12798408488063662</v>
      </c>
      <c r="AE24" s="18">
        <f>'[8]Financial Model'!$W$33</f>
        <v>4.5092838196286469E-2</v>
      </c>
      <c r="AF24" s="18">
        <f>'[8]Financial Model'!$W$34</f>
        <v>0.10526315789473684</v>
      </c>
      <c r="AH24" s="18">
        <f>'[8]Financial Model'!$W$24</f>
        <v>0.28000000000000003</v>
      </c>
      <c r="AI24" s="18">
        <f>'[8]Financial Model'!$AD$24</f>
        <v>0.21423218764853047</v>
      </c>
      <c r="AJ24" s="18">
        <f>'[8]Financial Model'!$AC$24</f>
        <v>0.57428577182862139</v>
      </c>
      <c r="AO24" s="34">
        <f>[8]Main!$C$26</f>
        <v>11600</v>
      </c>
      <c r="AP24" s="5">
        <f>[8]Main!$C$24</f>
        <v>2004</v>
      </c>
      <c r="AQ24" s="5">
        <f>[8]Main!$C$25</f>
        <v>2015</v>
      </c>
      <c r="AR24" s="5" t="str">
        <f>[8]Main!$C$23</f>
        <v>Ottowa, Canada</v>
      </c>
      <c r="AT24" s="5" t="s">
        <v>84</v>
      </c>
      <c r="AU24" s="5" t="s">
        <v>142</v>
      </c>
    </row>
    <row r="25" spans="2:47" x14ac:dyDescent="0.2">
      <c r="B25" s="7" t="s">
        <v>82</v>
      </c>
      <c r="C25" s="6" t="s">
        <v>85</v>
      </c>
      <c r="D25" s="5" t="s">
        <v>33</v>
      </c>
      <c r="E25" s="5" t="s">
        <v>17</v>
      </c>
      <c r="F25" s="16">
        <f>[9]Main!$C$6*F63</f>
        <v>37.640499999999996</v>
      </c>
      <c r="G25" s="19">
        <f>[9]Main!$C$7</f>
        <v>541</v>
      </c>
      <c r="H25" s="33">
        <f>[9]Main!$C$8*F63</f>
        <v>20363.5105</v>
      </c>
      <c r="I25" s="33">
        <f>[9]Main!$C$11*F63</f>
        <v>-3396.3599999999997</v>
      </c>
      <c r="J25" s="33">
        <f>[9]Main!$C$12*F63</f>
        <v>23759.870500000001</v>
      </c>
      <c r="K25" s="5" t="str">
        <f>[9]Main!$C$28</f>
        <v>Q422</v>
      </c>
      <c r="L25" s="8">
        <f>[9]Main!$D$28</f>
        <v>44593</v>
      </c>
      <c r="M25" s="26">
        <f>'[9]Financial Model'!$AW$29*$F$63</f>
        <v>44.140737621104712</v>
      </c>
      <c r="N25" s="31">
        <f>'[9]Financial Model'!$AW$31</f>
        <v>0.17269264810788143</v>
      </c>
      <c r="O25" s="31">
        <f>'[9]Financial Model'!$AW$25</f>
        <v>0.09</v>
      </c>
      <c r="P25" s="8"/>
      <c r="Q25" s="21">
        <f>[9]Main!$C$33</f>
        <v>5.071005480208119</v>
      </c>
      <c r="R25" s="21">
        <f>[9]Main!$C$34</f>
        <v>2.4787179228126894</v>
      </c>
      <c r="S25" s="21">
        <f>[9]Main!$C$35</f>
        <v>2.8921347747019603</v>
      </c>
      <c r="T25" s="21">
        <f>[9]Main!$C$36</f>
        <v>-385.92410461281213</v>
      </c>
      <c r="U25" s="21">
        <f>[9]Main!$C$37</f>
        <v>1022.3696428571429</v>
      </c>
      <c r="V25" s="8"/>
      <c r="W25" s="24">
        <f>'[9]Financial Model'!$AJ$20*F63</f>
        <v>-1053.0625</v>
      </c>
      <c r="X25" s="24">
        <f>'[9]Financial Model'!$AE$20*F63</f>
        <v>-1118.01</v>
      </c>
      <c r="Y25" s="24">
        <f>'[9]Financial Model'!$AD$20*F63</f>
        <v>6030.78</v>
      </c>
      <c r="Z25" s="24">
        <f>'[9]Financial Model'!$AC$20*F63</f>
        <v>1431.75</v>
      </c>
      <c r="AA25" s="24">
        <f>'[9]Financial Model'!$AC$20*G63</f>
        <v>2078.3132530120483</v>
      </c>
      <c r="AC25" s="18">
        <f>'[9]Financial Model'!$Z$27</f>
        <v>0.72868525896414338</v>
      </c>
      <c r="AD25" s="18">
        <f>'[9]Financial Model'!$Z$28</f>
        <v>0.22519920318725101</v>
      </c>
      <c r="AE25" s="18">
        <f>'[9]Financial Model'!$Z$29</f>
        <v>0.26782868525896414</v>
      </c>
      <c r="AF25" s="18">
        <f>'[9]Financial Model'!$Z$30</f>
        <v>0.19053361471208924</v>
      </c>
      <c r="AH25" s="18">
        <f>'[9]Financial Model'!$Z$24</f>
        <v>-3.9418293149636408E-2</v>
      </c>
      <c r="AI25" s="18">
        <f>'[9]Financial Model'!$AJ$24</f>
        <v>-5.9980806142034604E-2</v>
      </c>
      <c r="AJ25" s="18">
        <f>'[9]Financial Model'!$AI$24</f>
        <v>-2.7349948660505885E-2</v>
      </c>
      <c r="AK25" s="18">
        <f>'[9]Financial Model'!$AH$24</f>
        <v>0.17018022938285093</v>
      </c>
      <c r="AL25" s="18">
        <f>'[9]Financial Model'!$AG$24</f>
        <v>-0.14805509026614549</v>
      </c>
      <c r="AM25" s="18">
        <f>'[9]Financial Model'!$AF$24</f>
        <v>8.2502266545784186E-2</v>
      </c>
      <c r="AO25" s="34">
        <f>[9]Main!$C$26</f>
        <v>11600</v>
      </c>
      <c r="AP25" s="5">
        <f>[9]Main!$C$24</f>
        <v>1995</v>
      </c>
      <c r="AQ25" s="5">
        <f>[9]Main!$C$25</f>
        <v>1998</v>
      </c>
      <c r="AR25" s="5" t="str">
        <f>[9]Main!$C$23</f>
        <v>San Jose, CA</v>
      </c>
      <c r="AT25" s="5" t="s">
        <v>84</v>
      </c>
      <c r="AU25" s="5" t="s">
        <v>86</v>
      </c>
    </row>
    <row r="26" spans="2:47" x14ac:dyDescent="0.2">
      <c r="B26" s="1" t="s">
        <v>83</v>
      </c>
      <c r="C26" s="6" t="s">
        <v>138</v>
      </c>
      <c r="D26" s="5" t="s">
        <v>33</v>
      </c>
      <c r="E26" s="5" t="s">
        <v>17</v>
      </c>
      <c r="W26" s="22"/>
      <c r="AT26" s="5" t="s">
        <v>84</v>
      </c>
      <c r="AU26" s="5" t="s">
        <v>118</v>
      </c>
    </row>
    <row r="27" spans="2:47" x14ac:dyDescent="0.2">
      <c r="B27" s="1" t="s">
        <v>89</v>
      </c>
      <c r="C27" s="6" t="s">
        <v>90</v>
      </c>
      <c r="D27" s="5" t="s">
        <v>33</v>
      </c>
      <c r="E27" s="5" t="s">
        <v>17</v>
      </c>
      <c r="W27" s="22"/>
      <c r="AT27" s="5" t="s">
        <v>84</v>
      </c>
      <c r="AU27" s="5"/>
    </row>
    <row r="28" spans="2:47" x14ac:dyDescent="0.2">
      <c r="B28" s="1" t="s">
        <v>91</v>
      </c>
      <c r="C28" s="6" t="s">
        <v>92</v>
      </c>
      <c r="D28" s="5" t="s">
        <v>30</v>
      </c>
      <c r="W28" s="22"/>
      <c r="AT28" s="5" t="s">
        <v>84</v>
      </c>
      <c r="AU28" s="5"/>
    </row>
    <row r="29" spans="2:47" x14ac:dyDescent="0.2">
      <c r="B29" s="1" t="s">
        <v>93</v>
      </c>
      <c r="C29" s="6" t="s">
        <v>94</v>
      </c>
      <c r="D29" s="5" t="s">
        <v>33</v>
      </c>
      <c r="W29" s="22"/>
      <c r="AU29" s="5"/>
    </row>
    <row r="30" spans="2:47" x14ac:dyDescent="0.2">
      <c r="W30" s="22"/>
    </row>
    <row r="31" spans="2:47" x14ac:dyDescent="0.2">
      <c r="W31" s="22"/>
    </row>
    <row r="32" spans="2:47" x14ac:dyDescent="0.2">
      <c r="B32" s="1" t="s">
        <v>66</v>
      </c>
      <c r="C32" s="6" t="s">
        <v>67</v>
      </c>
      <c r="D32" s="5" t="s">
        <v>31</v>
      </c>
      <c r="E32" s="5" t="s">
        <v>16</v>
      </c>
      <c r="W32" s="22"/>
      <c r="AT32" s="5" t="s">
        <v>70</v>
      </c>
    </row>
    <row r="33" spans="2:47" x14ac:dyDescent="0.2">
      <c r="B33" s="1" t="s">
        <v>68</v>
      </c>
      <c r="C33" s="6" t="s">
        <v>69</v>
      </c>
      <c r="D33" s="5" t="s">
        <v>33</v>
      </c>
      <c r="E33" s="5" t="s">
        <v>17</v>
      </c>
      <c r="W33" s="22"/>
      <c r="AT33" s="5" t="s">
        <v>70</v>
      </c>
    </row>
    <row r="34" spans="2:47" x14ac:dyDescent="0.2">
      <c r="W34" s="22"/>
    </row>
    <row r="35" spans="2:47" x14ac:dyDescent="0.2">
      <c r="W35" s="22"/>
    </row>
    <row r="36" spans="2:47" x14ac:dyDescent="0.2">
      <c r="B36" s="1" t="s">
        <v>106</v>
      </c>
      <c r="C36" s="6" t="s">
        <v>107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B37" s="1" t="s">
        <v>108</v>
      </c>
      <c r="C37" s="6" t="s">
        <v>109</v>
      </c>
      <c r="D37" s="5" t="s">
        <v>31</v>
      </c>
      <c r="E37" s="5" t="s">
        <v>16</v>
      </c>
      <c r="U37" s="5" t="s">
        <v>119</v>
      </c>
      <c r="W37" s="22"/>
      <c r="AT37" s="5" t="s">
        <v>84</v>
      </c>
      <c r="AU37" s="5" t="s">
        <v>112</v>
      </c>
    </row>
    <row r="38" spans="2:47" x14ac:dyDescent="0.2">
      <c r="B38" s="1" t="s">
        <v>110</v>
      </c>
      <c r="C38" s="6" t="s">
        <v>111</v>
      </c>
      <c r="D38" s="5" t="s">
        <v>30</v>
      </c>
      <c r="W38" s="22"/>
      <c r="AT38" s="5" t="s">
        <v>84</v>
      </c>
      <c r="AU38" s="5" t="s">
        <v>112</v>
      </c>
    </row>
    <row r="39" spans="2:47" x14ac:dyDescent="0.2">
      <c r="W39" s="22"/>
    </row>
    <row r="40" spans="2:47" x14ac:dyDescent="0.2">
      <c r="W40" s="22"/>
    </row>
    <row r="41" spans="2:47" x14ac:dyDescent="0.2">
      <c r="B41" s="1" t="s">
        <v>113</v>
      </c>
      <c r="C41" s="6" t="s">
        <v>114</v>
      </c>
      <c r="D41" s="5" t="s">
        <v>31</v>
      </c>
      <c r="E41" s="5" t="s">
        <v>16</v>
      </c>
      <c r="F41" s="1">
        <v>1.1599999999999999</v>
      </c>
      <c r="G41" s="19">
        <v>416.24</v>
      </c>
      <c r="H41" s="33">
        <f>G41*F41</f>
        <v>482.83839999999998</v>
      </c>
      <c r="W41" s="22"/>
      <c r="AP41" s="5">
        <v>2007</v>
      </c>
      <c r="AQ41" s="5">
        <v>2021</v>
      </c>
      <c r="AR41" s="5" t="s">
        <v>117</v>
      </c>
      <c r="AT41" s="5" t="s">
        <v>116</v>
      </c>
      <c r="AU41" s="5" t="s">
        <v>115</v>
      </c>
    </row>
    <row r="42" spans="2:47" x14ac:dyDescent="0.2">
      <c r="G42" s="19"/>
      <c r="W42" s="22"/>
      <c r="AU42" s="5"/>
    </row>
    <row r="43" spans="2:47" x14ac:dyDescent="0.2">
      <c r="G43" s="19"/>
      <c r="W43" s="22"/>
      <c r="AU43" s="5"/>
    </row>
    <row r="44" spans="2:47" x14ac:dyDescent="0.2">
      <c r="B44" s="1" t="s">
        <v>121</v>
      </c>
      <c r="C44" s="6" t="s">
        <v>123</v>
      </c>
      <c r="D44" s="5" t="s">
        <v>33</v>
      </c>
      <c r="E44" s="5" t="s">
        <v>17</v>
      </c>
      <c r="F44" s="16">
        <f>332.82*F63</f>
        <v>276.24059999999997</v>
      </c>
      <c r="G44" s="19">
        <v>445.02</v>
      </c>
      <c r="H44" s="33">
        <f>G44*F44</f>
        <v>122932.59181199998</v>
      </c>
      <c r="W44" s="22"/>
      <c r="AT44" s="5" t="s">
        <v>126</v>
      </c>
      <c r="AU44" s="5" t="s">
        <v>124</v>
      </c>
    </row>
    <row r="45" spans="2:47" x14ac:dyDescent="0.2">
      <c r="B45" s="1" t="s">
        <v>120</v>
      </c>
      <c r="C45" s="6" t="s">
        <v>122</v>
      </c>
      <c r="D45" s="5" t="s">
        <v>30</v>
      </c>
      <c r="E45" s="5" t="s">
        <v>17</v>
      </c>
      <c r="F45" s="16">
        <f>92.06*F63</f>
        <v>76.409800000000004</v>
      </c>
      <c r="G45" s="19">
        <v>193.13</v>
      </c>
      <c r="H45" s="33">
        <f>G45*F45</f>
        <v>14757.024674</v>
      </c>
      <c r="W45" s="22"/>
      <c r="AT45" s="5" t="s">
        <v>126</v>
      </c>
      <c r="AU45" s="5" t="s">
        <v>125</v>
      </c>
    </row>
    <row r="46" spans="2:47" x14ac:dyDescent="0.2">
      <c r="B46" s="1" t="s">
        <v>133</v>
      </c>
      <c r="C46" s="6" t="s">
        <v>134</v>
      </c>
      <c r="D46" s="5" t="s">
        <v>135</v>
      </c>
      <c r="E46" s="5" t="s">
        <v>16</v>
      </c>
      <c r="F46" s="16">
        <v>3.9950000000000001</v>
      </c>
      <c r="G46" s="19">
        <v>16.3</v>
      </c>
      <c r="H46" s="33">
        <f>G46*F46</f>
        <v>65.118500000000012</v>
      </c>
      <c r="W46" s="22"/>
      <c r="AT46" s="5" t="s">
        <v>136</v>
      </c>
      <c r="AU46" s="5" t="s">
        <v>137</v>
      </c>
    </row>
    <row r="47" spans="2:47" x14ac:dyDescent="0.2">
      <c r="G47" s="19"/>
      <c r="W47" s="22"/>
      <c r="AU47" s="5"/>
    </row>
    <row r="48" spans="2:47" x14ac:dyDescent="0.2">
      <c r="B48" s="7" t="s">
        <v>161</v>
      </c>
      <c r="C48" s="6" t="s">
        <v>162</v>
      </c>
      <c r="D48" s="5" t="s">
        <v>33</v>
      </c>
      <c r="E48" s="5" t="s">
        <v>17</v>
      </c>
      <c r="F48" s="16">
        <f>[10]Main!$C$6*F63</f>
        <v>56.913099999999993</v>
      </c>
      <c r="G48" s="19">
        <f>[10]Main!$C$7</f>
        <v>293.836386</v>
      </c>
      <c r="H48" s="33">
        <f>[10]Main!$C$8*F63</f>
        <v>16723.139620056598</v>
      </c>
      <c r="I48" s="33">
        <f>[10]Main!$C$11*F63</f>
        <v>4492.51278</v>
      </c>
      <c r="J48" s="33">
        <f>[10]Main!$C$12*F63</f>
        <v>12230.626840056597</v>
      </c>
      <c r="K48" s="8" t="str">
        <f>[10]Main!$C$29</f>
        <v>Q422</v>
      </c>
      <c r="L48" s="8">
        <f>[10]Main!$D$29</f>
        <v>37681</v>
      </c>
      <c r="Q48" s="21">
        <f>[10]Main!$C$34</f>
        <v>2.9780786109979251</v>
      </c>
      <c r="T48" s="21">
        <f>[10]Main!$C$37</f>
        <v>178.2237520954381</v>
      </c>
      <c r="W48" s="24">
        <f>'[10]Financial Model'!$AD$16*F63</f>
        <v>86.080130000000082</v>
      </c>
      <c r="X48" s="24">
        <f>'[10]Financial Model'!$AC$16*F63</f>
        <v>1141.7803699999995</v>
      </c>
      <c r="Y48" s="24">
        <f>'[10]Financial Model'!$AB$16*F63</f>
        <v>558.02228000000002</v>
      </c>
      <c r="AC48" s="18">
        <f>'[10]Financial Model'!$AD$23</f>
        <v>0.74949669471153846</v>
      </c>
      <c r="AD48" s="18">
        <f>'[10]Financial Model'!$AD$24</f>
        <v>5.5868708114801886E-2</v>
      </c>
      <c r="AE48" s="18">
        <f>'[10]Financial Model'!$AD$25</f>
        <v>2.3608455346736619E-2</v>
      </c>
      <c r="AF48" s="18">
        <f>'[10]Financial Model'!$AD$26</f>
        <v>0.58395112245061676</v>
      </c>
      <c r="AI48" s="18">
        <f>'[10]Financial Model'!$AD$20</f>
        <v>7.1489200617386395E-2</v>
      </c>
      <c r="AJ48" s="18">
        <f>'[10]Financial Model'!$AC$20</f>
        <v>0.54632023921236117</v>
      </c>
      <c r="AO48" s="34">
        <f>[10]Main!$C$27</f>
        <v>8484</v>
      </c>
      <c r="AP48" s="5">
        <f>[10]Main!$C$24</f>
        <v>2011</v>
      </c>
      <c r="AQ48" s="5">
        <f>[10]Main!$C$25</f>
        <v>2019</v>
      </c>
      <c r="AR48" s="5" t="str">
        <f>[10]Main!$C$23</f>
        <v>San Jose, CA</v>
      </c>
      <c r="AT48" s="5" t="s">
        <v>163</v>
      </c>
      <c r="AU48" s="5" t="s">
        <v>164</v>
      </c>
    </row>
    <row r="49" spans="2:47" x14ac:dyDescent="0.2">
      <c r="G49" s="19"/>
      <c r="W49" s="22"/>
      <c r="AU49" s="5"/>
    </row>
    <row r="50" spans="2:47" x14ac:dyDescent="0.2">
      <c r="B50" s="1" t="s">
        <v>130</v>
      </c>
      <c r="C50" s="6" t="s">
        <v>128</v>
      </c>
      <c r="D50" s="5" t="s">
        <v>135</v>
      </c>
      <c r="G50" s="19"/>
      <c r="W50" s="22"/>
      <c r="AU50" s="5"/>
    </row>
    <row r="51" spans="2:47" x14ac:dyDescent="0.2">
      <c r="B51" s="1" t="s">
        <v>131</v>
      </c>
      <c r="C51" s="6" t="s">
        <v>127</v>
      </c>
      <c r="D51" s="5" t="s">
        <v>31</v>
      </c>
      <c r="G51" s="19"/>
      <c r="W51" s="22"/>
      <c r="AU51" s="5"/>
    </row>
    <row r="52" spans="2:47" x14ac:dyDescent="0.2">
      <c r="B52" s="1" t="s">
        <v>132</v>
      </c>
      <c r="C52" s="6" t="s">
        <v>129</v>
      </c>
      <c r="D52" s="5" t="s">
        <v>31</v>
      </c>
      <c r="G52" s="19"/>
      <c r="W52" s="22"/>
      <c r="AU52" s="5"/>
    </row>
    <row r="53" spans="2:47" x14ac:dyDescent="0.2">
      <c r="G53" s="19"/>
      <c r="W53" s="22"/>
      <c r="AU53" s="5"/>
    </row>
    <row r="54" spans="2:47" x14ac:dyDescent="0.2">
      <c r="G54" s="19"/>
      <c r="W54" s="22"/>
      <c r="AU54" s="5"/>
    </row>
    <row r="55" spans="2:47" x14ac:dyDescent="0.2">
      <c r="G55" s="19"/>
      <c r="W55" s="22"/>
      <c r="AU55" s="5"/>
    </row>
    <row r="56" spans="2:47" x14ac:dyDescent="0.2">
      <c r="G56" s="19"/>
      <c r="W56" s="22"/>
      <c r="AU56" s="5"/>
    </row>
    <row r="57" spans="2:47" x14ac:dyDescent="0.2">
      <c r="B57" s="7" t="s">
        <v>150</v>
      </c>
      <c r="C57" s="6" t="s">
        <v>154</v>
      </c>
      <c r="D57" s="5" t="s">
        <v>33</v>
      </c>
      <c r="E57" s="5" t="s">
        <v>17</v>
      </c>
      <c r="F57" s="16">
        <f>[11]Main!$C$6*$F$63</f>
        <v>213.21039999999999</v>
      </c>
      <c r="G57" s="33">
        <f>[11]Main!$C$7</f>
        <v>7440</v>
      </c>
      <c r="H57" s="33">
        <f>[11]Main!$C$12*$F$63</f>
        <v>1586285.3759999999</v>
      </c>
      <c r="I57" s="33">
        <f>[11]Main!$C$11*$F$63</f>
        <v>0</v>
      </c>
      <c r="J57" s="33">
        <f>[11]Main!$C$12*$F$63</f>
        <v>1586285.3759999999</v>
      </c>
      <c r="K57" s="5">
        <f>[11]Main!$C$29</f>
        <v>0</v>
      </c>
      <c r="L57" s="5">
        <f>[11]Main!$D$29</f>
        <v>0</v>
      </c>
      <c r="W57" s="22"/>
      <c r="AP57" s="5">
        <f>[11]Main!$C$24</f>
        <v>1975</v>
      </c>
      <c r="AQ57" s="5">
        <f>[11]Main!$C$25</f>
        <v>1986</v>
      </c>
      <c r="AR57" s="5" t="str">
        <f>[11]Main!$C$23</f>
        <v>Redmond, WA</v>
      </c>
      <c r="AT57" s="5" t="s">
        <v>156</v>
      </c>
      <c r="AU57" s="5" t="s">
        <v>155</v>
      </c>
    </row>
    <row r="58" spans="2:47" x14ac:dyDescent="0.2">
      <c r="B58" s="7" t="s">
        <v>151</v>
      </c>
      <c r="C58" s="6" t="s">
        <v>159</v>
      </c>
      <c r="D58" s="5" t="s">
        <v>33</v>
      </c>
      <c r="E58" s="5" t="s">
        <v>17</v>
      </c>
      <c r="F58" s="16">
        <f>[12]Main!$C$6*$F$63</f>
        <v>79.231799999999993</v>
      </c>
      <c r="G58" s="33">
        <f>[12]Main!$C$7</f>
        <v>13523</v>
      </c>
      <c r="H58" s="33">
        <f>[12]Main!$C$8*$F$63</f>
        <v>1071451.6313999998</v>
      </c>
      <c r="I58" s="33">
        <f>[12]Main!$C$11*$F$63</f>
        <v>0</v>
      </c>
      <c r="J58" s="33">
        <f>[12]Main!$C$12*$F$63</f>
        <v>1071451.6313999998</v>
      </c>
      <c r="K58" s="5">
        <f>[12]Main!$C$28</f>
        <v>0</v>
      </c>
      <c r="L58" s="5">
        <f>[12]Main!$D$28</f>
        <v>0</v>
      </c>
      <c r="W58" s="22"/>
      <c r="AP58" s="5">
        <f>[12]Main!$C$24</f>
        <v>1998</v>
      </c>
      <c r="AQ58" s="5">
        <f>[12]Main!$C$25</f>
        <v>2004</v>
      </c>
      <c r="AR58" s="5" t="str">
        <f>[12]Main!$C$23</f>
        <v>Mountain View, CA</v>
      </c>
      <c r="AT58" s="5" t="s">
        <v>156</v>
      </c>
      <c r="AU58" s="5" t="s">
        <v>157</v>
      </c>
    </row>
    <row r="59" spans="2:47" x14ac:dyDescent="0.2">
      <c r="B59" s="1" t="s">
        <v>153</v>
      </c>
      <c r="D59" s="5" t="s">
        <v>33</v>
      </c>
      <c r="E59" s="5" t="s">
        <v>17</v>
      </c>
      <c r="AT59" s="5" t="s">
        <v>156</v>
      </c>
      <c r="AU59" s="5" t="s">
        <v>158</v>
      </c>
    </row>
    <row r="62" spans="2:47" x14ac:dyDescent="0.2">
      <c r="E62" s="51" t="s">
        <v>25</v>
      </c>
      <c r="F62" s="52"/>
      <c r="G62" s="9" t="s">
        <v>26</v>
      </c>
    </row>
    <row r="63" spans="2:47" x14ac:dyDescent="0.2">
      <c r="E63" s="10" t="s">
        <v>27</v>
      </c>
      <c r="F63" s="11">
        <v>0.83</v>
      </c>
      <c r="G63" s="12">
        <f>1/F63</f>
        <v>1.2048192771084338</v>
      </c>
    </row>
    <row r="64" spans="2:47" x14ac:dyDescent="0.2">
      <c r="E64" s="13" t="s">
        <v>28</v>
      </c>
      <c r="F64" s="14">
        <v>0.87</v>
      </c>
      <c r="G64" s="15">
        <f>1/F64</f>
        <v>1.1494252873563218</v>
      </c>
    </row>
  </sheetData>
  <mergeCells count="3">
    <mergeCell ref="E62:F62"/>
    <mergeCell ref="F1:J1"/>
    <mergeCell ref="W1:AA1"/>
  </mergeCells>
  <hyperlinks>
    <hyperlink ref="B9" r:id="rId1" xr:uid="{3A7AD427-356A-4438-8466-A299ED0C08D2}"/>
    <hyperlink ref="B13" r:id="rId2" xr:uid="{1CE3F47D-3D30-470A-966F-AA684282F9ED}"/>
    <hyperlink ref="B6" r:id="rId3" xr:uid="{6DFD8629-A4A2-4A11-B5F1-5FDD02B4DC40}"/>
    <hyperlink ref="B21" r:id="rId4" xr:uid="{2D896F8C-26D2-4CA9-8601-44232CD47DF4}"/>
    <hyperlink ref="B7" r:id="rId5" xr:uid="{3673F69E-DE49-452E-9A7F-9067CB704A93}"/>
    <hyperlink ref="B25" r:id="rId6" xr:uid="{21F4A07B-A91C-4255-B949-9908C8EAC551}"/>
    <hyperlink ref="B22" r:id="rId7" xr:uid="{B9C2E740-5539-4983-8CC4-F329408A4445}"/>
    <hyperlink ref="B24" r:id="rId8" xr:uid="{03436A82-476B-4BF2-A855-FEC5F745CF98}"/>
    <hyperlink ref="B57" r:id="rId9" xr:uid="{46DC7469-9CFC-4610-A22B-3D4E075DFC99}"/>
    <hyperlink ref="B58" r:id="rId10" xr:uid="{1F04985A-EB8E-4ED3-BC5F-B6E427A61566}"/>
    <hyperlink ref="B48" r:id="rId11" xr:uid="{C2513205-805A-4E29-899C-EDFC3E7F9BF4}"/>
    <hyperlink ref="B4" r:id="rId12" xr:uid="{5B7E8149-F217-4CC0-A36E-4D5E6D4CE364}"/>
  </hyperlinks>
  <pageMargins left="0.7" right="0.7" top="0.75" bottom="0.75" header="0.3" footer="0.3"/>
  <pageSetup paperSize="256" orientation="portrait" horizontalDpi="203" verticalDpi="203" r:id="rId13"/>
  <ignoredErrors>
    <ignoredError sqref="I57 I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2024-10-29T16:28:17Z</dcterms:modified>
</cp:coreProperties>
</file>