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AB6419F-A234-CA42-872A-75E16A70DA54}" xr6:coauthVersionLast="47" xr6:coauthVersionMax="47" xr10:uidLastSave="{00000000-0000-0000-0000-000000000000}"/>
  <bookViews>
    <workbookView xWindow="2020" yWindow="500" windowWidth="3028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2" i="1" l="1"/>
  <c r="AF12" i="1"/>
  <c r="AD12" i="1"/>
  <c r="AB12" i="1"/>
  <c r="AA12" i="1"/>
  <c r="Z12" i="1"/>
  <c r="Y12" i="1"/>
  <c r="P14" i="1" l="1"/>
  <c r="O14" i="1"/>
  <c r="T14" i="1"/>
  <c r="I9" i="1" l="1"/>
  <c r="H9" i="1"/>
  <c r="AD9" i="1"/>
  <c r="AF9" i="1" l="1"/>
  <c r="AE9" i="1"/>
  <c r="AB9" i="1"/>
  <c r="AA9" i="1"/>
  <c r="Z9" i="1"/>
  <c r="Y9" i="1"/>
  <c r="K7" i="1" l="1"/>
  <c r="L7" i="1"/>
  <c r="R7" i="1"/>
  <c r="Q7" i="1"/>
  <c r="X7" i="1"/>
  <c r="W7" i="1"/>
  <c r="AB7" i="1"/>
  <c r="T7" i="1"/>
  <c r="AE7" i="1"/>
  <c r="AG7" i="1"/>
  <c r="Z7" i="1"/>
  <c r="Y7" i="1"/>
  <c r="J7" i="1"/>
  <c r="V7" i="1"/>
  <c r="S7" i="1" l="1"/>
  <c r="O7" i="1"/>
  <c r="AA7" i="1"/>
  <c r="K9" i="1" l="1"/>
  <c r="J9" i="1"/>
  <c r="P7" i="1" l="1"/>
  <c r="AG10" i="1"/>
  <c r="AF10" i="1"/>
  <c r="AE10" i="1"/>
  <c r="AB10" i="1"/>
  <c r="AA10" i="1"/>
  <c r="Z10" i="1"/>
  <c r="Y10" i="1"/>
  <c r="S10" i="1"/>
  <c r="M10" i="1"/>
  <c r="K10" i="1"/>
  <c r="AI11" i="1" l="1"/>
  <c r="AI15" i="1" l="1"/>
  <c r="AI1" i="1" s="1"/>
  <c r="AJ9" i="1" l="1"/>
  <c r="AK9" i="1"/>
  <c r="AJ23" i="1" l="1"/>
  <c r="AK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5" i="1"/>
  <c r="AK16" i="1"/>
  <c r="AJ16" i="1"/>
  <c r="K16" i="1"/>
  <c r="J16" i="1"/>
  <c r="F16" i="1"/>
  <c r="AE8" i="1" l="1"/>
  <c r="AF8" i="1" l="1"/>
  <c r="AB8" i="1"/>
  <c r="AA8" i="1"/>
  <c r="Z8" i="1"/>
  <c r="Y8" i="1"/>
  <c r="K8" i="1"/>
  <c r="AE12" i="1" l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D13" i="1"/>
  <c r="V13" i="1"/>
  <c r="P13" i="1"/>
  <c r="O13" i="1"/>
  <c r="AJ13" i="1" l="1"/>
  <c r="AK13" i="1"/>
  <c r="F13" i="1"/>
  <c r="H13" i="1"/>
  <c r="I13" i="1" l="1"/>
  <c r="F12" i="1"/>
  <c r="J11" i="1" l="1"/>
  <c r="AJ11" i="1" l="1"/>
  <c r="AK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J3" i="1"/>
  <c r="AK3" i="1"/>
  <c r="V14" i="1" l="1"/>
  <c r="AB14" i="1" l="1"/>
  <c r="AA14" i="1"/>
  <c r="Z14" i="1"/>
  <c r="Y14" i="1"/>
  <c r="AD7" i="1"/>
  <c r="AE14" i="1"/>
  <c r="J14" i="1" l="1"/>
  <c r="AH7" i="1"/>
  <c r="AK7" i="1"/>
  <c r="AJ7" i="1"/>
  <c r="I7" i="1" l="1"/>
  <c r="H7" i="1"/>
  <c r="G7" i="1"/>
  <c r="F7" i="1"/>
  <c r="AE4" i="1"/>
  <c r="Z4" i="1" l="1"/>
  <c r="Y4" i="1"/>
  <c r="AB4" i="1" l="1"/>
  <c r="AK14" i="1"/>
  <c r="AJ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K10" i="1" l="1"/>
  <c r="AH10" i="1"/>
  <c r="AJ10" i="1"/>
  <c r="J10" i="1"/>
  <c r="F10" i="1" l="1"/>
  <c r="L4" i="1" l="1"/>
  <c r="R4" i="1"/>
  <c r="V4" i="1"/>
  <c r="T4" i="1"/>
  <c r="AH4" i="1" l="1"/>
  <c r="AK4" i="1"/>
  <c r="AJ4" i="1"/>
  <c r="J4" i="1"/>
  <c r="I4" i="1"/>
  <c r="H4" i="1"/>
  <c r="G4" i="1"/>
  <c r="F4" i="1"/>
  <c r="AH5" i="1" l="1"/>
  <c r="AK5" i="1"/>
  <c r="AJ5" i="1"/>
  <c r="AK15" i="1" l="1"/>
  <c r="AJ15" i="1"/>
  <c r="AK8" i="1" l="1"/>
  <c r="AJ8" i="1"/>
  <c r="AK6" i="1" l="1"/>
  <c r="AJ6" i="1"/>
  <c r="AH6" i="1"/>
  <c r="AJ12" i="1" l="1"/>
  <c r="AK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R15" i="1" l="1"/>
  <c r="R1" i="1" s="1"/>
  <c r="G15" i="1" l="1"/>
  <c r="I15" i="1" l="1"/>
  <c r="L15" i="1" l="1"/>
  <c r="S15" i="1" l="1"/>
  <c r="S1" i="1" s="1"/>
  <c r="T9" i="1" l="1"/>
  <c r="T1" i="1" s="1"/>
</calcChain>
</file>

<file path=xl/sharedStrings.xml><?xml version="1.0" encoding="utf-8"?>
<sst xmlns="http://schemas.openxmlformats.org/spreadsheetml/2006/main" count="870" uniqueCount="551">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</sst>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164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68" fontId="11" fillId="0" borderId="0" xfId="0" applyNumberFormat="1" applyFont="1" applyFill="1" applyAlignment="1">
      <alignment horizontal="center"/>
    </xf>
    <xf numFmtId="171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8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7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70" fontId="1" fillId="0" borderId="0" xfId="0" applyNumberFormat="1" applyFont="1" applyFill="1"/>
    <xf numFmtId="168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1" fillId="6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-71.527217195943578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89">
          <cell r="P89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6" thickBot="1" x14ac:dyDescent="0.25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6" thickBot="1" x14ac:dyDescent="0.25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6" thickBot="1" x14ac:dyDescent="0.25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6" thickBot="1" x14ac:dyDescent="0.25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6" thickBot="1" x14ac:dyDescent="0.25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6" thickBot="1" x14ac:dyDescent="0.25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6" thickBot="1" x14ac:dyDescent="0.25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6" thickBot="1" x14ac:dyDescent="0.25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6" thickBot="1" x14ac:dyDescent="0.25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6" thickBot="1" x14ac:dyDescent="0.25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6" thickBot="1" x14ac:dyDescent="0.25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L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2" sqref="N12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3" width="9.1640625" style="4"/>
    <col min="24" max="29" width="9.1640625" style="1"/>
    <col min="30" max="30" width="11" style="1" bestFit="1" customWidth="1"/>
    <col min="31" max="33" width="9.1640625" style="4"/>
    <col min="34" max="34" width="9.1640625" style="1"/>
    <col min="35" max="35" width="11.6640625" style="1" bestFit="1" customWidth="1"/>
    <col min="36" max="36" width="9.1640625" style="1"/>
    <col min="37" max="37" width="20.6640625" style="1" bestFit="1" customWidth="1"/>
    <col min="38" max="38" width="36.6640625" style="4" bestFit="1" customWidth="1"/>
    <col min="39" max="16384" width="9.1640625" style="1"/>
  </cols>
  <sheetData>
    <row r="1" spans="1:38" x14ac:dyDescent="0.15">
      <c r="D1" s="1"/>
      <c r="F1" s="138" t="s">
        <v>499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03">
        <f>AVERAGE(R3:R16)</f>
        <v>2.8608327332743611</v>
      </c>
      <c r="S1" s="103">
        <f>AVERAGE(S3:S16)</f>
        <v>13.176053771165707</v>
      </c>
      <c r="T1" s="103">
        <f>AVERAGE(T3:T16)</f>
        <v>2.7839366083880521</v>
      </c>
      <c r="U1" s="87"/>
      <c r="V1" s="116">
        <f t="shared" ref="V1:AB1" si="0">AVERAGE(V3:V16)</f>
        <v>0.16126232154194811</v>
      </c>
      <c r="W1" s="116">
        <f t="shared" si="0"/>
        <v>4.5363007282483075E-2</v>
      </c>
      <c r="X1" s="116">
        <f t="shared" si="0"/>
        <v>0.10365206955102663</v>
      </c>
      <c r="Y1" s="88">
        <f t="shared" si="0"/>
        <v>0.46881441387493933</v>
      </c>
      <c r="Z1" s="88">
        <f t="shared" si="0"/>
        <v>5.2828508022252425E-2</v>
      </c>
      <c r="AA1" s="88">
        <f t="shared" si="0"/>
        <v>3.4164885601284008E-2</v>
      </c>
      <c r="AB1" s="88">
        <f t="shared" si="0"/>
        <v>0.2038844317873604</v>
      </c>
      <c r="AC1" s="87"/>
      <c r="AD1" s="89" t="s">
        <v>537</v>
      </c>
      <c r="AE1" s="88">
        <f>AVERAGE(AE3:AE16)</f>
        <v>0.25991330080014247</v>
      </c>
      <c r="AF1" s="88">
        <f>AVERAGE(AF3:AF16)</f>
        <v>6.8784613474935238E-2</v>
      </c>
      <c r="AG1" s="88">
        <f>AVERAGE(AG3:AG16)</f>
        <v>0.23738960451454302</v>
      </c>
      <c r="AH1" s="90">
        <f>AVERAGE(AH3:AH16)</f>
        <v>668.36363636363637</v>
      </c>
      <c r="AI1" s="131">
        <f>AVERAGE(AI3:AI16)</f>
        <v>3.8410007956855852</v>
      </c>
      <c r="AJ1" s="90"/>
    </row>
    <row r="2" spans="1:38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543</v>
      </c>
      <c r="AJ2" s="5" t="s">
        <v>521</v>
      </c>
      <c r="AK2" s="5" t="s">
        <v>522</v>
      </c>
      <c r="AL2" s="5" t="s">
        <v>538</v>
      </c>
    </row>
    <row r="3" spans="1:38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5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J3" s="4">
        <f>[1]Main!$C$24</f>
        <v>1964</v>
      </c>
      <c r="AK3" s="4" t="str">
        <f>[1]Main!$C$23</f>
        <v>Beaverton, OR</v>
      </c>
      <c r="AL3" s="4" t="s">
        <v>549</v>
      </c>
    </row>
    <row r="4" spans="1:38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57"/>
      <c r="AJ4" s="4">
        <f>[2]Main!$C$24</f>
        <v>1899</v>
      </c>
      <c r="AK4" s="4" t="str">
        <f>[2]Main!$C$23</f>
        <v>Denver, US</v>
      </c>
    </row>
    <row r="5" spans="1:38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57"/>
      <c r="AJ5" s="4">
        <f>[3]Main!$C$24</f>
        <v>1864</v>
      </c>
      <c r="AK5" s="4" t="str">
        <f>[3]Main!$C$23</f>
        <v>Leicester, UK</v>
      </c>
      <c r="AL5" s="4" t="s">
        <v>544</v>
      </c>
    </row>
    <row r="6" spans="1:38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57"/>
      <c r="AJ6" s="4">
        <f>[4]Main!$C$24</f>
        <v>1981</v>
      </c>
      <c r="AK6" s="4" t="str">
        <f>[4]Main!$C$23</f>
        <v>Bury, UK</v>
      </c>
      <c r="AL6" s="4" t="s">
        <v>549</v>
      </c>
    </row>
    <row r="7" spans="1:38" s="96" customFormat="1" x14ac:dyDescent="0.15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4">
        <f>[5]Main!$D$29</f>
        <v>44765</v>
      </c>
      <c r="L7" s="133">
        <f>[5]Main!$C$36</f>
        <v>0.8656184985037354</v>
      </c>
      <c r="O7" s="96">
        <f>'[5]Financial Model'!$U$24</f>
        <v>256.89999999999992</v>
      </c>
      <c r="P7" s="132">
        <f>'[5]Financial Model'!$T$24</f>
        <v>-77.999999999999801</v>
      </c>
      <c r="Q7" s="55">
        <f>'[5]Financial Model'!$S$24</f>
        <v>100.99999999999994</v>
      </c>
      <c r="R7" s="133">
        <f>[5]Main!$C$35</f>
        <v>15.120111213935388</v>
      </c>
      <c r="S7" s="133">
        <f>'[5]Financial Model'!$U$87</f>
        <v>12.474551050136244</v>
      </c>
      <c r="T7" s="133">
        <f>[5]Main!$C$37</f>
        <v>2.9683299486932606</v>
      </c>
      <c r="U7" s="101"/>
      <c r="V7" s="101">
        <f>'[5]Financial Model'!$U$28</f>
        <v>0.3254903042506827</v>
      </c>
      <c r="W7" s="101">
        <f>'[5]Financial Model'!$T$28</f>
        <v>-8.3918734522666405E-2</v>
      </c>
      <c r="X7" s="101">
        <f>'[5]Financial Model'!$S$28</f>
        <v>6.9018612064075224E-2</v>
      </c>
      <c r="Y7" s="101">
        <f>'[5]Financial Model'!$U$31</f>
        <v>0.43466588974673792</v>
      </c>
      <c r="Z7" s="101">
        <f>'[5]Financial Model'!$U$32</f>
        <v>6.8757413689051639E-2</v>
      </c>
      <c r="AA7" s="101">
        <f>'[5]Financial Model'!$U$33</f>
        <v>5.3461802592970245E-2</v>
      </c>
      <c r="AB7" s="101">
        <f>'[5]Financial Model'!$U$34</f>
        <v>0.2345053635280096</v>
      </c>
      <c r="AD7" s="100">
        <f>[5]Main!$C$27</f>
        <v>1277.5999999999999</v>
      </c>
      <c r="AE7" s="101">
        <f>'[5]Financial Model'!$U$76</f>
        <v>0.16505562648185301</v>
      </c>
      <c r="AF7" s="98"/>
      <c r="AG7" s="101">
        <f>'[5]Financial Model'!$U$78</f>
        <v>0.26587309845379059</v>
      </c>
      <c r="AH7" s="98">
        <f>[5]Main!$C$26</f>
        <v>0</v>
      </c>
      <c r="AI7" s="98"/>
      <c r="AJ7" s="98">
        <f>[5]Main!$C$24</f>
        <v>1982</v>
      </c>
      <c r="AK7" s="98" t="str">
        <f>[5]Main!$C$23</f>
        <v>Mansfiled, UK</v>
      </c>
      <c r="AL7" s="98" t="s">
        <v>550</v>
      </c>
    </row>
    <row r="8" spans="1:38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57"/>
      <c r="AJ8" s="4">
        <f>[6]Main!$C$24</f>
        <v>1996</v>
      </c>
      <c r="AK8" s="4" t="str">
        <f>[6]Main!$C$23</f>
        <v>Baltimore, US</v>
      </c>
      <c r="AL8" s="4" t="s">
        <v>549</v>
      </c>
    </row>
    <row r="9" spans="1:38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21.4452</v>
      </c>
      <c r="G9" s="49">
        <f>[7]Main!$C$8*$E$27</f>
        <v>1976.693296032</v>
      </c>
      <c r="H9" s="49">
        <f>[7]Main!$C$11*E27</f>
        <v>326.79444000000001</v>
      </c>
      <c r="I9" s="49">
        <f>[7]Main!$C$12*E27</f>
        <v>1649.8988560319999</v>
      </c>
      <c r="J9" s="98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53"/>
      <c r="Y9" s="53">
        <f>'[7]Financial Model'!$M$25</f>
        <v>0.30377615499736671</v>
      </c>
      <c r="Z9" s="53">
        <f>'[7]Financial Model'!$M$26</f>
        <v>4.8766791820982473E-2</v>
      </c>
      <c r="AA9" s="53">
        <f>'[7]Financial Model'!$M$27</f>
        <v>3.1676548837834495E-2</v>
      </c>
      <c r="AB9" s="53">
        <f>'[7]Financial Model'!$M$28</f>
        <v>0.28811258341459722</v>
      </c>
      <c r="AD9" s="56">
        <f>[7]Main!$C$26*E27</f>
        <v>624.60635999999988</v>
      </c>
      <c r="AE9" s="53">
        <f>'[7]Financial Model'!$M$63</f>
        <v>0.18573663337601642</v>
      </c>
      <c r="AF9" s="53">
        <f>'[7]Financial Model'!$M$64</f>
        <v>6.610282247080157E-2</v>
      </c>
      <c r="AJ9" s="4">
        <f>[7]Main!$C$24</f>
        <v>1970</v>
      </c>
      <c r="AK9" s="4" t="str">
        <f>[7]Main!$C$23</f>
        <v>Philadelphia, PA</v>
      </c>
    </row>
    <row r="10" spans="1:38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1955.5551791999997</v>
      </c>
      <c r="H10" s="49">
        <f>[8]Main!$C$11*$E$27</f>
        <v>-233.77871999999999</v>
      </c>
      <c r="I10" s="49">
        <f>[8]Main!$C$12*$E$27</f>
        <v>2189.3338991999999</v>
      </c>
      <c r="J10" s="4" t="str">
        <f>[8]Main!$C$28</f>
        <v>Q222</v>
      </c>
      <c r="K10" s="85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352.48583999999988</v>
      </c>
      <c r="P10" s="56">
        <f>'[8]Financial Model'!$Y$17*F27</f>
        <v>-249.21071428571454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53"/>
      <c r="V10" s="53">
        <f>'[8]Financial Model'!$Z$21</f>
        <v>0.33299379683036578</v>
      </c>
      <c r="X10" s="4"/>
      <c r="Y10" s="53">
        <f>'[8]Financial Model'!$P$24</f>
        <v>0.30883030470969619</v>
      </c>
      <c r="Z10" s="53">
        <f>'[8]Financial Model'!$P$25</f>
        <v>1.1696619047778077E-2</v>
      </c>
      <c r="AA10" s="53">
        <f>'[8]Financial Model'!$P$26</f>
        <v>-3.5443743719347866E-2</v>
      </c>
      <c r="AB10" s="53">
        <f>'[8]Financial Model'!$P$27</f>
        <v>0.10849393290506794</v>
      </c>
      <c r="AD10" s="56">
        <f>[8]Main!$C$26*E27</f>
        <v>577.11864000000003</v>
      </c>
      <c r="AE10" s="53">
        <f>'[8]Financial Model'!$P$72</f>
        <v>0.36452124796676122</v>
      </c>
      <c r="AF10" s="53">
        <f>'[8]Financial Model'!$P$73</f>
        <v>7.2511361970386545E-3</v>
      </c>
      <c r="AG10" s="53">
        <f>'[8]Financial Model'!$P$89</f>
        <v>0.13644925222077642</v>
      </c>
      <c r="AH10" s="57">
        <f>[8]Main!$C$25</f>
        <v>1160</v>
      </c>
      <c r="AI10" s="57"/>
      <c r="AJ10" s="4">
        <f>[8]Main!$C$24</f>
        <v>1977</v>
      </c>
      <c r="AK10" s="4" t="str">
        <f>[8]Main!$C$23</f>
        <v>Pittsburgh, US</v>
      </c>
    </row>
    <row r="11" spans="1:38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6">
        <f>'[9]Financial Model'!$T$19</f>
        <v>6.6487661424370348E-3</v>
      </c>
      <c r="V11" s="86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130">
        <f>[9]Main!$C$42</f>
        <v>3.5843551695103639</v>
      </c>
      <c r="AJ11" s="4">
        <f>[9]Main!$C$24</f>
        <v>2000</v>
      </c>
      <c r="AK11" s="84" t="str">
        <f>[9]Main!$C$23</f>
        <v>London, UK</v>
      </c>
      <c r="AL11" s="4" t="s">
        <v>548</v>
      </c>
    </row>
    <row r="12" spans="1:38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19.000800000000002</v>
      </c>
      <c r="G12" s="49">
        <f>[10]Main!$C$8*E27</f>
        <v>940.27358879999986</v>
      </c>
      <c r="H12" s="49">
        <f>[10]Main!$C$11*E27</f>
        <v>125.04575999999997</v>
      </c>
      <c r="I12" s="49">
        <f>[10]Main!$C$12*E27</f>
        <v>815.22782879999988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-71.527217195943578</v>
      </c>
      <c r="S12" s="52">
        <f>[10]Main!$C$37</f>
        <v>5.1256003193794974</v>
      </c>
      <c r="T12" s="52">
        <f>[10]Main!$C$35</f>
        <v>1.7061927095638381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Model'!$Q$27</f>
        <v>0.59177987555733325</v>
      </c>
      <c r="Z12" s="53">
        <f>'[10]Financial Model'!$Q$28</f>
        <v>1.9933324546293322E-2</v>
      </c>
      <c r="AA12" s="53">
        <f>'[10]Financial Model'!$Q$30</f>
        <v>-2.5156689588720959E-3</v>
      </c>
      <c r="AB12" s="53">
        <f>'[10]Financial Model'!$Q$31</f>
        <v>1.070062451209991</v>
      </c>
      <c r="AD12" s="56">
        <f>'[10]Financial Model'!$Q$41*E27</f>
        <v>623.24892</v>
      </c>
      <c r="AE12" s="53">
        <f>'[10]Financial Model'!$X$74</f>
        <v>-0.25498478543021663</v>
      </c>
      <c r="AF12" s="53">
        <f>'[10]Financial Model'!$Q$67</f>
        <v>4.7934815768956973E-2</v>
      </c>
      <c r="AG12" s="53">
        <f>'[10]Financial Model'!$Q$68</f>
        <v>0.33349775502898105</v>
      </c>
      <c r="AH12" s="57">
        <f>[10]Main!$C$25</f>
        <v>751</v>
      </c>
      <c r="AI12" s="57"/>
      <c r="AJ12" s="4">
        <f>[10]Main!$C$24</f>
        <v>1892</v>
      </c>
      <c r="AK12" s="4" t="str">
        <f>[10]Main!$C$23</f>
        <v>Ohio, US</v>
      </c>
    </row>
    <row r="13" spans="1:38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7">
        <v>0</v>
      </c>
      <c r="AI13" s="53"/>
      <c r="AJ13" s="4">
        <f>[11]Main!$C$24</f>
        <v>2006</v>
      </c>
      <c r="AK13" s="4" t="str">
        <f>[11]Main!$C$23</f>
        <v>Manchester, UK</v>
      </c>
      <c r="AL13" s="4" t="s">
        <v>548</v>
      </c>
    </row>
    <row r="14" spans="1:38" s="108" customFormat="1" x14ac:dyDescent="0.15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O14" s="115">
        <f>'[12]Financial Model'!$T$19</f>
        <v>-35.494000000000035</v>
      </c>
      <c r="P14" s="115">
        <f>'[12]Financial Model'!$S$19</f>
        <v>-86.51600000000002</v>
      </c>
      <c r="Q14" s="110"/>
      <c r="T14" s="135">
        <f>[12]Main!$C$36</f>
        <v>1.6714759317373831</v>
      </c>
      <c r="U14" s="114"/>
      <c r="V14" s="114">
        <f>'[12]Financial Model'!$T$23</f>
        <v>0.20588400900900905</v>
      </c>
      <c r="W14" s="110"/>
      <c r="X14" s="110"/>
      <c r="Y14" s="114">
        <f>'[12]Financial Model'!$T$26</f>
        <v>0.55486890948567691</v>
      </c>
      <c r="Z14" s="114">
        <f>'[12]Financial Model'!$T$27</f>
        <v>-8.0487007680993719E-2</v>
      </c>
      <c r="AA14" s="114">
        <f>'[12]Financial Model'!$T$28</f>
        <v>-8.2866014521513875E-2</v>
      </c>
      <c r="AB14" s="114">
        <f>'[12]Financial Model'!$T$29</f>
        <v>0.19258416742493159</v>
      </c>
      <c r="AD14" s="115">
        <f>[12]Main!$C$26</f>
        <v>103.071</v>
      </c>
      <c r="AE14" s="114">
        <f>'[12]Financial Model'!$T$74</f>
        <v>0.17328795191694746</v>
      </c>
      <c r="AF14" s="110"/>
      <c r="AG14" s="114">
        <f>'[12]Financial Model'!$T$76</f>
        <v>0.24063455746737328</v>
      </c>
      <c r="AH14" s="110">
        <f>[12]Main!$C$25</f>
        <v>85</v>
      </c>
      <c r="AI14" s="110"/>
      <c r="AJ14" s="110">
        <f>[12]Main!$C$24</f>
        <v>1987</v>
      </c>
      <c r="AK14" s="110" t="str">
        <f>[12]Main!$C$23</f>
        <v>London, UK</v>
      </c>
      <c r="AL14" s="110" t="s">
        <v>547</v>
      </c>
    </row>
    <row r="15" spans="1:38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130">
        <f>[13]Main!$C$42</f>
        <v>4.097646421860806</v>
      </c>
      <c r="AJ15" s="4">
        <f>[13]Main!$C$25</f>
        <v>1985</v>
      </c>
      <c r="AK15" s="4" t="str">
        <f>[13]Main!$C$24</f>
        <v>Cheltenham, UK</v>
      </c>
    </row>
    <row r="16" spans="1:38" s="91" customFormat="1" x14ac:dyDescent="0.15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93"/>
      <c r="V16" s="94">
        <f>'[14]Financial Model'!$S$19</f>
        <v>4.2969896440400834E-2</v>
      </c>
      <c r="W16" s="93"/>
      <c r="Y16" s="94">
        <f>'[14]Financial Model'!$K$22</f>
        <v>0.50353090223741115</v>
      </c>
      <c r="Z16" s="94">
        <f>'[14]Financial Model'!$K$23</f>
        <v>2.5932384981739429E-2</v>
      </c>
      <c r="AA16" s="94">
        <f>'[14]Financial Model'!$K$24</f>
        <v>1.7767906718489747E-2</v>
      </c>
      <c r="AB16" s="94">
        <f>'[14]Financial Model'!$K$25</f>
        <v>0.10901960784313716</v>
      </c>
      <c r="AD16" s="95">
        <f>[14]Main!$C$26</f>
        <v>61.878</v>
      </c>
      <c r="AE16" s="94">
        <f>'[14]Financial Model'!$K$66</f>
        <v>0.44899775196702874</v>
      </c>
      <c r="AF16" s="94">
        <f>'[14]Financial Model'!$K$67</f>
        <v>0.32717055593685651</v>
      </c>
      <c r="AG16" s="94">
        <f>'[14]Financial Model'!$S$82</f>
        <v>0.23428321616827549</v>
      </c>
      <c r="AJ16" s="93">
        <f>[14]Main!$C$24</f>
        <v>1989</v>
      </c>
      <c r="AK16" s="91" t="str">
        <f>[14]Main!$C$23</f>
        <v>Market Harborough, UK</v>
      </c>
      <c r="AL16" s="93" t="s">
        <v>539</v>
      </c>
    </row>
    <row r="17" spans="2:38" x14ac:dyDescent="0.15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57"/>
      <c r="AJ17" s="4"/>
      <c r="AK17" s="4"/>
    </row>
    <row r="18" spans="2:38" x14ac:dyDescent="0.15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  <c r="AL18" s="4" t="s">
        <v>545</v>
      </c>
    </row>
    <row r="19" spans="2:38" x14ac:dyDescent="0.15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8" x14ac:dyDescent="0.15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8" x14ac:dyDescent="0.15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8" x14ac:dyDescent="0.15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  <c r="AL22" s="4" t="s">
        <v>546</v>
      </c>
    </row>
    <row r="23" spans="2:38" x14ac:dyDescent="0.15">
      <c r="B23" s="3" t="s">
        <v>540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J23" s="4">
        <f>[15]Main!$C$24</f>
        <v>1856</v>
      </c>
      <c r="AK23" s="4" t="str">
        <f>[15]Main!$C$23</f>
        <v>London, UK</v>
      </c>
      <c r="AL23" s="4" t="s">
        <v>546</v>
      </c>
    </row>
    <row r="24" spans="2:38" x14ac:dyDescent="0.15">
      <c r="B24" s="1" t="s">
        <v>541</v>
      </c>
      <c r="C24" s="1" t="s">
        <v>542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  <c r="AL24" s="4" t="s">
        <v>546</v>
      </c>
    </row>
    <row r="25" spans="2:38" x14ac:dyDescent="0.15">
      <c r="G25" s="49"/>
      <c r="I25" s="4"/>
      <c r="J25" s="1"/>
      <c r="K25" s="1"/>
      <c r="M25" s="56"/>
      <c r="N25" s="56"/>
    </row>
    <row r="26" spans="2:38" x14ac:dyDescent="0.15">
      <c r="D26" s="136" t="s">
        <v>495</v>
      </c>
      <c r="E26" s="137"/>
      <c r="F26" s="42" t="s">
        <v>496</v>
      </c>
      <c r="G26" s="49"/>
      <c r="I26" s="4"/>
      <c r="J26" s="1"/>
      <c r="K26" s="1"/>
    </row>
    <row r="27" spans="2:38" x14ac:dyDescent="0.15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8" x14ac:dyDescent="0.15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8" x14ac:dyDescent="0.15">
      <c r="G29" s="49"/>
    </row>
    <row r="30" spans="2:38" x14ac:dyDescent="0.15">
      <c r="G30" s="49"/>
    </row>
    <row r="31" spans="2:38" x14ac:dyDescent="0.15">
      <c r="G31" s="49"/>
    </row>
    <row r="32" spans="2:38" x14ac:dyDescent="0.15">
      <c r="G32" s="49"/>
    </row>
    <row r="33" spans="7:7" x14ac:dyDescent="0.15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2022-11-22T23:09:16Z</dcterms:modified>
</cp:coreProperties>
</file>